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 Responses" sheetId="1" r:id="rId3"/>
    <sheet state="visible" name="S7 (primary)" sheetId="2" r:id="rId4"/>
    <sheet state="visible" name="S7-codebook(primary)" sheetId="3" r:id="rId5"/>
    <sheet state="visible" name="S7 (secondary)" sheetId="4" r:id="rId6"/>
    <sheet state="visible" name="S7-codebook (secondary)" sheetId="5" r:id="rId7"/>
    <sheet state="visible" name="S8 (primary)" sheetId="6" r:id="rId8"/>
    <sheet state="visible" name="S8-codebook (primary)" sheetId="7" r:id="rId9"/>
    <sheet state="visible" name="S8 (secondary)" sheetId="8" r:id="rId10"/>
    <sheet state="visible" name="S8-codebook (secondary)" sheetId="9" r:id="rId11"/>
    <sheet state="visible" name="S9 (primary)" sheetId="10" r:id="rId12"/>
    <sheet state="visible" name="S9-codebook (primary)" sheetId="11" r:id="rId13"/>
    <sheet state="visible" name="S9 (secondary)" sheetId="12" r:id="rId14"/>
    <sheet state="visible" name="S9-codebook (secondary)" sheetId="13" r:id="rId15"/>
    <sheet state="visible" name="S11 (primary)" sheetId="14" r:id="rId16"/>
    <sheet state="visible" name="S11-codebook (primary)" sheetId="15" r:id="rId17"/>
    <sheet state="visible" name="S11 (secondary)" sheetId="16" r:id="rId18"/>
    <sheet state="visible" name="S11-codebook (secondary)" sheetId="17" r:id="rId19"/>
    <sheet state="visible" name="S12 (primary)" sheetId="18" r:id="rId20"/>
    <sheet state="visible" name="S12-codebook (primary)" sheetId="19" r:id="rId21"/>
    <sheet state="visible" name="S12 (secondary)" sheetId="20" r:id="rId22"/>
    <sheet state="visible" name="S12-codebook (secondary)" sheetId="21" r:id="rId23"/>
    <sheet state="visible" name="S13 (primary)" sheetId="22" r:id="rId24"/>
    <sheet state="visible" name="S13-codebook (primary)" sheetId="23" r:id="rId25"/>
    <sheet state="visible" name="S13 (secondary)" sheetId="24" r:id="rId26"/>
    <sheet state="visible" name="S13-codebook (secondary)" sheetId="25" r:id="rId27"/>
    <sheet state="visible" name="S15 (primary)" sheetId="26" r:id="rId28"/>
    <sheet state="visible" name="S15-codebook (primary)" sheetId="27" r:id="rId29"/>
    <sheet state="visible" name="S15 (secondary)" sheetId="28" r:id="rId30"/>
    <sheet state="visible" name="S15-codebook (secondary)" sheetId="29" r:id="rId31"/>
    <sheet state="visible" name="S16 (primary)" sheetId="30" r:id="rId32"/>
    <sheet state="visible" name="S16-codebook (primary)" sheetId="31" r:id="rId33"/>
    <sheet state="visible" name="S16 (secondary)" sheetId="32" r:id="rId34"/>
    <sheet state="visible" name="S16-codebook (secondary)" sheetId="33" r:id="rId35"/>
    <sheet state="visible" name="S17 (primary)" sheetId="34" r:id="rId36"/>
    <sheet state="visible" name="S17-codebook (primary)" sheetId="35" r:id="rId37"/>
    <sheet state="visible" name="S17 (secondary)" sheetId="36" r:id="rId38"/>
    <sheet state="visible" name="S17-codebook (secondary)" sheetId="37" r:id="rId39"/>
    <sheet state="visible" name="S18 (primary)" sheetId="38" r:id="rId40"/>
    <sheet state="visible" name="S18-codebook (primary)" sheetId="39" r:id="rId41"/>
    <sheet state="visible" name="S18 (secondary)" sheetId="40" r:id="rId42"/>
    <sheet state="visible" name="S18-codebook (secondary)" sheetId="41" r:id="rId43"/>
    <sheet state="visible" name="S19 (primary)" sheetId="42" r:id="rId44"/>
    <sheet state="visible" name="S19-codebook (primary)" sheetId="43" r:id="rId45"/>
    <sheet state="visible" name="S19 (secondary)" sheetId="44" r:id="rId46"/>
    <sheet state="visible" name="S19-codebook (secondary)" sheetId="45" r:id="rId47"/>
    <sheet state="visible" name="S21 (primary)" sheetId="46" r:id="rId48"/>
    <sheet state="visible" name="S21-codebook (primary)" sheetId="47" r:id="rId49"/>
    <sheet state="visible" name="S21 (secondary)" sheetId="48" r:id="rId50"/>
    <sheet state="visible" name="S21-codebook (secondary)" sheetId="49" r:id="rId51"/>
    <sheet state="visible" name="S22 (primary)" sheetId="50" r:id="rId52"/>
    <sheet state="visible" name="S22-codebook (primary)" sheetId="51" r:id="rId53"/>
    <sheet state="visible" name="S22 (secondary)" sheetId="52" r:id="rId54"/>
    <sheet state="visible" name="S22-codebook (secondary)" sheetId="53" r:id="rId55"/>
    <sheet state="visible" name="S23 (primary)" sheetId="54" r:id="rId56"/>
    <sheet state="visible" name="S23-codebook (primary)" sheetId="55" r:id="rId57"/>
    <sheet state="visible" name="S23 (secondary)" sheetId="56" r:id="rId58"/>
    <sheet state="visible" name="S23-codebook (secondary)" sheetId="57" r:id="rId59"/>
  </sheets>
  <definedNames/>
  <calcPr/>
</workbook>
</file>

<file path=xl/sharedStrings.xml><?xml version="1.0" encoding="utf-8"?>
<sst xmlns="http://schemas.openxmlformats.org/spreadsheetml/2006/main" count="5037" uniqueCount="1764">
  <si>
    <t>ResponseId</t>
  </si>
  <si>
    <t>S7</t>
  </si>
  <si>
    <t>S8</t>
  </si>
  <si>
    <t>S9</t>
  </si>
  <si>
    <t>S11</t>
  </si>
  <si>
    <t>S12</t>
  </si>
  <si>
    <t>S13</t>
  </si>
  <si>
    <t>S15</t>
  </si>
  <si>
    <t>S16</t>
  </si>
  <si>
    <t>S17</t>
  </si>
  <si>
    <t>S18</t>
  </si>
  <si>
    <t>S19</t>
  </si>
  <si>
    <t>S21</t>
  </si>
  <si>
    <t>S22</t>
  </si>
  <si>
    <t>S23</t>
  </si>
  <si>
    <t>Response ID</t>
  </si>
  <si>
    <t>google_recall_sso_yes_app</t>
  </si>
  <si>
    <t>google_recall_sso_yes_consider</t>
  </si>
  <si>
    <t>google_recall_sso_no_consider</t>
  </si>
  <si>
    <t>google_recall_app_yes_purpose</t>
  </si>
  <si>
    <t>google_recall_app_yes_consider</t>
  </si>
  <si>
    <t>google_recall_app_no_consider</t>
  </si>
  <si>
    <t>generic_recall_sso_yes_app</t>
  </si>
  <si>
    <t>generic_recall_sso_yes_account</t>
  </si>
  <si>
    <t>generic_recall_sso_yes_consider</t>
  </si>
  <si>
    <t>generic_recall_sso_no_account</t>
  </si>
  <si>
    <t>generic_recall_sso_no_consider</t>
  </si>
  <si>
    <t>generic_recall_app_yes_purpose</t>
  </si>
  <si>
    <t>generic_recall_app_yes_consider</t>
  </si>
  <si>
    <t>generic_recall_app_no_consider</t>
  </si>
  <si>
    <t>Protection and privacy of my data.</t>
  </si>
  <si>
    <t>shop</t>
  </si>
  <si>
    <t>That I did not want to fill out information and it would be easier to use my google account</t>
  </si>
  <si>
    <t>what information they would have access to</t>
  </si>
  <si>
    <t>Misc websites that I didn't want to make an account for</t>
  </si>
  <si>
    <t>I considered my safety and the safety of my information</t>
  </si>
  <si>
    <t>To see my gmail name</t>
  </si>
  <si>
    <t>I considered how much information they could gather from me</t>
  </si>
  <si>
    <t>Previous privacy issues that the app/service have had and how secure I feel my data is being kept.</t>
  </si>
  <si>
    <t>Making a sign-in process easier.</t>
  </si>
  <si>
    <t>How inconvenient it would be to register for an account if I didn't grant access.</t>
  </si>
  <si>
    <t>Shein.com</t>
  </si>
  <si>
    <t>I thought about whether or not the website was trustworthy, and if it would be secure to sign in using my Gmail account.</t>
  </si>
  <si>
    <t>I allowed that access in case I wanted to easily connect with my contacts through the app.</t>
  </si>
  <si>
    <t>I considered the legitimacy of the app, and the likelihood that it would be useful to allow it third-party access to my Google account.</t>
  </si>
  <si>
    <t>I would want to know that my information is secure and that it would only be used by trusted parties which i authorize and who have been vetted by Google to be determine secure and trustworthy. Furthermore, that my information would be deleted immediatly upon exiting the service and not stored.</t>
  </si>
  <si>
    <t>i would want to know that i could disengage this feature easily at any time and that the app was trusted by Google.</t>
  </si>
  <si>
    <t>Reddit</t>
  </si>
  <si>
    <t>how long it would take me to sign up, what access to my info they would have</t>
  </si>
  <si>
    <t>How much access to my info they would have</t>
  </si>
  <si>
    <t>today, Nest security cams</t>
  </si>
  <si>
    <t>why they want my google info</t>
  </si>
  <si>
    <t>todoist task manager</t>
  </si>
  <si>
    <t>if the permissions are coorrect</t>
  </si>
  <si>
    <t>Twitter</t>
  </si>
  <si>
    <t>Unsure</t>
  </si>
  <si>
    <t>To use Twitter for notifications</t>
  </si>
  <si>
    <t>PayPal</t>
  </si>
  <si>
    <t>Nothing really. I often use my Google Account to sign into third-party apps without worrying too much about it.</t>
  </si>
  <si>
    <t>If the app was safe and legitimate.</t>
  </si>
  <si>
    <t>Web ex</t>
  </si>
  <si>
    <t>nothing I do it all the time so I do not really think about it</t>
  </si>
  <si>
    <t>Using my contacts and calendar information</t>
  </si>
  <si>
    <t>nothing again</t>
  </si>
  <si>
    <t>amazon</t>
  </si>
  <si>
    <t>security</t>
  </si>
  <si>
    <t>shopping</t>
  </si>
  <si>
    <t>realtor.com</t>
  </si>
  <si>
    <t>the effort of making a new account versus sharing my google info</t>
  </si>
  <si>
    <t>It was required</t>
  </si>
  <si>
    <t>Nothing. Just that it was sop</t>
  </si>
  <si>
    <t>Medium</t>
  </si>
  <si>
    <t>How easy it was to log in using Google rather than creating a separate account.</t>
  </si>
  <si>
    <t>I was adding an event to my Google calendar</t>
  </si>
  <si>
    <t>How easy it was to add the event to my calendar and translate the time zone.</t>
  </si>
  <si>
    <t>Seesaw</t>
  </si>
  <si>
    <t>If it was what I used as the sign-in or had another username</t>
  </si>
  <si>
    <t>what they are being given access to</t>
  </si>
  <si>
    <t>I would prefer other options first before using my google account to sign in. If the organization is proven trustworthy then I would be open to using this however.</t>
  </si>
  <si>
    <t>It was as part of my work for a job that i had and the connection allowed me to sync my organizations calendar and contacts with my email to minimize communication lag.</t>
  </si>
  <si>
    <t>Security and the organizations history for protecting customer data.</t>
  </si>
  <si>
    <t>yellow pages app</t>
  </si>
  <si>
    <t>nothing i knew it would be safe with that app and i would not receive any unwanted emails which is the only thing i really would consider using it with third party apps</t>
  </si>
  <si>
    <t>just to get around having to create a new account for said app</t>
  </si>
  <si>
    <t>simply making sure i was not going to receive a host of unwanted emails!</t>
  </si>
  <si>
    <t>Indeed job search let me log in with my Google account.</t>
  </si>
  <si>
    <t>It is easier and more convenient than making a brand new account to some third party website.</t>
  </si>
  <si>
    <t>To see my personal info such as my full name.</t>
  </si>
  <si>
    <t>If it could see too much or possibly if it could gain access to my personal emails.</t>
  </si>
  <si>
    <t>Schoology</t>
  </si>
  <si>
    <t>If they kept my info.</t>
  </si>
  <si>
    <t>I would need to see if that app is safe, I do not want to just grant access to anyone.</t>
  </si>
  <si>
    <t>I think it was DoorDash or another food account.</t>
  </si>
  <si>
    <t>Nothing.</t>
  </si>
  <si>
    <t>Whether I trusted the program or company or not - or if I thought they were trying to scam me.</t>
  </si>
  <si>
    <t>I don't remember</t>
  </si>
  <si>
    <t>I considered signing in with my usual log in info but i found this to be much faster and simpler.</t>
  </si>
  <si>
    <t>It was for recording a work meeting.</t>
  </si>
  <si>
    <t>It was a pop up so I didn't consider it much at all.</t>
  </si>
  <si>
    <t>Yesterday, to a website called pomofocus.io, which offers a pomodoro-style timer</t>
  </si>
  <si>
    <t>whether I wanted to create a separate account for the service or just use my google account</t>
  </si>
  <si>
    <t>Zoom, to allow it to add meetings to my calendar</t>
  </si>
  <si>
    <t>briefly considered security and privacy risks</t>
  </si>
  <si>
    <t>Khan Academy</t>
  </si>
  <si>
    <t>I tried to remember if I had created an account before and if I remembered my username/password.</t>
  </si>
  <si>
    <t>I would make sure that my information is confidential and won't be given out to all sorts of third parties.</t>
  </si>
  <si>
    <t>Probably Clash of Clans - app</t>
  </si>
  <si>
    <t>Nothing really, I assume google is pretty strict about how applications can use there sign on service. In fact it's just a sign on service, I doubt they have access to anything</t>
  </si>
  <si>
    <t>I mean I don't have anything important in my calendar. If they wanted email access I probably wouldn't do it</t>
  </si>
  <si>
    <t>Stitch Fix</t>
  </si>
  <si>
    <t>I considered if I was using a safe site, worried that my password may be compromised if I'm entering it into a third-party site.</t>
  </si>
  <si>
    <t>Peloton</t>
  </si>
  <si>
    <t>I did not consider anything.</t>
  </si>
  <si>
    <t>LinkedIn.</t>
  </si>
  <si>
    <t>I was concerned with the security of my account.</t>
  </si>
  <si>
    <t>So that the app can get my information directly without myself putting the information again.</t>
  </si>
  <si>
    <t>Though I allowed the third part app to access information I was concerned about the security.</t>
  </si>
  <si>
    <t>Goodreads</t>
  </si>
  <si>
    <t>The ease of not having to make a new account or remember a new password.</t>
  </si>
  <si>
    <t>Access to photos or microphone.</t>
  </si>
  <si>
    <t>fitbit</t>
  </si>
  <si>
    <t>password</t>
  </si>
  <si>
    <t>to be able to use the app</t>
  </si>
  <si>
    <t>if the app would be safe</t>
  </si>
  <si>
    <t>I would consider it. I usually use Facebook to sign into a third-party app, but I would use google if I was no longer using Facebook.</t>
  </si>
  <si>
    <t>I would consider what kind of information that they were collecting from my google account, how easy it would be to remove it from my google account if I was no longer interested in using that third-party app.</t>
  </si>
  <si>
    <t>Youtube</t>
  </si>
  <si>
    <t>The time it would take to create a new account on that site</t>
  </si>
  <si>
    <t>If it would be easier to login to my google account than to create a new account on that app</t>
  </si>
  <si>
    <t>BoredPanda</t>
  </si>
  <si>
    <t>nothing specific</t>
  </si>
  <si>
    <t>Ease of use</t>
  </si>
  <si>
    <t>Security/privacy</t>
  </si>
  <si>
    <t>I can't recall the app/service I do however recall signing to apps with Google</t>
  </si>
  <si>
    <t>What other sign in options were provided</t>
  </si>
  <si>
    <t>The trustworthiness of the app</t>
  </si>
  <si>
    <t>Amazon Prime</t>
  </si>
  <si>
    <t>I made no considerations.</t>
  </si>
  <si>
    <t>Pixiv</t>
  </si>
  <si>
    <t>It was easier than signing up (creating a new username, password, security questions, 2-step authorization setup, confirming active email, etc).</t>
  </si>
  <si>
    <t>I gave a ringtone app access to my contacts and messages so that it can change the notification/ringtone sounds.</t>
  </si>
  <si>
    <t>Images of CSI hoodie-wearing hackers with green code flashing by popped in my mind but then I chuckled and thought to myself that the gubbment is always watching already so what do I care. And since it's being offered on the Google app store, it's probably mostly safe...probably.</t>
  </si>
  <si>
    <t>Offerup</t>
  </si>
  <si>
    <t>Wether to use facebook sign in or google</t>
  </si>
  <si>
    <t>To transfer files</t>
  </si>
  <si>
    <t>The convenience of transferring via google</t>
  </si>
  <si>
    <t>zillow</t>
  </si>
  <si>
    <t>Information Third-party would receive</t>
  </si>
  <si>
    <t>accessing the third party app</t>
  </si>
  <si>
    <t>information security</t>
  </si>
  <si>
    <t>A clothing website</t>
  </si>
  <si>
    <t>What access the third-party would have to my email account</t>
  </si>
  <si>
    <t>I'd be concerned what kind of data they would be able to see and how this data would be used</t>
  </si>
  <si>
    <t>The most recent is a game through the Epic Games Client called Auto Chess. I had a mobile account for them first, and then associated it with my Google login so that I could switch when the PC platform launched.</t>
  </si>
  <si>
    <t>In this particular case, not a whole lot given there is no sensitive information involved. However, with other services, I do consider whether I want Google as a company have the information that I am involved in that particular application, or information which I may enter into said application.</t>
  </si>
  <si>
    <t>Whether I wanted to share that information both with Google (presumably the application will be collecting additional information), and with the app in question.</t>
  </si>
  <si>
    <t>Free Code Camp</t>
  </si>
  <si>
    <t>If it was a legitimate website</t>
  </si>
  <si>
    <t>If the website was legitimate</t>
  </si>
  <si>
    <t>Facebook</t>
  </si>
  <si>
    <t>How convenient it would be</t>
  </si>
  <si>
    <t>What specific things they need access to, how reputable the app is</t>
  </si>
  <si>
    <t>Beyondmenu.com 
 It's a food delivery service.</t>
  </si>
  <si>
    <t>I considered that it would be easier to sign in now that I didn't have to remember a username and password.</t>
  </si>
  <si>
    <t>If private information would be given to them or not.</t>
  </si>
  <si>
    <t>It was a forum that asked for it</t>
  </si>
  <si>
    <t>Whether or not it was safe</t>
  </si>
  <si>
    <t>If I need to use that particular app at all</t>
  </si>
  <si>
    <t>I would consider my data privacy, and choose not to link my Google account with the third party app if at all possible. I dont want third party companies to access any of my Google data.</t>
  </si>
  <si>
    <t>I would consider my data privacy when considering granting access to a third party app. I wouldn't want the company to have any access to my Google data.</t>
  </si>
  <si>
    <t>I signed into reddit using my google account.</t>
  </si>
  <si>
    <t>What permissions does this app require, what control will it have over my data, and will it look bad having this app connected to my account?</t>
  </si>
  <si>
    <t>I allowed an airline app to set up events to notify me of my flights in the future.</t>
  </si>
  <si>
    <t>Is this app trustworthy, and does it deserve the permissions it is requesting?</t>
  </si>
  <si>
    <t>Hideout</t>
  </si>
  <si>
    <t>Username and password.</t>
  </si>
  <si>
    <t>To install an app</t>
  </si>
  <si>
    <t>Looking to see if there was another app that did not require those permissions</t>
  </si>
  <si>
    <t>quora</t>
  </si>
  <si>
    <t>what data they would take</t>
  </si>
  <si>
    <t>what they would be able to do from my account</t>
  </si>
  <si>
    <t>Logged in to place order at a local restaurant chain</t>
  </si>
  <si>
    <t>Whether or not I wanted them to have access to my google account details</t>
  </si>
  <si>
    <t>To enable specific features of the app or service</t>
  </si>
  <si>
    <t>whether or not I want that app or service to have that kind of access to my account information</t>
  </si>
  <si>
    <t>Privacy reasons, whether I wanted others to see my email</t>
  </si>
  <si>
    <t>Privacy, how they would use information</t>
  </si>
  <si>
    <t>facebook</t>
  </si>
  <si>
    <t>nothing</t>
  </si>
  <si>
    <t>no</t>
  </si>
  <si>
    <t>I last did so to sign into Humble Bundle.</t>
  </si>
  <si>
    <t>I considered the implications of whether the site would get my data. However, I have done so before, so I felt safe signing in this way again.</t>
  </si>
  <si>
    <t>I would consider whether my account could be compromised, as well as whether my data would be obtained.</t>
  </si>
  <si>
    <t>Wirecutter</t>
  </si>
  <si>
    <t>whether I wanted to create a new account or just use my google or facebook</t>
  </si>
  <si>
    <t>Where it came from, security, what parts it wants access to</t>
  </si>
  <si>
    <t>How would my information be sold or shared with other third parties?</t>
  </si>
  <si>
    <t>Privacy and security.</t>
  </si>
  <si>
    <t>Most recently, I think connected my Google Account with the McDonalds app.</t>
  </si>
  <si>
    <t>I was hoping that they would not spam my email with promotional emails.</t>
  </si>
  <si>
    <t>I would consider if they could view my emails, Google Drive information, etc. This seems more invasive than other instances that I recall using.</t>
  </si>
  <si>
    <t>DoSomething.org was the last time I used Google to sign-in to a third-party app or service (about a week ago)</t>
  </si>
  <si>
    <t>I considered whether or not I wanted my Google Account (specifically my gmail) to be associated with that website, and also whether or not I felt it was necessary to have a more secure (individualized) password for that specific website (in this case, the answer was no, and hence I used my Google Account).</t>
  </si>
  <si>
    <t>I would consider what they are hoping to get access to (like which parts), whether I felt those parts were even a necessity for using that app, and how secure I felt the app itself was.</t>
  </si>
  <si>
    <t>Mobile games, because I don't want my email shared with them.</t>
  </si>
  <si>
    <t>I used log in with Apple.</t>
  </si>
  <si>
    <t>I considered how often I would use the service, if it was something I'd use temporarily then I'd sign in with an existing account, otherwise I used my email.</t>
  </si>
  <si>
    <t>It was relevant to the function of the app.</t>
  </si>
  <si>
    <t>I considered what the company does and their reasons for wanting access to that info, also the potential misuse of them with that info.</t>
  </si>
  <si>
    <t>GasBuddy</t>
  </si>
  <si>
    <t>I consider how much I expect to use the app, site, or service. I also consider where I plan to use it. The more that I expect to use something, the more likely I am to create a dedicated account for it. If I expect to use something less frequently, or only temporarily, or only on my phone, then I am more likely to just use my Google account to make things faster and easier.</t>
  </si>
  <si>
    <t>I'm not very reluctant to grant this type of access, so I would probably just agree to it.</t>
  </si>
  <si>
    <t>Zoom</t>
  </si>
  <si>
    <t>If it would be a lot easier for me to access it by using a Google Account.</t>
  </si>
  <si>
    <t>To allow access to the calendar and make setting meetings more convenient for me.</t>
  </si>
  <si>
    <t>How convenient it would be for me.</t>
  </si>
  <si>
    <t>tapas.io</t>
  </si>
  <si>
    <t>I, really, mainly considered the convenience for me.
 Of course there were some considerations made towards whether this prospective service I'd sign-on to was reputable.
 (As reputable as a layperson, such as myself, can ensure anyway.)</t>
  </si>
  <si>
    <t>Gosh.. ..I'm trying to recall!
 This isn't something I invoke very often, ya know — I'm not, like, a traditional techie.
 I'm an almost-40 year old who, through most of my life, basically had to go 'without' the more luxurious aspects of technology.
 Accordingly, I've largely-eschewed immersing myself too deeply with these things.</t>
  </si>
  <si>
    <t>I had to decide if the roll of the die was alright for me.</t>
  </si>
  <si>
    <t>I think I used it for signing into a site that I didn't want to have to create a separate account for, like a single use type thing.</t>
  </si>
  <si>
    <t>I considered whether I even wanted to sign in or needed to. I don't use my gmail account as my primary email so there's less to think about when I use it. It's usually a debate about whether I want to link google to whatever I'm looking at or make a separate account.</t>
  </si>
  <si>
    <t>It depends on whether I really need or want to use it or not.</t>
  </si>
  <si>
    <t>I believe it amazon and/or facebook</t>
  </si>
  <si>
    <t>I did not give it much thought (I did not feel in any way threatened or in danger of having my account compromised)</t>
  </si>
  <si>
    <t>Since I am not sure why a third-party app would need access to my Google account, I would not grant it and then I might research to find the reason</t>
  </si>
  <si>
    <t>Phemex</t>
  </si>
  <si>
    <t>Nothing</t>
  </si>
  <si>
    <t>youtube</t>
  </si>
  <si>
    <t>could have connected a different way</t>
  </si>
  <si>
    <t>Whether or not the third party would retain my log in info or track me.</t>
  </si>
  <si>
    <t>Why does it need access to certain elements of my google account and which ones</t>
  </si>
  <si>
    <t>A gaming app.</t>
  </si>
  <si>
    <t>I wanted to make a user name and password, but they only gave the "sign in with Google" to create an account.</t>
  </si>
  <si>
    <t>I would want to know why they need the information.</t>
  </si>
  <si>
    <t>Pinterest</t>
  </si>
  <si>
    <t>I asked myself should I sign in via Gmail and did so because it was quicker.</t>
  </si>
  <si>
    <t>Its purpose was to collect data.</t>
  </si>
  <si>
    <t>I took into account my personal info.</t>
  </si>
  <si>
    <t>joinhoney.com. (a rabat site).</t>
  </si>
  <si>
    <t>I consider if the website is trustworthy and if I can trust signing in using my gmail account in their website.</t>
  </si>
  <si>
    <t>Calendly - for accessing google calendar and reminder.</t>
  </si>
  <si>
    <t>That the website is reputable and it is safe to sign in using my google account.</t>
  </si>
  <si>
    <t>Microsoft job application</t>
  </si>
  <si>
    <t>Will my information be safe?</t>
  </si>
  <si>
    <t>What permissions am I giving up? Will this mine my data?</t>
  </si>
  <si>
    <t>Netflix and amazon</t>
  </si>
  <si>
    <t>My privacy</t>
  </si>
  <si>
    <t>The sensitive information needed to access the app</t>
  </si>
  <si>
    <t>I would consider whether I want the particular website tied to my Google account.</t>
  </si>
  <si>
    <t>I wanted to share access to a class calendar.</t>
  </si>
  <si>
    <t>I thought that it was important to keep up with my course schedule.</t>
  </si>
  <si>
    <t>I considered using a separate user name and password.</t>
  </si>
  <si>
    <t>How my data was going to be used.</t>
  </si>
  <si>
    <t>Probably YouTube or linking it to my Xbox account</t>
  </si>
  <si>
    <t>Whether it would be better to make a new account on the third party or just use the all encompassing google account.</t>
  </si>
  <si>
    <t>An extension for google docs that builds bibliographies</t>
  </si>
  <si>
    <t>Whether I really wanted them to have that info or not.</t>
  </si>
  <si>
    <t>I don't use it because I don't want more things linked to my google account that could be compromised.</t>
  </si>
  <si>
    <t>I would think about why they would want this access and if I trusted them.</t>
  </si>
  <si>
    <t>This survey</t>
  </si>
  <si>
    <t>The information that would be shared with the app/service, the level of access and permissions, as well as whether or not there was a way to participate without having to sign in with Google.</t>
  </si>
  <si>
    <t>What information would be shared, what kind of access/permissions the third-party would have to my information, account, and ability to make specific actions, as well as whether or not I could use the third party service without having to sign in.</t>
  </si>
  <si>
    <t>My own privacy, and whether the app would use it for anything malicious, or to use my account to do things I would not it want it to.</t>
  </si>
  <si>
    <t>Why would I want it to attach to the calendar apps and so on - this is a bad idea generally speaking</t>
  </si>
  <si>
    <t>I used it to play a mobile game. Was too lazy to make a separate account not based on google.</t>
  </si>
  <si>
    <t>Whether or not I would use the service for long term than I would use my google account.</t>
  </si>
  <si>
    <t>It is so I can use the service as it required a login.</t>
  </si>
  <si>
    <t>I check the various options listed that gives various permission on my google account. I usually uncheck the ones dealing with contact info, pictures/media stuff.</t>
  </si>
  <si>
    <t>I honestly don't remember, but it happens often-ish, like once or twice a month.</t>
  </si>
  <si>
    <t>Is this application reputable enough to have invested in data security.</t>
  </si>
  <si>
    <t>Usually it's just so I can access whatever free information they're forcing me to have an account for.</t>
  </si>
  <si>
    <t>Is my debit card going to get stolen? What about my browsing history? which is worse?</t>
  </si>
  <si>
    <t>I think it was a food delivery app (Doordash,Ubereats etc.)</t>
  </si>
  <si>
    <t>I wondered if I should just use a normal email or apple ID instead of my google acocunt.</t>
  </si>
  <si>
    <t>What specifically they're asking to gain access to. Many times I deny if it's too invading.</t>
  </si>
  <si>
    <t>I don't remember.</t>
  </si>
  <si>
    <t>I was worried about security of my Google Account.</t>
  </si>
  <si>
    <t>Games want access to Google Play and sometimes contacts.</t>
  </si>
  <si>
    <t>I was concerned about security of my account and access to my personal information.</t>
  </si>
  <si>
    <t>I do not usually use my google account to sign in. I prefer an individual sign in with each app and service</t>
  </si>
  <si>
    <t>I was in a hurry</t>
  </si>
  <si>
    <t>That is was easier</t>
  </si>
  <si>
    <t>If it was safe to do so, that my Google account wouldn't be harmed</t>
  </si>
  <si>
    <t>What parts of my account the app wanted access to, whether the app seemed safe/secure enough, how much privacy I wanted to maintain from the app, whether it was more important to be able to use the app or maintain privacy</t>
  </si>
  <si>
    <t>N/A</t>
  </si>
  <si>
    <t>to allow it to run properly</t>
  </si>
  <si>
    <t>I used it to sign up for an online newspaper subscription. It was for the WSJ.</t>
  </si>
  <si>
    <t>I considered what information the service or app would be getting from me.</t>
  </si>
  <si>
    <t>I would consider how they plan on using my information before giving them access.</t>
  </si>
  <si>
    <t>if I remembered my password...</t>
  </si>
  <si>
    <t>NO...I don't normally allow third party apps access to my account information</t>
  </si>
  <si>
    <t>The last time i did was when i was trying to log into my Fantasy premier league account</t>
  </si>
  <si>
    <t>I considered how easy it would be for me rather than inputting my details all over.</t>
  </si>
  <si>
    <t>The purpose was for it to set up a reminder for me</t>
  </si>
  <si>
    <t>I considered how relatively easy it would be</t>
  </si>
  <si>
    <t>I mostly use it to sign into third party social media apps, such as Reddit.</t>
  </si>
  <si>
    <t>I considered whether or not I trusted the company that the app is being represented by, whether or not trusting that app with my data was a safe choice.</t>
  </si>
  <si>
    <t>I allowed a third-party app to access my calendar information for a work function.</t>
  </si>
  <si>
    <t>I considered whether or not I trusted the app I was giving access to my data/Google account.</t>
  </si>
  <si>
    <t>How reputable to the site is.</t>
  </si>
  <si>
    <t>I believe it was to use a receipt saving/tracking app.</t>
  </si>
  <si>
    <t>How long the company has been around and reputation.</t>
  </si>
  <si>
    <t>infinix hot 8</t>
  </si>
  <si>
    <t>security purpose</t>
  </si>
  <si>
    <t>i considered the source its coming from</t>
  </si>
  <si>
    <t>Indeed.com</t>
  </si>
  <si>
    <t>if that service has access to information associated with my Google Account</t>
  </si>
  <si>
    <t>how much information associated with my Google account that app has access to</t>
  </si>
  <si>
    <t>Mcdonalds app to get free fries.</t>
  </si>
  <si>
    <t>I considered what that app would have access to if I signed in through there.</t>
  </si>
  <si>
    <t>If it takes my personal information and if it can track my location 24/7</t>
  </si>
  <si>
    <t>It was Facebook</t>
  </si>
  <si>
    <t>Whether my information would be shared between the two.</t>
  </si>
  <si>
    <t>If this was a legitimate access request.</t>
  </si>
  <si>
    <t>I was using a website called hideout.tv and used google to sign in.</t>
  </si>
  <si>
    <t>I considered using facebook instead of google to sign in.</t>
  </si>
  <si>
    <t>How much do they see from my phone? They shouldn't have access to pictures.</t>
  </si>
  <si>
    <t>Handshake</t>
  </si>
  <si>
    <t>if it was safe</t>
  </si>
  <si>
    <t>Instacart</t>
  </si>
  <si>
    <t>Whether it would be faster than creating an account specifically for that platform, and whether it would be a safe site to trust with my information</t>
  </si>
  <si>
    <t>I wanted to use it to sign in to order groceries</t>
  </si>
  <si>
    <t>I wanted to be sure it wouldn't use any permissions I was uncomfortable with</t>
  </si>
  <si>
    <t>A protein bar shopping website.</t>
  </si>
  <si>
    <t>It was easier and faster than creating a separate account</t>
  </si>
  <si>
    <t>How much it would add to my calendar and emails.</t>
  </si>
  <si>
    <t>Clash Royale</t>
  </si>
  <si>
    <t>How much i trust the app, if its a verified app on google play store, if the developer is famous or of trust.</t>
  </si>
  <si>
    <t>I would not grant such invase acess</t>
  </si>
  <si>
    <t>Class Link</t>
  </si>
  <si>
    <t>if it would work</t>
  </si>
  <si>
    <t>what information they would have access to. What would they be doing with that information.</t>
  </si>
  <si>
    <t>youtube.com</t>
  </si>
  <si>
    <t>I didn't consider much, I use google sign in pretty regularly.</t>
  </si>
  <si>
    <t>I would consider how much information they would receive and if giving up my privacy was worth the service.</t>
  </si>
  <si>
    <t>I used another (work) google account to sign into various software accounts at work. Most often, the Amplify ELA program and Zearn math program.</t>
  </si>
  <si>
    <t>There were benefits of linking the software to my google account as a teacher.</t>
  </si>
  <si>
    <t>It would need to be an app I planned to use and rely on often, from a trusted developer.</t>
  </si>
  <si>
    <t>Do not remember. I use this so frequently because it is very convenient</t>
  </si>
  <si>
    <t>Mostly I try to look at the permissions and the reputation of the company itself</t>
  </si>
  <si>
    <t>I don't remember what is was abott</t>
  </si>
  <si>
    <t>I look at the list of permissiosn to make sure nothing is out of order or spooky</t>
  </si>
  <si>
    <t>I use Google Account sign in on most platforms that make it available. It's hard to remember which ones I use it on specifically (such as the last time I used it), because it is so ubiquitous.</t>
  </si>
  <si>
    <t>I do consider privacy, but mostly I consider convenience as I have relative trust in Google's privacy measures.</t>
  </si>
  <si>
    <t>Likely it was for calendar integration as seen on the previous example.</t>
  </si>
  <si>
    <t>In situations like these, I am thinking more critically towards privacy and what permissions I'm allowing the 3rd party to have</t>
  </si>
  <si>
    <t>Canva</t>
  </si>
  <si>
    <t>The ease of signing in via Google.</t>
  </si>
  <si>
    <t>Google Audio Player for Drive</t>
  </si>
  <si>
    <t>The ease of having already connected my drive to the google account.</t>
  </si>
  <si>
    <t>I was registering on a website to buy some lawn mower parts. I don't remember the exact website name.</t>
  </si>
  <si>
    <t>I was trying to figure out if I would remember how I logged into this site. I have dozens and dozens of websites and apps that require user names and passwords. So now I have one more site to remember.</t>
  </si>
  <si>
    <t>I consider how much access the app is requesting and I try to determine if it's reasonable.</t>
  </si>
  <si>
    <t>I think it was some sort of online service, I don't remember exactly for what though.</t>
  </si>
  <si>
    <t>Do I want to actually go through with this</t>
  </si>
  <si>
    <t>Whether it was necessary and what it did for me</t>
  </si>
  <si>
    <t>Instagram</t>
  </si>
  <si>
    <t>How they would use my info and if my info would be secure</t>
  </si>
  <si>
    <t>How it would use my information and if they were secure</t>
  </si>
  <si>
    <t>I think it was some shopping app, possibly Poskmark?</t>
  </si>
  <si>
    <t>If I wanted to use my Google or Facebook account to log on.</t>
  </si>
  <si>
    <t>I think it was to view my contacts/calendar.</t>
  </si>
  <si>
    <t>If that third-party really needed access to that or not.</t>
  </si>
  <si>
    <t>A restaurant...But I can't remember which one it was.</t>
  </si>
  <si>
    <t>Nothing. I often sign in with my Google Account, so it's easy to access my apps.</t>
  </si>
  <si>
    <t>I try to sign in with my Google Account when I can to streamline logging into my apps.</t>
  </si>
  <si>
    <t>I double-check what Google is accessing, but that's about it.</t>
  </si>
  <si>
    <t>Last one I recall was Doordash.</t>
  </si>
  <si>
    <t>Its mainly a matter of convenience its gets old making new accounts for everything.</t>
  </si>
  <si>
    <t>To allow me to fully utilize the third party app.</t>
  </si>
  <si>
    <t>Nothing I wished to use the app.</t>
  </si>
  <si>
    <t>I think it was for my son's school , some sort of educational app.</t>
  </si>
  <si>
    <t>Nothing really, I figure if it's educational it's pretty safe.</t>
  </si>
  <si>
    <t>To allow my son to complete his school work.</t>
  </si>
  <si>
    <t>If it was safe, did it appear secure and safe.</t>
  </si>
  <si>
    <t>I used it to sign into a website like Yelp to look at reviews.</t>
  </si>
  <si>
    <t>I considered how much information they'd receive from me and if it would make an account.</t>
  </si>
  <si>
    <t>I used it to use an app that let me edit PDFs for free.</t>
  </si>
  <si>
    <t>I didn't really consider much. I just wanted to be able to edit my PDF and download it for free.</t>
  </si>
  <si>
    <t>Ebay</t>
  </si>
  <si>
    <t>If my information would be stolen.</t>
  </si>
  <si>
    <t>To sign in easier.</t>
  </si>
  <si>
    <t>That my information could be stolen.</t>
  </si>
  <si>
    <t>privacy</t>
  </si>
  <si>
    <t>privacy and cost</t>
  </si>
  <si>
    <t>I use it to sign in to google suite software.</t>
  </si>
  <si>
    <t>I considered signing in with a username and password but google account was easier</t>
  </si>
  <si>
    <t>I would consider the privacy aspect before granting any form of access.</t>
  </si>
  <si>
    <t>I'd consider if I want my email linked to their app or service, assuming that they'll be sending me multiple emails a week. I'd also question if it would have any actual benefit, considering Google Chrome saves login information anyway.</t>
  </si>
  <si>
    <t>I'd need to know how much it would actually help me, and in what ways it would make my life easier. I'd also question if they'll be sending unnecessary emails.</t>
  </si>
  <si>
    <t>Adobe</t>
  </si>
  <si>
    <t>That it was more convenient</t>
  </si>
  <si>
    <t>That there would/could be a loss of privacy</t>
  </si>
  <si>
    <t>I believe I used it to sign into an online app like Canva for making designs for webpages/graphic design.</t>
  </si>
  <si>
    <t>I didn't consider much, my google account has always been good to me and offered ease of use with many things.</t>
  </si>
  <si>
    <t>I would consider nothing again, I probably put too much trust in Google and it's become a crutch at this point, I would easily allow it to be used in 3rd party situations.</t>
  </si>
  <si>
    <t>simplifi</t>
  </si>
  <si>
    <t>nothing, I often use this for software I use frequently</t>
  </si>
  <si>
    <t>contacts and mail</t>
  </si>
  <si>
    <t>whether this was needed</t>
  </si>
  <si>
    <t>I don't remember what the last time was, but I usually use this service for log ins that I deem unimportant in terms of security.</t>
  </si>
  <si>
    <t>Security</t>
  </si>
  <si>
    <t>Security. Privacy.</t>
  </si>
  <si>
    <t>I think the last time I used a Google Account to sign in was Lumin PDF, a tool that you can use to edit and view PDFs.</t>
  </si>
  <si>
    <t>I knew that I only really needed to use Lumin PDF for a quick task related to some job application, so I wasn't bothered to try to actually make an account on their service, I knew that using my google account to sign in was convenient and easy.</t>
  </si>
  <si>
    <t>I granted third party acess to ZIP extractor because I needed for it to use my google drive so that it could unzip certain files related to a programming project that I was working on.</t>
  </si>
  <si>
    <t>I considered downloading a ZIP extractor on my desktop and unzipping the relevant folder, however it seemed much easier to just access it from Google Drive, as the folder was originally already online and I wanted to store the data in the cloud as well.</t>
  </si>
  <si>
    <t>I would not do it cause thats something I don't do.</t>
  </si>
  <si>
    <t>No</t>
  </si>
  <si>
    <t>It was for a communication app for private messaging with my doctor's office.</t>
  </si>
  <si>
    <t>I don't usually sign in with my Google account because I don't want to start getting a bunch of spam to my Gmail account, but I didn't think this was very likely in this case.</t>
  </si>
  <si>
    <t>I might use it, but I would have to strongly consider what app I am using and whether I would really want that app to have access to my other Google information.</t>
  </si>
  <si>
    <t>I use the Google Account to sign into lots of things, I don't remember offhand what the last one was. I also keep most of my services signed in, only having to resubmit login forms when I clear browsing data.</t>
  </si>
  <si>
    <t>Will this lead to shady, unclear recurring payments?</t>
  </si>
  <si>
    <t>Will this information be shared? If the EULA for Google says no, what loopholes exist to allow them to share my data?</t>
  </si>
  <si>
    <t>I honestly can't remember precisely. I think it might have been Slack or Bitbucket for work.</t>
  </si>
  <si>
    <t>Creating an account with email just in case there was inter-data mingling. I'm usually really precautious of my information.</t>
  </si>
  <si>
    <t>What information is being accessed by the third-party app.</t>
  </si>
  <si>
    <t>Indeed</t>
  </si>
  <si>
    <t>Whether my account on the site was truly linked to my Google Account or not</t>
  </si>
  <si>
    <t>Accessing Google Calendar to modify events</t>
  </si>
  <si>
    <t>What permissions were being granted and how much information I was conceding</t>
  </si>
  <si>
    <t>not sure</t>
  </si>
  <si>
    <t>Amazon</t>
  </si>
  <si>
    <t>I didn't consider anything.</t>
  </si>
  <si>
    <t>I would have to know I can trust the app before I would grant them access to my account.</t>
  </si>
  <si>
    <t>I used my Google account to sign into the McDonald's app.</t>
  </si>
  <si>
    <t>I find that signing in with my Google account is much faster and easier than to remember many different login information pieces.</t>
  </si>
  <si>
    <t>Syncing a calendar function within a third party app.</t>
  </si>
  <si>
    <t>I did think about the security features and if I would like Google to have access to other apps that contain personal information.</t>
  </si>
  <si>
    <t>Tynker</t>
  </si>
  <si>
    <t>I did not consider anything, as I thought that it was completely safe.</t>
  </si>
  <si>
    <t>The purpose was to log in to my account.</t>
  </si>
  <si>
    <t>I did not consider anything, as I thought it was completely safe.</t>
  </si>
  <si>
    <t>Facebook sign in</t>
  </si>
  <si>
    <t>If I want that app to be synced with my Google such as calendar.</t>
  </si>
  <si>
    <t>If I remembered my email.</t>
  </si>
  <si>
    <t>It was required to sign up</t>
  </si>
  <si>
    <t>Would it steal my info</t>
  </si>
  <si>
    <t>Hubspot</t>
  </si>
  <si>
    <t>If it was safe and if my info would be safe.</t>
  </si>
  <si>
    <t>If it is safe to do so.</t>
  </si>
  <si>
    <t>Killi</t>
  </si>
  <si>
    <t>creating an account on the site, or use the federated login to create an account.</t>
  </si>
  <si>
    <t>able to upload saved game daya</t>
  </si>
  <si>
    <t>if the app had the ability to modify other data on my account.</t>
  </si>
  <si>
    <t>whether or not to sign in using my facebook account instead</t>
  </si>
  <si>
    <t>to monitor health data</t>
  </si>
  <si>
    <t>whether or not it had access to other personal data</t>
  </si>
  <si>
    <t>call of duty mobile</t>
  </si>
  <si>
    <t>if i should have logged in with facebook instead</t>
  </si>
  <si>
    <t>Lumen to edit pdfs</t>
  </si>
  <si>
    <t>Making an account</t>
  </si>
  <si>
    <t>To edit my google drive</t>
  </si>
  <si>
    <t>Using another app</t>
  </si>
  <si>
    <t>I think it was for a food delivery app</t>
  </si>
  <si>
    <t>How much information I want to share</t>
  </si>
  <si>
    <t>Again, for the food delivery app but cannot remember its name</t>
  </si>
  <si>
    <t>Making sure that I knew what I was agreeing to</t>
  </si>
  <si>
    <t>I think I did it for another survey app that was using my email.</t>
  </si>
  <si>
    <t>I didn't consider much, except how much quicker and easier it would be to sign on using this method.</t>
  </si>
  <si>
    <t>To allow for easier sign on access.</t>
  </si>
  <si>
    <t>How to expedite the sign on process.</t>
  </si>
  <si>
    <t>Printify, an on-demand printing company.</t>
  </si>
  <si>
    <t>I considered if I wanted to create an account or conveniently use my google account.</t>
  </si>
  <si>
    <t>I would consider my privacy and if it was safe to be sharing that info with that website.</t>
  </si>
  <si>
    <t>Linus Tech Tips forum.</t>
  </si>
  <si>
    <t>How they would see my information, and if they would market it. What data they would get on my profile, and if anything were unnecessary. I personally prefer Sign in with Apple as it's more private but I digress.</t>
  </si>
  <si>
    <t>Last week, an app called calendars 5 on iOS, it'll be able to read my calendar and lets me use my voice to add events</t>
  </si>
  <si>
    <t>Privacy and if the app uses anything for marketing data.</t>
  </si>
  <si>
    <t>I believe I used it to sign up for a website to make a restaurant reservation</t>
  </si>
  <si>
    <t>I considered the amount of ease that it would take to just sign in with that account and not have to enter all of my information.</t>
  </si>
  <si>
    <t>what the service does, and the reputation that it has overall</t>
  </si>
  <si>
    <t>if it tracked my video analytics</t>
  </si>
  <si>
    <t>to store my acct in the cloud to recover</t>
  </si>
  <si>
    <t>if my data could be leaked</t>
  </si>
  <si>
    <t>The reedsy website</t>
  </si>
  <si>
    <t>Trying to figure out if it would be better to try and create an account or if I wanted to do it the easy way.</t>
  </si>
  <si>
    <t>What in particular it needed access to, it's privacy policy.</t>
  </si>
  <si>
    <t>McDonalds</t>
  </si>
  <si>
    <t>I was hungry and wanted a fast login.</t>
  </si>
  <si>
    <t>So I could use the app.</t>
  </si>
  <si>
    <t>I wasn't happy that I had to agree to that loss of privacy, but I really wanted to use the app in that moment and understood I was consenting to losing the privacy.</t>
  </si>
  <si>
    <t>I can't remember what I actually used it for but I remember pinterest trying to make me sign in, otherwise it seems impossible to look at their site. I refused though, because I don't want to connect with more junk.</t>
  </si>
  <si>
    <t>oh, well I considered whether I wanted to be pestered by the site or not.</t>
  </si>
  <si>
    <t>Again, I can't remember exactly what but I know I have granted access for games from the playstore.</t>
  </si>
  <si>
    <t>I considered whether it was safe, whether or not the service was important for me.</t>
  </si>
  <si>
    <t>indeed app</t>
  </si>
  <si>
    <t>Photos</t>
  </si>
  <si>
    <t>Spotify</t>
  </si>
  <si>
    <t>How easily the service could be hacked</t>
  </si>
  <si>
    <t>To grant me access to enable me to play a video game</t>
  </si>
  <si>
    <t>How easily the service could be hacked and if my information were to be compromised.</t>
  </si>
  <si>
    <t>I would consider what the site is, how often I'd use it, whether or not I trust the site, what their privacy settings are, and if I even want to do that.</t>
  </si>
  <si>
    <t>I want to have full control over my account, and not let another app have anything to do with it. I'd not trust the app, and wouldn't want them invading my privacy.</t>
  </si>
  <si>
    <t>I think I used my google account to sign into my adobe account, but I don't remember.</t>
  </si>
  <si>
    <t>I considered using facebook because most of my accounts are linked to my facebook instead.</t>
  </si>
  <si>
    <t>I'd consider whether that third party app will send me lots of emails or what the third party app is for.</t>
  </si>
  <si>
    <t>avclub.com</t>
  </si>
  <si>
    <t>I thought it would more convenient to use my existing account rather than make a new one specifically for the service.</t>
  </si>
  <si>
    <t>I would wonder what benefit it would be to me and if it were completely necessary to give a third party app any additional access.</t>
  </si>
  <si>
    <t>A survey site</t>
  </si>
  <si>
    <t>Would google be tracking what I do on site.
 Is site privy to my other uses of google login.
 will the site log me into other sites automatically using login.</t>
  </si>
  <si>
    <t>Im not sure</t>
  </si>
  <si>
    <t>I used my Google Account to log into Canva</t>
  </si>
  <si>
    <t>I considered the ease of use that logging in with Google would bring, but also balanced the potential privacy issue that could arise if the third-party app turned out to be malicious and use my Google information nefariously</t>
  </si>
  <si>
    <t>I granted a third-party app access to my Google account because it was a plug-in that could make my work easier in Google Sheets</t>
  </si>
  <si>
    <t>The benefits of the third-party app balanced with the potential loss-of-privacy that is inherent to giving a third-party app access to my account</t>
  </si>
  <si>
    <t>It was a health portal at my doctor's office</t>
  </si>
  <si>
    <t>If I would be able to remember my gmail password</t>
  </si>
  <si>
    <t>To scan for receipts</t>
  </si>
  <si>
    <t>How much money it would make me and security questions as well.</t>
  </si>
  <si>
    <t>Do I want this account to be associated with what I'm signing into?</t>
  </si>
  <si>
    <t>I think it was to play a phone game.</t>
  </si>
  <si>
    <t>Do I want my account associated with this?</t>
  </si>
  <si>
    <t>I can't remember all of the specific services I've used it for, but I have used it several times in the past. I do know one app was Ibotta. I can't really recall the rest though, sorry.</t>
  </si>
  <si>
    <t>Convenience versus privacy</t>
  </si>
  <si>
    <t>Sure, I think there are enough measures in place to ensure privacy.</t>
  </si>
  <si>
    <t>I am not sure.</t>
  </si>
  <si>
    <t>How secure I feel it is.</t>
  </si>
  <si>
    <t>What kind of information they are accessing.</t>
  </si>
  <si>
    <t>Nest</t>
  </si>
  <si>
    <t>Are they safe and legitiment</t>
  </si>
  <si>
    <t>Nest is a google company so I'm not sure it meets the purpose of this study. But is allows me to run my thermostat</t>
  </si>
  <si>
    <t>Saftey</t>
  </si>
  <si>
    <t>I used my google account to log in to a dating app.</t>
  </si>
  <si>
    <t>I wasn't sure if the app would spam me emails or not.</t>
  </si>
  <si>
    <t>It needed some personal information for example it needed access so the app could verify my age.</t>
  </si>
  <si>
    <t>I wasn't sure if the app should have gained so much information about me.</t>
  </si>
  <si>
    <t>loopnet</t>
  </si>
  <si>
    <t>I did not wanted to create account on Loopnet, and it is easier to sign in with my Google account</t>
  </si>
  <si>
    <t>I would consider if I really need the services that the app offer. Also, do I trust the app to access my Google information.</t>
  </si>
  <si>
    <t>pinterest</t>
  </si>
  <si>
    <t>whether it was secure</t>
  </si>
  <si>
    <t>to sign into my zoom acount</t>
  </si>
  <si>
    <t>whether it was secure and could i trust it.</t>
  </si>
  <si>
    <t>GitHub</t>
  </si>
  <si>
    <t>Nothing! I trust the SSO thing that's built into websites, I just think that it'll be significantly easier to log in even though I use a password manager</t>
  </si>
  <si>
    <t>Access contacts I think</t>
  </si>
  <si>
    <t>Nothing! Like before, I generally trust anything that leads to that google SSO page.</t>
  </si>
  <si>
    <t>I believe the last single sign in third-party app I signed up for was Sprout. I did it so I could track my twitter engagement (also set up with Google Account I think).</t>
  </si>
  <si>
    <t>Reliability of the website is usually crucial to me. I don't typically use Google Accounts to sign in unless I know the website is legitimate. I don't know if Google checks what third-party apps or service use their API, but if they do, I don't think they do a great job. Just want to make sure I don't get my primary email spammed before applying it and signing in.</t>
  </si>
  <si>
    <t>I granted a flowchart app permission to read/write files into my Google Drive so that I could easily organize my flowcharts.</t>
  </si>
  <si>
    <t>Again, I really was focused on website reliability. Even more so than for single sign-in. When it comes to access, I really want to make sure I know who I am giving the rights to and why they need it. If they're asking for more than seems reasonably necessary, I'll just go somewhere else.</t>
  </si>
  <si>
    <t>Apple</t>
  </si>
  <si>
    <t>I considered who could access my data and what the consequences would be.</t>
  </si>
  <si>
    <t>Help me manage my other apps</t>
  </si>
  <si>
    <t>privacy concerns</t>
  </si>
  <si>
    <t>I can't recall the exact site, but I remember that it was a well-known, trusted site. I think it was Visa Fast Pay (or whatever that one is called).</t>
  </si>
  <si>
    <t>If they're not a well-known, trusted site, then I don't do that 3rd party sign-in because I don't want it linked to my email because I've been hacked before.</t>
  </si>
  <si>
    <t>I think it was Farmville or something like that. Some site that I'd used for years &amp; fully trusted.</t>
  </si>
  <si>
    <t>Same as with the others, I don't allow it unless it's a well-known, trusted sight.</t>
  </si>
  <si>
    <t>Calendly</t>
  </si>
  <si>
    <t>I didn't have to think twice, just signed in using google</t>
  </si>
  <si>
    <t>To provide easier accessibility, for example, syncing calendly with google calendar made it easy for me to see my schedule</t>
  </si>
  <si>
    <t>I was a little concerned my data could be leaked, but ultimately still granted third-party access</t>
  </si>
  <si>
    <t>JetBrains</t>
  </si>
  <si>
    <t>If I wanted to create an account or not</t>
  </si>
  <si>
    <t>3rd party Google Drive client</t>
  </si>
  <si>
    <t>If I can find a 1st party app that can do what I need first.</t>
  </si>
  <si>
    <t>coinrule.io</t>
  </si>
  <si>
    <t>allowing myself access to my stuff (integrating platforms and scripts)</t>
  </si>
  <si>
    <t>doing it from scratch</t>
  </si>
  <si>
    <t>uber eats</t>
  </si>
  <si>
    <t>If I was logging into the correct google account</t>
  </si>
  <si>
    <t>To connect my payment information</t>
  </si>
  <si>
    <t>If my information was safe</t>
  </si>
  <si>
    <t>This survey. Prior to that, likely You Need a Budget.</t>
  </si>
  <si>
    <t>I didn't consider anything. OAuth is a no-brainer to me.</t>
  </si>
  <si>
    <t>Adding smart home devices to google assistant</t>
  </si>
  <si>
    <t>I considered if the app really needed all of the permissions it requested.</t>
  </si>
  <si>
    <t>Reddit, Youtube</t>
  </si>
  <si>
    <t>I didn't consider anything beyond knowing that it would give me personalized access to the app by creating an account linked to my google account.</t>
  </si>
  <si>
    <t>I don't recall ever granting access to third party apps but I'm sure I have. I wouldn't consider anything before granting access, I already have a google account and a smartphone my privacy is already compromised so why overthink it.</t>
  </si>
  <si>
    <t>uber</t>
  </si>
  <si>
    <t>that i didnt want to make yet another password, so i just signed in with my gmail instead</t>
  </si>
  <si>
    <t>Will they be storing my personal information.</t>
  </si>
  <si>
    <t>A Nintendo app.</t>
  </si>
  <si>
    <t>How well known the company publishing the app was.</t>
  </si>
  <si>
    <t>How necessary it was. I would not grant access unless doing so would be extremely beneficial to me.</t>
  </si>
  <si>
    <t>I wouldn't do it.</t>
  </si>
  <si>
    <t>I wouldn't.</t>
  </si>
  <si>
    <t>I would not use one.</t>
  </si>
  <si>
    <t>Yes.</t>
  </si>
  <si>
    <t>i mostly consider the idea that i shouldnt be required to sign in to see the content, so i refuse to use my account to sign in and typically can still view the content, so i see no reason to affiliate my account with my activity in such a manner</t>
  </si>
  <si>
    <t>teh compatibility and ease of synching of the info from app to app</t>
  </si>
  <si>
    <t>if it would actually be helpful or not</t>
  </si>
  <si>
    <t>zoom</t>
  </si>
  <si>
    <t>i thought it might not be a great idea safetywise but still did it</t>
  </si>
  <si>
    <t>thats too much permissions for something</t>
  </si>
  <si>
    <t>I used my Google Account to sign in to an app called Dabbl where you view ads to earn points that you can cash out for gift cards.</t>
  </si>
  <si>
    <t>I didn't really consider much - if anything I thought about whether I wanted the app tied to my Google or Facebook account. I chose Google since Facebook seems to open up a bit more personal information during SSO than Google does.</t>
  </si>
  <si>
    <t>If the service I was granting access to was trustworthy and exactly what information they were trying to gain access to in my Google Account.</t>
  </si>
  <si>
    <t>canva.com</t>
  </si>
  <si>
    <t>If my Google account password could possibly be compromised by signing in that way</t>
  </si>
  <si>
    <t>Why the app needs the access it does. I would also be concerned about what they did with the information after they got it</t>
  </si>
  <si>
    <t>I can't remember which site it was off the top of my head sadly</t>
  </si>
  <si>
    <t>Usually I weigh whether it's more convenient to make a specific account for that site/service or just use my google account to log-in</t>
  </si>
  <si>
    <t>I can't remember off the top of my head sadly but it must've been important!</t>
  </si>
  <si>
    <t>if I felt okay with it having access</t>
  </si>
  <si>
    <t>A website we use for school called talking points.</t>
  </si>
  <si>
    <t>I considered using my email and password instead.</t>
  </si>
  <si>
    <t>I allowed Zoom to access my calendar</t>
  </si>
  <si>
    <t>I really didn't consider anything else. I knew I had to connect my Zoom account with my Google Account.</t>
  </si>
  <si>
    <t>App for a local restaurant</t>
  </si>
  <si>
    <t>How hard it would be to create another account with that third party app or service compared to how easy it would be to sign in with Google</t>
  </si>
  <si>
    <t>Privacy and security</t>
  </si>
  <si>
    <t>Reddit.</t>
  </si>
  <si>
    <t>I try to keep it to a minimum and only allow apps that are widely known and trusted.</t>
  </si>
  <si>
    <t>How my information is being used and what they can access.</t>
  </si>
  <si>
    <t>I don't recall.</t>
  </si>
  <si>
    <t>I looked to see how easy it was to log in to the application and whether or not I wanted to share the information with FaceBook.</t>
  </si>
  <si>
    <t>To add something to my calendar</t>
  </si>
  <si>
    <t>If I would notice it more on the google calendar or the calendar on my phone.</t>
  </si>
  <si>
    <t>I think mcdonalds app</t>
  </si>
  <si>
    <t>signing up through regular email and password</t>
  </si>
  <si>
    <t>what it is asking for access for.</t>
  </si>
  <si>
    <t>stockx</t>
  </si>
  <si>
    <t>how much faster it is than making an account</t>
  </si>
  <si>
    <t>to send me notifications</t>
  </si>
  <si>
    <t>i usually dont care when it asks i just say yes</t>
  </si>
  <si>
    <t>I considered creating an individual account, but figured it'd be easier to just log in with google.</t>
  </si>
  <si>
    <t>I would consider what they were asking to access. They shouldn't be able to access my webcam or identity.</t>
  </si>
  <si>
    <t>To make a hair cut appoint on Vagaro</t>
  </si>
  <si>
    <t>If the app would know anything except my name</t>
  </si>
  <si>
    <t>Big brother would know my schedule. No, thank you.</t>
  </si>
  <si>
    <t>shein</t>
  </si>
  <si>
    <t>If they will use my information</t>
  </si>
  <si>
    <t>when i had an android phone</t>
  </si>
  <si>
    <t>I didnt, since it was a part of android i just let it</t>
  </si>
  <si>
    <t>I think it was facebook?</t>
  </si>
  <si>
    <t>If it was going to take longer doing it that way vs just typing in my information</t>
  </si>
  <si>
    <t>if it was going to spam me with unnecessary notifications/emails</t>
  </si>
  <si>
    <t>I use this service all the time, I sign in to all the apps on my phone with Google, from Twitter to my Fifth Third Banking account, to Facebook.</t>
  </si>
  <si>
    <t>I honestly don't recall.</t>
  </si>
  <si>
    <t>Upvoice is the app I was trying to use.</t>
  </si>
  <si>
    <t>If I always wanted to sign in with my google account in the future.</t>
  </si>
  <si>
    <t>I would just want to make sure it was safe for Google and my account.</t>
  </si>
  <si>
    <t>Honey</t>
  </si>
  <si>
    <t>resetting my password</t>
  </si>
  <si>
    <t>To access my shipping information for packages</t>
  </si>
  <si>
    <t>Hideout TV</t>
  </si>
  <si>
    <t>I considered whether or not the process would be easier than creating a new account. I also thought about what info from my Google account it may have access to.</t>
  </si>
  <si>
    <t>I would consider what personal info connected to my Google Account that they would receive.</t>
  </si>
  <si>
    <t>Grammarly</t>
  </si>
  <si>
    <t>If I already had an account</t>
  </si>
  <si>
    <t>If this info was necessary for the app to have</t>
  </si>
  <si>
    <t>Quizlet</t>
  </si>
  <si>
    <t>Privacy concerns-- what info the company would get from my gmail account</t>
  </si>
  <si>
    <t>To log in to the third party app</t>
  </si>
  <si>
    <t>Privacy and data sharing</t>
  </si>
  <si>
    <t>TextNow</t>
  </si>
  <si>
    <t>If I trust the app or not</t>
  </si>
  <si>
    <t>A PDF editing site</t>
  </si>
  <si>
    <t>If it was worth using my account</t>
  </si>
  <si>
    <t>Whether I wanted to let the site gain access to my email account</t>
  </si>
  <si>
    <t>how protected my information would be</t>
  </si>
  <si>
    <t>protection of my information</t>
  </si>
  <si>
    <t>I pause for a second to make sure the site doesn't seem sketchy or fraudulent</t>
  </si>
  <si>
    <t>How well-known and secure the app is and if it is worth the risk</t>
  </si>
  <si>
    <t>Realtor.com</t>
  </si>
  <si>
    <t>WHether my info would be shared.</t>
  </si>
  <si>
    <t>To allow a payment option</t>
  </si>
  <si>
    <t>My privacy and payment info</t>
  </si>
  <si>
    <t>Who I wanted to have my data</t>
  </si>
  <si>
    <t>To win a raffle</t>
  </si>
  <si>
    <t>How easy it was to revoke access</t>
  </si>
  <si>
    <t>Online courses</t>
  </si>
  <si>
    <t>Whether my Google data would be available to them.</t>
  </si>
  <si>
    <t>I'd read everything it was granting access to before deciding to approve</t>
  </si>
  <si>
    <t>Epic Games</t>
  </si>
  <si>
    <t>I considered entering my password, but I don't think I remember it so I just signed in using my connected google account.</t>
  </si>
  <si>
    <t>Calendar access for deadlines</t>
  </si>
  <si>
    <t>I typically just allow access without thinking about it, to be honest.</t>
  </si>
  <si>
    <t>I would be very concerned about security as i would want a website very secured.</t>
  </si>
  <si>
    <t>I would be very concerned about my data being shared without my permission</t>
  </si>
  <si>
    <t>I remember it was for an organization app called Notion.</t>
  </si>
  <si>
    <t>I considered the convenience of using this account across multiple devices, whether I would want to create a unique password for this service (I would not use Google and create a unique password if the account was sensitive/involved my finances), and ease of subsequent logins.</t>
  </si>
  <si>
    <t>I first have to consider the credibility of the website (is it legitimate/has good reviews/security), how much I would use the third-party app, and how much I need to have reminders for it.</t>
  </si>
  <si>
    <t>Social media, website forums, etc</t>
  </si>
  <si>
    <t>How much spam I may or may not receive is the biggest concern when connecting my gmail account to websites and services. Also, convenience.</t>
  </si>
  <si>
    <t>Mobile game applications</t>
  </si>
  <si>
    <t>Amount of spam I may receive. Convenience of registration.</t>
  </si>
  <si>
    <t>It was the eBay app.</t>
  </si>
  <si>
    <t>That it would be easier than coming up with a new password or to remember what that password was in the future.</t>
  </si>
  <si>
    <t>I think it was for pinterest or instagram, but I can't really remember now and it was something to do with google photos maybe.</t>
  </si>
  <si>
    <t>I guess just making sure they weren't getting any personal information</t>
  </si>
  <si>
    <t>It was for some game but I cant remember the name</t>
  </si>
  <si>
    <t>what data it wanted to access</t>
  </si>
  <si>
    <t>I thought about how prolific the website was, and if it would be trustworthy. I also though about the hassle of creating a new account versus just signing up with my existing Google Account.</t>
  </si>
  <si>
    <t>Allowing me access to multiple e-mails from the same app on my Windows computer.</t>
  </si>
  <si>
    <t>I mostly just considered how convenient it would be to just grant access.</t>
  </si>
  <si>
    <t>I used it to sign into my ESPN account.</t>
  </si>
  <si>
    <t>I considered whether it was connected to ESPN or not.</t>
  </si>
  <si>
    <t>I would consider how trustworthy the 3rd party site is/has been.</t>
  </si>
  <si>
    <t>eBay.</t>
  </si>
  <si>
    <t>It's how I made the account, so my gmail address is linked to the account.</t>
  </si>
  <si>
    <t>It was Plex.
 It was to create an account.</t>
  </si>
  <si>
    <t>Account was made with the Google sign-in, so the account is linked to in.</t>
  </si>
  <si>
    <t>I don't remember specifically</t>
  </si>
  <si>
    <t>I considered whether I would get spam email from the website</t>
  </si>
  <si>
    <t>How important that app is to me</t>
  </si>
  <si>
    <t>Paypal</t>
  </si>
  <si>
    <t>Whether the website was secure</t>
  </si>
  <si>
    <t>To access my Google calendar</t>
  </si>
  <si>
    <t>mobile game, Fire Emblem Heroes</t>
  </si>
  <si>
    <t>ease of continued login</t>
  </si>
  <si>
    <t>data shared</t>
  </si>
  <si>
    <t>Microsoft Job App</t>
  </si>
  <si>
    <t>Should I just make an account with email instead?</t>
  </si>
  <si>
    <t>I granted LinkedIn information access.</t>
  </si>
  <si>
    <t>Is it safe to let this app take my information?</t>
  </si>
  <si>
    <t>Privacy - Whether my real name was displayed if I used it. I also don't need my email address floating around, so I would likely not do this.</t>
  </si>
  <si>
    <t>Privacy and where my data was going and how it was being used.</t>
  </si>
  <si>
    <t>Zillow</t>
  </si>
  <si>
    <t>what info they would have access to</t>
  </si>
  <si>
    <t>what they would have access to</t>
  </si>
  <si>
    <t>Forums, different retail sites</t>
  </si>
  <si>
    <t>If I had to make an account for that site or not</t>
  </si>
  <si>
    <t>How much of my account they would have access to</t>
  </si>
  <si>
    <t>A restaurant ordering platform</t>
  </si>
  <si>
    <t>What personal information would be released by doing so.</t>
  </si>
  <si>
    <t>To order food from a restaurant</t>
  </si>
  <si>
    <t>How much information and what kind of information it was recieving</t>
  </si>
  <si>
    <t>Github</t>
  </si>
  <si>
    <t>I would not want them to access the whole account, just what is needed. and definitely NOT my direct gmail emails</t>
  </si>
  <si>
    <t>Gaming apps that save information online as a backup.</t>
  </si>
  <si>
    <t>I just clicked the "sign-in with Google" button and then selected which Gmail account I wanted to link to the app I was using.</t>
  </si>
  <si>
    <t>It was to link my accounts and save game backups to my Google account.</t>
  </si>
  <si>
    <t>I reviewed the permissions to make sure it made sense and did not ask for any sensors or information on the device it shouldn't need.</t>
  </si>
  <si>
    <t>Online shopping sites</t>
  </si>
  <si>
    <t>I considered ease of remembering sign-on info and ease of registering</t>
  </si>
  <si>
    <t>I would consider if I would use this feature at all. I would not be worried about security.</t>
  </si>
  <si>
    <t>It was Zillow</t>
  </si>
  <si>
    <t>If my information will be automatically synced to their servers then I will be added to a mailing list.</t>
  </si>
  <si>
    <t>For contact information</t>
  </si>
  <si>
    <t>Do I really want to do this was really the main thing I thought about. Did I really want to share my information with the site, otherwise I couldn't view any more places.</t>
  </si>
  <si>
    <t>A mobile game called Dragon Ball Legends</t>
  </si>
  <si>
    <t>Mostly private data and concerns regarding hacking</t>
  </si>
  <si>
    <t>I don't recall exactly but i believe it was to take screenshots.</t>
  </si>
  <si>
    <t>Mostly privacy concerns and worried about leaks.</t>
  </si>
  <si>
    <t>To sign into an app</t>
  </si>
  <si>
    <t>I used my account to sign into YouTube.</t>
  </si>
  <si>
    <t>I didn't consider anything in particular. I was simply logging in after having to switch my browser.</t>
  </si>
  <si>
    <t>The necessity of the app.</t>
  </si>
  <si>
    <t>I considered the effort it would take to make a whole new account.</t>
  </si>
  <si>
    <t>I would consider if it was able to send things to my contacts without my consent.</t>
  </si>
  <si>
    <t>I believe I used it to sign into my NVidia account so I could update my drivers for my video card.</t>
  </si>
  <si>
    <t>Nothing really. I've used my Google account for this for a long time and have had no issues.</t>
  </si>
  <si>
    <t>Last recollection was that I used this for my Movies Anywhere account.</t>
  </si>
  <si>
    <t>I was mostly interested in what the app wanted access to. My recollection was that it wasn't anything that caused me any serious concern.</t>
  </si>
  <si>
    <t>I can't specifically recall, because it has been a long time, but I know I have signed into other sites with my google account.</t>
  </si>
  <si>
    <t>Whether I should use my google account, or just create a new account for the site I was trying to use.</t>
  </si>
  <si>
    <t>I would consider potential privacy concerns.</t>
  </si>
  <si>
    <t>I use a service called "Gramfree" and use my Google Account to login.</t>
  </si>
  <si>
    <t>I had some privacy concerns when signing in using my Google Account.</t>
  </si>
  <si>
    <t>The purpose was to be able to use the app.</t>
  </si>
  <si>
    <t>I considered if it might be harmful to grant access to certain parts of my Google Account that didn't seem necessary to me.</t>
  </si>
  <si>
    <t>Red Robin</t>
  </si>
  <si>
    <t>If it was more convenient to have a separate account for the service rather than just using Google to get an account quickly.</t>
  </si>
  <si>
    <t>For the app to do its job properly, and to sync up with my calendar.</t>
  </si>
  <si>
    <t>I didn't consider much, but I would consider how many permissions it was requesting access to just in case they try to get more than they need.</t>
  </si>
  <si>
    <t>Discogs</t>
  </si>
  <si>
    <t>Usage of my name/profile picture</t>
  </si>
  <si>
    <t>What parts of my account it can access (outside of its intended purpose), if it can make changes/posts without my permission or not</t>
  </si>
  <si>
    <t>I would probably not be interested. It would need to be an app or service that has no personal information and is not something important to me. A game app is something I might do this for.</t>
  </si>
  <si>
    <t>Cannot imagine anything I would do this for</t>
  </si>
  <si>
    <t>Glassdoor</t>
  </si>
  <si>
    <t>Whether I had a google authenticated account or a normal login with my gmail address and would it distinguish a difference.</t>
  </si>
  <si>
    <t>Reputation</t>
  </si>
  <si>
    <t>I believe it was Etsy? But I could be wrong.</t>
  </si>
  <si>
    <t>Whether I trusted the third-party app or service to keep my information safe, and if I wanted Google to know that I was using that third-party app.</t>
  </si>
  <si>
    <t>What information they would access and record, and what information Google would access and record. Also, if I would start getting emails from that place.</t>
  </si>
  <si>
    <t>I signed into a site for leaving reviews.</t>
  </si>
  <si>
    <t>I consider whether I want that site or app to have access to my google data.</t>
  </si>
  <si>
    <t>I allowed access to a screen recording app and gave access for it to save my videos to google drive</t>
  </si>
  <si>
    <t>I considered whether I needed Google to make changes to my account for me or whether I wanted to do it on my own</t>
  </si>
  <si>
    <t>McDonald's</t>
  </si>
  <si>
    <t>Whether I could trust the app</t>
  </si>
  <si>
    <t>yesterday, so that McDonald's could see my location</t>
  </si>
  <si>
    <t>Should I give them this data versus the ease of it knowing where I am</t>
  </si>
  <si>
    <t>I would consider the privacy I have before using this feature.</t>
  </si>
  <si>
    <t>I would consider my privacy and the data that I would be giving away if I grant access.</t>
  </si>
  <si>
    <t>hmm... probaby Thredup (shopping), or offerup (buying and selling).</t>
  </si>
  <si>
    <t>I feel a little weird about them linking stuff to my google account, and wonder how much info they have. But then I am like... ehh, but it's so easy, and just try not to think about it.</t>
  </si>
  <si>
    <t>what they have access to. Sometimes apps want my location, or access to all of the files on my device, and I'm like nope.</t>
  </si>
  <si>
    <t>The last app that I used my Google Account to sign into was shopping online at ASOS using the app.</t>
  </si>
  <si>
    <t>I considered if I already had an account at ASOS and if I remembered a specific password, usually it is easier to log in using my google account.</t>
  </si>
  <si>
    <t>To allow an app to add things to my google calendar.</t>
  </si>
  <si>
    <t>How much information they would be able to access on my phone and make changes to.</t>
  </si>
  <si>
    <t>Lots of shopping websites online.</t>
  </si>
  <si>
    <t>I considered how much easier it is to sign in through my google account</t>
  </si>
  <si>
    <t>I am not sure, I would assume that they need to ask for permission to access the following.</t>
  </si>
  <si>
    <t>I considered if they were going to steal my data</t>
  </si>
  <si>
    <t>Canvas</t>
  </si>
  <si>
    <t>If it was worth making an account not using the email to sign in.</t>
  </si>
  <si>
    <t>To give information to the app</t>
  </si>
  <si>
    <t>What pieces of information I was giving to the app</t>
  </si>
  <si>
    <t>To make an account</t>
  </si>
  <si>
    <t>Nothing. It was all okay.</t>
  </si>
  <si>
    <t>i don't remember</t>
  </si>
  <si>
    <t>if i didn't use google i'd have to remember my password and username</t>
  </si>
  <si>
    <t>for a game</t>
  </si>
  <si>
    <t>I use it to sign into news websites.</t>
  </si>
  <si>
    <t>I considered how signing in with my google account worked</t>
  </si>
  <si>
    <t>Allowing it to see my details for the account that I was signing into.</t>
  </si>
  <si>
    <t>I was wondering if Google enforced certain guidelines.</t>
  </si>
  <si>
    <t>what information is being shared</t>
  </si>
  <si>
    <t>what other accounts are being linked</t>
  </si>
  <si>
    <t>I used it to create a tiktok account.</t>
  </si>
  <si>
    <t>I considered my privacy as well as the convenience and ease of simply logging in through Google.</t>
  </si>
  <si>
    <t>So I could record footage as well as add contacts if I needed or wanted to.</t>
  </si>
  <si>
    <t>My privacy of course, but I felt that it was trustworthy enough and went for it.</t>
  </si>
  <si>
    <t>Espn</t>
  </si>
  <si>
    <t>If it was secure</t>
  </si>
  <si>
    <t>yes</t>
  </si>
  <si>
    <t>I believe it was Valorant the game by Riot.</t>
  </si>
  <si>
    <t>Playing the game well. Didn't consider anything related to the account.</t>
  </si>
  <si>
    <t>A weather app. Unsure of the name.</t>
  </si>
  <si>
    <t>What the weather was going to be like that weekend.</t>
  </si>
  <si>
    <t>Etsy</t>
  </si>
  <si>
    <t>If I trusted the service enough to have it linked to my google.</t>
  </si>
  <si>
    <t>Playing a game of taking an online quiz</t>
  </si>
  <si>
    <t>If I had anything that could truly be compromised on my google account</t>
  </si>
  <si>
    <t>I use it to login to Pokemon Go</t>
  </si>
  <si>
    <t>I didn't consider anything really, I just thought it would be easier</t>
  </si>
  <si>
    <t>I would consider how much of my information they would be collecting</t>
  </si>
  <si>
    <t>thet i wouldnt have to deal with making a whole new account with all of my information since google already has it</t>
  </si>
  <si>
    <t>to show what permissions the app needs to run</t>
  </si>
  <si>
    <t>definately read through the permissions, lots of dubious apps use information it does not need to collect and sell information</t>
  </si>
  <si>
    <t>I don't remember but it was a service online that I didn't want to take the time to create an account. I think it was Zoom</t>
  </si>
  <si>
    <t>I considered how large and secure the company was and I felt like Zoom was reputable enough to sign in to my google account with.</t>
  </si>
  <si>
    <t>Again I think this was with Zoom to give them access to my gmail calendar so I could schedule my meetings</t>
  </si>
  <si>
    <t>I considered whether I thought google would let zoom take advantage of me or not.</t>
  </si>
  <si>
    <t>I didn't.</t>
  </si>
  <si>
    <t>Accessing calendar events and contacts</t>
  </si>
  <si>
    <t>Whether it was strictly necessary to give the app access, or whether I could use the app effectively without granting access.</t>
  </si>
  <si>
    <t>I used it for a stock photo account</t>
  </si>
  <si>
    <t>If they would use my account and hack it</t>
  </si>
  <si>
    <t>To use the products using it</t>
  </si>
  <si>
    <t>If they can see what I do on my google account</t>
  </si>
  <si>
    <t>privacy and ownership of information</t>
  </si>
  <si>
    <t>The last time I used Google Account was yesterday for facebook.</t>
  </si>
  <si>
    <t>I consider privacy and security when using my Google Account.</t>
  </si>
  <si>
    <t>I would consider my privacy before granting access.</t>
  </si>
  <si>
    <t>An android game in the play store.</t>
  </si>
  <si>
    <t>Allowing an application to save data to my phone.</t>
  </si>
  <si>
    <t>I always scroll through all permissions and think about whether or not the app would actually need them to function.</t>
  </si>
  <si>
    <t>Epic Games Store</t>
  </si>
  <si>
    <t>I didn't consider anything. I wanted to buy something and not enter all of my information.</t>
  </si>
  <si>
    <t>yes I would determine if the risk is worth it.</t>
  </si>
  <si>
    <t>How it allows google to track me on the other apps. I usually don't use this option to access these other services.</t>
  </si>
  <si>
    <t>I would consider the insidious nature of the inter connectivity and the probability that I am agreeing to way more access than I realize.</t>
  </si>
  <si>
    <t>Security &amp; data privacy</t>
  </si>
  <si>
    <t>Security risks</t>
  </si>
  <si>
    <t>PlayerAuctions</t>
  </si>
  <si>
    <t>I did not consider much just how convenient it was</t>
  </si>
  <si>
    <t>I allowed it just so I could continue logging in to what I was doing</t>
  </si>
  <si>
    <t>I did not consider much information security-wise.</t>
  </si>
  <si>
    <t>Doordash</t>
  </si>
  <si>
    <t>I wasn't sure whether I wanted my data for this website to be shared with Google.</t>
  </si>
  <si>
    <t>It was to allow the app to view my email contacts.</t>
  </si>
  <si>
    <t>I was wary of allowing this information to be given to them.</t>
  </si>
  <si>
    <t>Probably Yelp</t>
  </si>
  <si>
    <t>I didnt consider much, companies already have all of my info.</t>
  </si>
  <si>
    <t>They needed information to sync with other users/establish basic settings</t>
  </si>
  <si>
    <t>Nothing much, companies already have my info.</t>
  </si>
  <si>
    <t>I would usually use Facebook first.</t>
  </si>
  <si>
    <t>I would want to google it to make sure it was safe.</t>
  </si>
  <si>
    <t>Quora.com</t>
  </si>
  <si>
    <t>I was considering how safe it would be to use this method. I was satisfied that it would involve the use of a one-time code and that the site wouldn't be able to capture my password.</t>
  </si>
  <si>
    <t>I would want there to be a method of doing so that doesn't involve using my account password.</t>
  </si>
  <si>
    <t>The last time I remember signing up with a Google Account was either for a Chewy or GPay account.</t>
  </si>
  <si>
    <t>I considered whether the information being taken from my Google Account was being used improperly or not before I signed up.</t>
  </si>
  <si>
    <t>The purpose was to create an account to play a mobile game on my phone.</t>
  </si>
  <si>
    <t>I considered if the information that is required from the app is taking advantage of my information or not.</t>
  </si>
  <si>
    <t>I believe it was to use Samsung Shop, to order some clothing online.</t>
  </si>
  <si>
    <t>I wondered what information saved on my Google account would be shared with Samsung.</t>
  </si>
  <si>
    <t>I would not like it if the service needed to run in the background on my phone. I would not want it to have too much personal information, such as my full name or address.</t>
  </si>
  <si>
    <t>theRealReal</t>
  </si>
  <si>
    <t>I was feeling lazy</t>
  </si>
  <si>
    <t>I would not consider it because I don't like the idea of an app having access to my contacts.</t>
  </si>
  <si>
    <t>Quora</t>
  </si>
  <si>
    <t>The private data that this application was going to read, in other words, I worry about my privacy.</t>
  </si>
  <si>
    <t>Being able to sign up easily without having to go through a long and tedious registration process.</t>
  </si>
  <si>
    <t>The private data that the app wanted to access, such as my location, reading my personal messages, accessing my contacts, that data is very private and I don't think it should be read.</t>
  </si>
  <si>
    <t>disney app</t>
  </si>
  <si>
    <t>convience</t>
  </si>
  <si>
    <t>ease and convieniece</t>
  </si>
  <si>
    <t>not much</t>
  </si>
  <si>
    <t>rakuten</t>
  </si>
  <si>
    <t>The ease of clicking on "google sign in" without needing to create a new account for the website or app.</t>
  </si>
  <si>
    <t>How much they are able to view of my google account and whether or not I can customize my privacy.</t>
  </si>
  <si>
    <t>some form of cashback service.</t>
  </si>
  <si>
    <t>I don't think there was much to consider.</t>
  </si>
  <si>
    <t>I would consider the potential security leaks that could come from me allowing this third-party access to my information.</t>
  </si>
  <si>
    <t>Coinbase</t>
  </si>
  <si>
    <t>The convenience of using Google Account</t>
  </si>
  <si>
    <t>Whether it was convenient. My only consideration would be whether it would save time or effort.</t>
  </si>
  <si>
    <t>I think the last time was to sign into my facebook account.</t>
  </si>
  <si>
    <t>I considered whether using my gmail account to sign in might allow Facebook to steal some information about me that I didn't want to share with facebook.</t>
  </si>
  <si>
    <t>I would think first about whether I might be bothered by having this third party jump into my normal google functions. For example, I wouldn't want an app to mess with my google calendar when I would maybe just rather go into the app to check on its own external calendar.</t>
  </si>
  <si>
    <t>I don't remember exactly what it was, but I believe it was something to do with my school work.</t>
  </si>
  <si>
    <t>I consider whether it'd be more convenient for me to create a regular account for the website, or whether I'd prefer to use a secondary email in the specific case (i.e. the spare email I set aside for one-off accounts I make in order to get "membership" discounts on online shopping websites/apps)</t>
  </si>
  <si>
    <t>It probably wasn't the most recent one, but the last one I remember is allowing a fitness app access to my Google Fit exercise/health data.</t>
  </si>
  <si>
    <t>I consider whether the website is trustworthy and whether the access they're requesting actually makes sense (e.g. if an app asks for access to important/secure data that it doesn't actually need in order to work)</t>
  </si>
  <si>
    <t>Streaming services, job application services, food delivery websites, food ordering websites, numerous retail websites</t>
  </si>
  <si>
    <t>That using the Google Account Sign In was easiest</t>
  </si>
  <si>
    <t>They asked and I clicked agreed to use the websites services</t>
  </si>
  <si>
    <t>That it was okay since Google was allowing it</t>
  </si>
  <si>
    <t>I don't even remember, I do it without thinking</t>
  </si>
  <si>
    <t>whether they were going to spam me with junk mail</t>
  </si>
  <si>
    <t>How easy it would be to unsubcribe if I wanted to, how interested I was in the process</t>
  </si>
  <si>
    <t>I would consider the site and if I trust it.</t>
  </si>
  <si>
    <t>What they would have access to and If I trust the site</t>
  </si>
  <si>
    <t>battle.net</t>
  </si>
  <si>
    <t>using an an alternate email</t>
  </si>
  <si>
    <t>to login to batytle.net to play bideo games</t>
  </si>
  <si>
    <t>using an alternate email</t>
  </si>
  <si>
    <t>A store that I was buying something from</t>
  </si>
  <si>
    <t>If I felt like making a whole new account or if it was worth sharing my account data.</t>
  </si>
  <si>
    <t>If the information was really necessary to share or if doing so would benefit me in any way.</t>
  </si>
  <si>
    <t>hideout.co</t>
  </si>
  <si>
    <t>I considered if there was a security risk of them having my account information.</t>
  </si>
  <si>
    <t>To login to keep track of my mobile gaming.</t>
  </si>
  <si>
    <t>I'm always worried about my privacy anytime a app asks me for that information</t>
  </si>
  <si>
    <t>Destiny, classlink</t>
  </si>
  <si>
    <t>I made sure I read everything before selecting it.</t>
  </si>
  <si>
    <t>no, giving them too much information</t>
  </si>
  <si>
    <t>I logged into a social media account but I cannot recall which one</t>
  </si>
  <si>
    <t>I briefly considered that it might compromise my security of my google account</t>
  </si>
  <si>
    <t>To integrate to-do list features</t>
  </si>
  <si>
    <t>I also considered security implications of this and whether it would lead to things I didn't want to happen to my account.</t>
  </si>
  <si>
    <t>That they have access to my gmail and other google account information.</t>
  </si>
  <si>
    <t>The security and and privacy of these other apps.</t>
  </si>
  <si>
    <t>I consider if the login was secure</t>
  </si>
  <si>
    <t>Privacy and what the information is going to be used for.</t>
  </si>
  <si>
    <t>I do not EVER sign in with Google into a 3rd party app. I do not trust that the company behind the request will not sell my information/passwords or hack into my account.</t>
  </si>
  <si>
    <t>trust. will allowing to sign in this way get my account hacked.</t>
  </si>
  <si>
    <t>If the scenario that you just suggested was to actually happen, I would consider giving the app access. I would like to see that Google trusts the app and suggests that you allow the access</t>
  </si>
  <si>
    <t>Honey for saving money while online shopping.</t>
  </si>
  <si>
    <t>Nothing really.</t>
  </si>
  <si>
    <t>If the third party is reliable. If they're likely to share my information.</t>
  </si>
  <si>
    <t>YouTube</t>
  </si>
  <si>
    <t>ease of use</t>
  </si>
  <si>
    <t>I only have one account that I use my Google sign in and that is a second ebay account. Otherwise I never ever use my Google log in to sign into accounts. I don't think Google needs to know where I am at all times.</t>
  </si>
  <si>
    <t>What type of privacy am I giving up from my Google Account?</t>
  </si>
  <si>
    <t>I would consider what am I at risk of.</t>
  </si>
  <si>
    <t>I don't remember which ones, I just know that I occasionally have.</t>
  </si>
  <si>
    <t>I think about not wanting to register for a website and make a new password.</t>
  </si>
  <si>
    <t>I don't remember ever seeing an option to do it or have that come up before.</t>
  </si>
  <si>
    <t>quora.com</t>
  </si>
  <si>
    <t>I considered whether or not they are a trustworthy website and if they would send me spam emails</t>
  </si>
  <si>
    <t>The purpose was to use my Google account to sign in</t>
  </si>
  <si>
    <t>I considered whether the website is trustworthy or not.</t>
  </si>
  <si>
    <t>I used my google account to sign into LinkedIn.</t>
  </si>
  <si>
    <t>I considered whether or not I wanted to make a new log in information but decided it was easier to use my google account.</t>
  </si>
  <si>
    <t>whether or not it was a third-party app I felt comfortable with having my information.</t>
  </si>
  <si>
    <t>Trust in the app</t>
  </si>
  <si>
    <t>The developers of the app in question</t>
  </si>
  <si>
    <t>I have logged on to education type apps believe Boom Cards and Loom</t>
  </si>
  <si>
    <t>It was safe as it is partnered with Google</t>
  </si>
  <si>
    <t>Calendar and or photos</t>
  </si>
  <si>
    <t>Again it must be okay since it partnered with Google</t>
  </si>
  <si>
    <t>ScienCV in order to update my academic CV</t>
  </si>
  <si>
    <t>What's the easiest way, the usefulness of not having to set-up an entirely new account.</t>
  </si>
  <si>
    <t>I'd consider it, but it would really depend on the company behind the app.</t>
  </si>
  <si>
    <t>If it were safe.</t>
  </si>
  <si>
    <t>Juno</t>
  </si>
  <si>
    <t>What kind of information would be shared with Juno</t>
  </si>
  <si>
    <t>Signing up for an account with the third-party app.</t>
  </si>
  <si>
    <t>What kind of information was being shared; would it be easier to just create an account with the third-party app.</t>
  </si>
  <si>
    <t>I used it to create an account with Remini, a photo app</t>
  </si>
  <si>
    <t>privacy issues, security of the app</t>
  </si>
  <si>
    <t>For seeing my name, contact list</t>
  </si>
  <si>
    <t>Privacy issues, security of whatever entity Iwas granting access to</t>
  </si>
  <si>
    <t>mcdonalds</t>
  </si>
  <si>
    <t>I forgot, but I know that I've used it.</t>
  </si>
  <si>
    <t>Convenience of not having to make a new account with new log-in info</t>
  </si>
  <si>
    <t>Privacy and data collection which I know Google is not so good with</t>
  </si>
  <si>
    <t>I believe the last time I used it to sign into a third-party service was logging into Paypal, but I do not remember exactly.</t>
  </si>
  <si>
    <t>I didn't think much of it. When that option comes up I just click on it because it's fast and easy.</t>
  </si>
  <si>
    <t>I would probably consider whether it's a reputable app or if its a scam trying to steal my information. Other than that, I wouldn't think much of it.</t>
  </si>
  <si>
    <t>I don't remember the exact app, but I do remember using it.</t>
  </si>
  <si>
    <t>The ease of using it.</t>
  </si>
  <si>
    <t>To get into the app.</t>
  </si>
  <si>
    <t>I didn't consider anything. jQuery35101615608822469108_1618671446698????</t>
  </si>
  <si>
    <t>N/A (if it's an unfamiliar third-party app or services, I will briefly consider privacy concerns, but I need to use Zoom, so I don't mind linking my email to it)</t>
  </si>
  <si>
    <t>I can't remember</t>
  </si>
  <si>
    <t>if it was safe or not</t>
  </si>
  <si>
    <t>viruses</t>
  </si>
  <si>
    <t>An investing app</t>
  </si>
  <si>
    <t>To invest</t>
  </si>
  <si>
    <t>Would they steal my info</t>
  </si>
  <si>
    <t>DropBox</t>
  </si>
  <si>
    <t>How much information they would be able to gain from using the Google sign in</t>
  </si>
  <si>
    <t>How much personal information their able to retain</t>
  </si>
  <si>
    <t>sales app</t>
  </si>
  <si>
    <t>safety and privacy concerns</t>
  </si>
  <si>
    <t>if my info would be abused or spam me with email</t>
  </si>
  <si>
    <t>they wanted my contacts</t>
  </si>
  <si>
    <t>if they would misuse my info</t>
  </si>
  <si>
    <t>I would ignore it and refuse to use that option. I do not wish to be spammed or have that address sold on or given to other parties. I would merely enter a different, non-Gmail email address that I've set up solely for these types of situations.</t>
  </si>
  <si>
    <t>It was to allow Zoom to add meetings to my Google Calendar.</t>
  </si>
  <si>
    <t>I didn't have a choice, really...I was instructed to do so by my employer, who wanted access to my work calender, availability, and evidence of meetings held.</t>
  </si>
  <si>
    <t>What access did it need for me to use their app.</t>
  </si>
  <si>
    <t>For the last app that I used my Google account to log into, I had 3 choices in how to log-in to the app: Facebook, Google, or email. I chose Google because it was so much simpler and faster. I didn't have make up another password. As far as the purpose of allowing the specific access to my Google Account, I can't remember as I use my Google account to log in to several apps all the time.</t>
  </si>
  <si>
    <t>I always consider if the types of access the apps need are related to the app or not.</t>
  </si>
  <si>
    <t>I don't remember which app it was, but it was one I downloaded on my phone.</t>
  </si>
  <si>
    <t>I just considered if there was any concern with the third party app having my information like name and email address.</t>
  </si>
  <si>
    <t>The main purpose was I could login without creating yet another account and password I'd need to remember.</t>
  </si>
  <si>
    <t>I thought about if I had any concerns with the third party app having access to my account and information.</t>
  </si>
  <si>
    <t>I usually use it as a quick way to sign into websites that require it, Sometimes I'd use it for social media like instagram or snapchat.</t>
  </si>
  <si>
    <t>I didn't considered much I thought it was a quick way to get signed in.</t>
  </si>
  <si>
    <t>To get access to the service</t>
  </si>
  <si>
    <t>I didn't consider much</t>
  </si>
  <si>
    <t>The Headspace app</t>
  </si>
  <si>
    <t>I considered using an email/password combo that wasn't my google password</t>
  </si>
  <si>
    <t>I didn't consider anything, I just said yes</t>
  </si>
  <si>
    <t>In thinking about it, it was probably like Zillow because I was doing some research for a project I was working on.</t>
  </si>
  <si>
    <t>I considered how easy it would be to log in with my Google Account instead of trying to come up with a new password to just log in with my Gmail account another way. This way my Google Account would recognize the site and ask if I want to be logged in.</t>
  </si>
  <si>
    <t>It was so I didn't have to log in with a separate account and try to remember that password.</t>
  </si>
  <si>
    <t>I had to consider what it would see and look at as a result of connecting it.</t>
  </si>
  <si>
    <t>It was a retail store, but I don't remember which one.</t>
  </si>
  <si>
    <t>It seemed convenient. I didn't think about any security considerations.</t>
  </si>
  <si>
    <t>It was allowing an app to scan my email for receipts and track purchase price drops.</t>
  </si>
  <si>
    <t>Convenience as well as what the app collected and stored played a role in my decision.</t>
  </si>
  <si>
    <t>Signing onto the Epic Games Store</t>
  </si>
  <si>
    <t>How trustworthy the third party app or service was</t>
  </si>
  <si>
    <t>Downloading a social media app for my phone</t>
  </si>
  <si>
    <t>The specific permissions that the app wanted to use</t>
  </si>
  <si>
    <t>I used it to sign in to Chegg.</t>
  </si>
  <si>
    <t>I considered whether it was safe to do.</t>
  </si>
  <si>
    <t>The purpose was for ease of use and log in.</t>
  </si>
  <si>
    <t>I considered if there was sensitive information I would not want shared.</t>
  </si>
  <si>
    <t>It was for linking my account to some mobile games that I play.</t>
  </si>
  <si>
    <t>I considered the time that I would save by linking my Google Account rather than creating a separate account for that service.</t>
  </si>
  <si>
    <t>I would consider what level of access that the app was requesting and if it seemed worth the time saved or benefits received.</t>
  </si>
  <si>
    <t>I signed up for chess.com</t>
  </si>
  <si>
    <t>I considered whether I wanted my real name attached to an account, or if I preferred to stay anonymous and make an account with the website itself.</t>
  </si>
  <si>
    <t>I allowed slack access.</t>
  </si>
  <si>
    <t>I considered whether I could see myself needing to do something which would require google to have access to something, and if now, I would deny that access.</t>
  </si>
  <si>
    <t>I use this feature a lot -- I think the last time I used it was for IFTTT.com</t>
  </si>
  <si>
    <t>I consider whether I am more interested in privacy or convenience for a particular website</t>
  </si>
  <si>
    <t>I would be curious what the third party app would be accessing (location data, contacts, browsing history, etc...)</t>
  </si>
  <si>
    <t>i believe it was wish.com</t>
  </si>
  <si>
    <t>nothing, it's easier that way</t>
  </si>
  <si>
    <t>i mean i might. kinda feels weird like maybe that's too much of them being in my personal data but then again if they really wanted to they'd find a way to get it anyways. doesn't google make money off selling our info?</t>
  </si>
  <si>
    <t>Last time I signed in with my Google account it was with the McDonalds app</t>
  </si>
  <si>
    <t>I was considering if I wanted to use my main Google account or my secondary one.</t>
  </si>
  <si>
    <t>I would consider what exact information the app wanted from my Google account and if I was comfortable giving the app that information.</t>
  </si>
  <si>
    <t>It was for a website. Unfortunately, I don't know the specific name.</t>
  </si>
  <si>
    <t>I considered that it was a trustworthy website.</t>
  </si>
  <si>
    <t>I cannot remember exactly. But I have seen the third party grant request before.</t>
  </si>
  <si>
    <t>If it was a trustworthy website and what would the app access include.</t>
  </si>
  <si>
    <t>i dont remember</t>
  </si>
  <si>
    <t>if it would be faster and more convenient than logging in</t>
  </si>
  <si>
    <t>security and i wuldnt do it</t>
  </si>
  <si>
    <t>Poshmark</t>
  </si>
  <si>
    <t>I had to remember whether I'd signed up using my Google account or using my Facebook account</t>
  </si>
  <si>
    <t>I would think about whether I was comfortable opening portions of my Gmail data to that app.</t>
  </si>
  <si>
    <t>grindr</t>
  </si>
  <si>
    <t>i didn't think of anything when i used it</t>
  </si>
  <si>
    <t>it was to use it to fill out a resume</t>
  </si>
  <si>
    <t>concerns of my privacy</t>
  </si>
  <si>
    <t>I would want to know it is secure and would want to know what else would come out of this partnership like email newsletters and the like. I do not always want messages sent to my Gmail</t>
  </si>
  <si>
    <t>It was to sync my smart home devices so I can access them remotely and ensure the account is secured</t>
  </si>
  <si>
    <t>I checked to see what access and information the app would gain</t>
  </si>
  <si>
    <t>A 2-factor authenticator</t>
  </si>
  <si>
    <t>The dread that comes with Google selling my information</t>
  </si>
  <si>
    <t>Convenience</t>
  </si>
  <si>
    <t>That Google has a death-grip on my life</t>
  </si>
  <si>
    <t>grubhub</t>
  </si>
  <si>
    <t>whether it would be more secure to sign in directly with the app using a new password</t>
  </si>
  <si>
    <t>if it was secure and wouldn't store my personal data</t>
  </si>
  <si>
    <t>Sign up for some forum, can't remember exactly</t>
  </si>
  <si>
    <t>Nothing because I know it's safe</t>
  </si>
  <si>
    <t>To verify who I was</t>
  </si>
  <si>
    <t>Safety, but I always check what I am allowing access to.</t>
  </si>
  <si>
    <t>My pokemon Go app on my iPhone.</t>
  </si>
  <si>
    <t>If I should link the account or just put in the email.</t>
  </si>
  <si>
    <t>I am not sure but probably to get my information to send me stuff or to add an extension on to my browser.</t>
  </si>
  <si>
    <t>If they are a reputable company or not.</t>
  </si>
  <si>
    <t>Aliexpress</t>
  </si>
  <si>
    <t>I was considering if I use my Gmail to login or my Facebook account.</t>
  </si>
  <si>
    <t>To add information to my Calendar.</t>
  </si>
  <si>
    <t>If the service was legitimate.</t>
  </si>
  <si>
    <t>Absolutely nothing. I just signed in</t>
  </si>
  <si>
    <t>No idea</t>
  </si>
  <si>
    <t>dating site</t>
  </si>
  <si>
    <t>if my own handle would be better</t>
  </si>
  <si>
    <t>gleam entering giveaways</t>
  </si>
  <si>
    <t>no extra thoughts</t>
  </si>
  <si>
    <t>I believe it was Diagnose Us, a medical knowledge competition app that pays for the winners of each category.</t>
  </si>
  <si>
    <t>I considered the trustworthiness of the developers and the risk of getting spammed.</t>
  </si>
  <si>
    <t>Sending updates through email.</t>
  </si>
  <si>
    <t>The worth of the content I would be exposed to and the risk of information lost to untrustworthy developers.</t>
  </si>
  <si>
    <t>Star Wars: Galaxy of Heroes</t>
  </si>
  <si>
    <t>Nothing, I did it without any consideration besides the fact that it'd make it easier to play the game. As long as a site doesn't ask for my password directly, I trust Google's sign-in process.</t>
  </si>
  <si>
    <t>OnlyOffice, to sign into my Google Docs.</t>
  </si>
  <si>
    <t>Whether the permissions they were asking for were too much.</t>
  </si>
  <si>
    <t>Don't remember which one</t>
  </si>
  <si>
    <t>I preferred to sign in through Facebook, but Facebook sign-up wasn't working.</t>
  </si>
  <si>
    <t>what information it wanted and whether it was worth sharing.</t>
  </si>
  <si>
    <t>I'm not 100% sure, but I think PBS.org</t>
  </si>
  <si>
    <t>Simplicity of having everything being connected to one account. It keeps everything consistent.</t>
  </si>
  <si>
    <t>As long as they are not taking information that can harm me, I am okay with them having access.</t>
  </si>
  <si>
    <t>This survey, and Receipt Hog app</t>
  </si>
  <si>
    <t>camera</t>
  </si>
  <si>
    <t>Pokemon Go</t>
  </si>
  <si>
    <t>How my information will be used by the app and whether I will receive more emails because of it.</t>
  </si>
  <si>
    <t>Which app I am granting access to.</t>
  </si>
  <si>
    <t>twitter</t>
  </si>
  <si>
    <t>i considered my privacy but because twitter is a very mainstream service, I consider it secure.</t>
  </si>
  <si>
    <t>honey extension</t>
  </si>
  <si>
    <t>I considered my privacy and security but again because honey is mainstream I trust it.</t>
  </si>
  <si>
    <t>shein,grubhub</t>
  </si>
  <si>
    <t>storing password</t>
  </si>
  <si>
    <t>how much access it has that does not require my permission</t>
  </si>
  <si>
    <t>I used it to log into my Spotify account.</t>
  </si>
  <si>
    <t>I considered what information will be shared between my Google account and my spotify account.</t>
  </si>
  <si>
    <t>I think I was trying to create an account with a photo editing app.</t>
  </si>
  <si>
    <t>I considered what information and access will be allowed through my Google account.</t>
  </si>
  <si>
    <t>I think the last time I used it was for the McDonald's app</t>
  </si>
  <si>
    <t>I feel like it's a safer and less intrusive sign in action than signing in with Facebook, which has loads of personal information.</t>
  </si>
  <si>
    <t>Placing a mobile order.</t>
  </si>
  <si>
    <t>I'd rather an app have access to my email than my Facebook, and I hate having to remember tons of different passwords.</t>
  </si>
  <si>
    <t>I think I used it last time I was trying to log on to pokemon go and couldn't remember my login</t>
  </si>
  <si>
    <t>I also thought about using the facebook option since I think I had used that in the past too</t>
  </si>
  <si>
    <t>I wanted to add a meeting invite to my google calendar to get reminders</t>
  </si>
  <si>
    <t>I didn't think much about it or worry about the permissions at all</t>
  </si>
  <si>
    <t>I believe the last time I did was while using Pinterest.</t>
  </si>
  <si>
    <t>I considered if I really wanted to make an account to see the items I wanted to view or if I wanted to view it just the one time.</t>
  </si>
  <si>
    <t>I would consider if it were easier to sign in with my google account or just simply create an account through the platform.</t>
  </si>
  <si>
    <t>Tinder and reddit</t>
  </si>
  <si>
    <t>I was worried that any additional information irrelevant to the service I was using for was going to be utilized for purposes beyond what was intended. Such as access to my contacts and stuff I am interested in.</t>
  </si>
  <si>
    <t>About using data from my account that I would not normally feel comfortable giving out. An example of this is how often I would resubscribe to protein powder deliveries.</t>
  </si>
  <si>
    <t>I may have wondered whether or not it was safe.</t>
  </si>
  <si>
    <t>I would consider if the third party was reputable and if the connection would be secure and safe.</t>
  </si>
  <si>
    <t>to comment on a news item</t>
  </si>
  <si>
    <t>Whether I wanted to start up a new account and password to access this online news source and be able to comment, and also whether I wanted to access it through apple or google or whatever others options available.</t>
  </si>
  <si>
    <t>access zoom</t>
  </si>
  <si>
    <t>everyone else on the committee was using the app</t>
  </si>
  <si>
    <t>It is the Best Buy website; my login automatically logs me into the website through Google whenever I visit the site.</t>
  </si>
  <si>
    <t>Using traditional email/password login.</t>
  </si>
  <si>
    <t>If I recall correctly it was a scheduling/calendar app; it was to allow Google to sync calendars and share them with family members</t>
  </si>
  <si>
    <t>Using traditional forms of calendars (print) or having a different account separate from Google.</t>
  </si>
  <si>
    <t>Genshin Impact (PC game)</t>
  </si>
  <si>
    <t>I considered whether the company would be trustworthy with my data. Since the game is well known, I decided it is okay.</t>
  </si>
  <si>
    <t>I allowed access to my Google account for a lot of games, because I can get achievements to be displayed on my account with Google, and also it is usually an easy way to recover or save data between devices.</t>
  </si>
  <si>
    <t>I considered whether they truly needed access to some areas of my Google account. I would not allow it if the game or app made posts without my permission. Other than that, I do not think it mattered if it accesses some of my data, as long as it is not my password.</t>
  </si>
  <si>
    <t>Yelp</t>
  </si>
  <si>
    <t>I thought about what website I was using and how trustworthy it is.</t>
  </si>
  <si>
    <t>I would consider what information it was accessing on my account.</t>
  </si>
  <si>
    <t>Food applications like Chic</t>
  </si>
  <si>
    <t>Whether or not I wanted the abundance of emails I would get after allowing that site to have access to my email address.</t>
  </si>
  <si>
    <t>So it could use my device for budgetary purposes.</t>
  </si>
  <si>
    <t>Whether or not the site had the potential for hackers/data breaches from giving them all that permission.</t>
  </si>
  <si>
    <t>I considered using Facebook instead</t>
  </si>
  <si>
    <t>For easier sign in</t>
  </si>
  <si>
    <t>Using my Facebook account</t>
  </si>
  <si>
    <t>The last time I used my Google Account to sign into a third-party app or survey was this survey. Previous to this survey I used it to log into a Zoom account.</t>
  </si>
  <si>
    <t>I considered if I should use my personal gmail account or one of my work issued accounts instead.</t>
  </si>
  <si>
    <t>Calendar sync to my calendar app of choice.</t>
  </si>
  <si>
    <t>I considered using the stock calendar app, but decided my solution was a better fit.</t>
  </si>
  <si>
    <t>I used my Google account to sign into Etsy last night.</t>
  </si>
  <si>
    <t>I don't think I really considered much, besides that it would be quicker to sign in with Google than to create a whole Etsy account by putting in my email and information.</t>
  </si>
  <si>
    <t>I believe it was going access the calendar function of my account.</t>
  </si>
  <si>
    <t>I didn't think about much because I knew I didn't have much info on my calendar anyways, so I just allowed access.</t>
  </si>
  <si>
    <t>Google forms</t>
  </si>
  <si>
    <t>What information I would be allowing the third-party to see</t>
  </si>
  <si>
    <t>It made it easier to log in without making another account</t>
  </si>
  <si>
    <t>What capabilities I was giving the third-party</t>
  </si>
  <si>
    <t>dispensary menu</t>
  </si>
  <si>
    <t>It was probably for job searching if I remember correctly.</t>
  </si>
  <si>
    <t>What information Google will allow them to see.</t>
  </si>
  <si>
    <t>If they sell or spread my information, especially my email address since I don't want spam.</t>
  </si>
  <si>
    <t>The same as I said last time, my information spreading. Also, I know Google tracks EVERYTHING.</t>
  </si>
  <si>
    <t>If I recall correctly, I believe it was for Spotify.</t>
  </si>
  <si>
    <t>Honestly, I considered that I would not have to remember my passoword.</t>
  </si>
  <si>
    <t>My media and information that is connected to my Google account.</t>
  </si>
  <si>
    <t>Instacart.</t>
  </si>
  <si>
    <t>I considered creating a login specifically for Instacart.</t>
  </si>
  <si>
    <t>If it was something I was doing because it is necessary or because I want to save time.</t>
  </si>
  <si>
    <t>Canva!</t>
  </si>
  <si>
    <t>I always check to see what permissions that a third-party service is gaining access to.</t>
  </si>
  <si>
    <t>The reputation of the service and the personal data it would be able to access.</t>
  </si>
  <si>
    <t>I used my google account to log into pinterest</t>
  </si>
  <si>
    <t>I considered the fact that I may want to stop using Google services one day and that there's no way to unlink my google account from the service.</t>
  </si>
  <si>
    <t>The purpose was to sync my calendar to the app.</t>
  </si>
  <si>
    <t>I considered the convenience of having my data synced versus the risk of allowing my information to be accessed by another app.</t>
  </si>
  <si>
    <t>I don't remember the name, but it was some website where I was doing an online order and they wanted me to create an account (in which cases I always continue with Google)</t>
  </si>
  <si>
    <t>Whether the app would send me a bunch of emails</t>
  </si>
  <si>
    <t>How many things they had access to and what permissions (could they see my data, etc)</t>
  </si>
  <si>
    <t>thingiverse</t>
  </si>
  <si>
    <t>Do i already have a seperate account that isn't tied to a google account? Is this site important enough to me to warrant a separate-from-google account?</t>
  </si>
  <si>
    <t>calendar integration</t>
  </si>
  <si>
    <t>do I have anything in my account I care enough about to not share with this company?</t>
  </si>
  <si>
    <t>I thought about privacy and security</t>
  </si>
  <si>
    <t>To use paypal</t>
  </si>
  <si>
    <t>same as before... security and privacy</t>
  </si>
  <si>
    <t>log in to video game</t>
  </si>
  <si>
    <t>to allow it to access my calendar</t>
  </si>
  <si>
    <t>I didn't really consider it, I just did it because it was easier than creating another account.</t>
  </si>
  <si>
    <t>Whether or not it's asking for access of too much personal information or asking for access for stuff not related to the app.</t>
  </si>
  <si>
    <t>I use it when i dont want to take the time to put in my info so i use my google acc</t>
  </si>
  <si>
    <t>my time</t>
  </si>
  <si>
    <t>To buy something</t>
  </si>
  <si>
    <t>not a lot</t>
  </si>
  <si>
    <t>I'm not sure. It's a very common feature with most websites these days.</t>
  </si>
  <si>
    <t>I considered setting up a separate account without linking my Google account to the third-party app or service.</t>
  </si>
  <si>
    <t>I gave my county's recycling service access to my Google Calendar to keep up with dates curbside recycling is available.</t>
  </si>
  <si>
    <t>I considered the risk of giving this service access to my account.</t>
  </si>
  <si>
    <t>I think I have my google account linked to Instacart</t>
  </si>
  <si>
    <t>I thought if I wanted this to be associated with my email and whether the acccount maybe warranted stronger security than my gmail account</t>
  </si>
  <si>
    <t>I'd consider if the information I'd give them could pose a security risk</t>
  </si>
  <si>
    <t>Online shopping website</t>
  </si>
  <si>
    <t>How convenient Google already has my stored information, I would not need to type it out myself</t>
  </si>
  <si>
    <t>What sensitive information it would gain access to and how safe it would be that it does not get compromised.</t>
  </si>
  <si>
    <t>To create a new account for a game</t>
  </si>
  <si>
    <t>I didn't consider anything</t>
  </si>
  <si>
    <t>How it's more convenient to sign in using my Google Account</t>
  </si>
  <si>
    <t>I believe Snapchat for my contacts.</t>
  </si>
  <si>
    <t>An online dating app</t>
  </si>
  <si>
    <t>The security risks of linking my account to another party's data</t>
  </si>
  <si>
    <t>The risks of granting account permissions vs. the convenience of creating a new account and password</t>
  </si>
  <si>
    <t>I used a web app called Talking Points.</t>
  </si>
  <si>
    <t>I considered it to be more convenient. Using google is preferable because it means one less account to maintain.</t>
  </si>
  <si>
    <t>To allow data to be shared between the apps.</t>
  </si>
  <si>
    <t>I considered the convenience.</t>
  </si>
  <si>
    <t>I considered the convenience, since I knew offhand my GMail password.</t>
  </si>
  <si>
    <t>I allowed it in order to use the Google Navigation app on my phone.</t>
  </si>
  <si>
    <t>I considered whether my privacy would be violated, but thought the risk necessary.</t>
  </si>
  <si>
    <t>I used it to sign in to Door Dash.</t>
  </si>
  <si>
    <t>I considered if the service is trustworthy.</t>
  </si>
  <si>
    <t>So the app can function.</t>
  </si>
  <si>
    <t>If it is safe.</t>
  </si>
  <si>
    <t>I think the last time I used Google Account to sign into a third-party app was to look at a newspaper/news website.</t>
  </si>
  <si>
    <t>I considered how often I would use the service before signing in with Google Account.</t>
  </si>
  <si>
    <t>I beileve they wanted my name, email address, and some other minor piece of information that escapes me now.</t>
  </si>
  <si>
    <t>I considered how often I would use the service before signing in with my Google account.</t>
  </si>
  <si>
    <t>paypal</t>
  </si>
  <si>
    <t>creating a new account</t>
  </si>
  <si>
    <t>to pay for something</t>
  </si>
  <si>
    <t>creating a new account on the service</t>
  </si>
  <si>
    <t>Geoguessr (game)</t>
  </si>
  <si>
    <t>I considered how easy/difficult it would be to set up my own account, whether it would be a security risk to connect my Google account, who would access my data and which kinds of data, how often I would use the game (whether these risks were "worth" it for the convenience of easily logging in to play)</t>
  </si>
  <si>
    <t>Improving my experience using a smartwatch</t>
  </si>
  <si>
    <t>The kinds of data they would see and whether this data would potentially be sold, whether it was "worth" it to allow access to the app for the extra services it would provide</t>
  </si>
  <si>
    <t>n/a</t>
  </si>
  <si>
    <t>Making sure that it doesn't mess up anything else that I have going on via my Google Account, such as additional spam or taking up extra storage space</t>
  </si>
  <si>
    <t>How the third-party website may be using my Google login information and whether or not it is necessary for me to log in using Google.</t>
  </si>
  <si>
    <t>I would consider the reputability of the third-party app and how my information may be stored or used, and I'd consider whether or not I have any alternatives to granting this access.</t>
  </si>
  <si>
    <t>I signed in on a blog, so I could leave a like on a comment that was made.</t>
  </si>
  <si>
    <t>I was wondering it was worth my time to sign in and if it was a safe sight to sign in to.</t>
  </si>
  <si>
    <t>I gave access to a game on android.</t>
  </si>
  <si>
    <t>I considered the benefits of letting the game have access I was getting bonus points for it.</t>
  </si>
  <si>
    <t>To my paypal account</t>
  </si>
  <si>
    <t>Trying to remember my password and username</t>
  </si>
  <si>
    <t>I wasnt sure i just allow it because i guess i trusted the site i was on.</t>
  </si>
  <si>
    <t>Why would they need access to my gmail account</t>
  </si>
  <si>
    <t>I do not remember</t>
  </si>
  <si>
    <t>I considered how difficult the signup process for the third-party app would be and if just logging into it with my Google Account would be faster.</t>
  </si>
  <si>
    <t>I considered if allowing the third-party app access would be worth my time.</t>
  </si>
  <si>
    <t>If the developer of the app was someone I was familiar with</t>
  </si>
  <si>
    <t>The source of the app and if I was familiar with it.</t>
  </si>
  <si>
    <t>Shopping website such as poshmark</t>
  </si>
  <si>
    <t>Whether that website would be able to see my emails and such</t>
  </si>
  <si>
    <t>I used my Google Account to sign into Youtube.</t>
  </si>
  <si>
    <t>What the third-party app would have access to.</t>
  </si>
  <si>
    <t>It was a gaming website</t>
  </si>
  <si>
    <t>I thought about how much I trusted the website I was using google to sign into and if I was comfortable signing in with my google account. I decided it was fine and did.</t>
  </si>
  <si>
    <t>I would want to make sure what the app has access to is not too personal.</t>
  </si>
  <si>
    <t>Grindr</t>
  </si>
  <si>
    <t>to sign in easy</t>
  </si>
  <si>
    <t>nothing, privacy doesnt exist</t>
  </si>
  <si>
    <t>Streeteasy</t>
  </si>
  <si>
    <t>am I okay sharing my data</t>
  </si>
  <si>
    <t>zoom, getting on my calendar easy</t>
  </si>
  <si>
    <t>Do I trust their security</t>
  </si>
  <si>
    <t>I considered what could possibly happen if someone malicious gained access to that account.</t>
  </si>
  <si>
    <t>I would consider the possibility of my information being obtained.</t>
  </si>
  <si>
    <t>I used Google to login into my Pokemon Go app</t>
  </si>
  <si>
    <t>I wondered if my data would be safe.</t>
  </si>
  <si>
    <t>I would consider if the app would keep my data for later use.</t>
  </si>
  <si>
    <t>I used my Google Account to sign into a sheet music management service.</t>
  </si>
  <si>
    <t>I considered whether the app or service was trustworthy, and I also considered how often I would use this app.</t>
  </si>
  <si>
    <t>I would consider how secure the app is, I wouldn't want my information compromised. I also would consider the type of request, and how relevant it is to the usage of the app.</t>
  </si>
  <si>
    <t>Is it safe and secure?</t>
  </si>
  <si>
    <t>How secure is this? What will they do with my information? Why do they need the information?</t>
  </si>
  <si>
    <t>An online game called blaseball</t>
  </si>
  <si>
    <t>Didn't consider anything really</t>
  </si>
  <si>
    <t>Giving access to contacts</t>
  </si>
  <si>
    <t>Nothing. I don't really have any google contacts</t>
  </si>
  <si>
    <t>Songsterr</t>
  </si>
  <si>
    <t>Is it safe just because it's faster?</t>
  </si>
  <si>
    <t>To sign up</t>
  </si>
  <si>
    <t>I don't trust this</t>
  </si>
  <si>
    <t>Reddit, sometimes this service is annoying because it registers me for an account even though I'm not interested.</t>
  </si>
  <si>
    <t>This is probably going to save me a lot of time. I'm not too concerned with theft because I have nothing of value.</t>
  </si>
  <si>
    <t>I don't really remember but I do remember encountering this type of screen in the past.</t>
  </si>
  <si>
    <t>I consider whether others would have access to information about me which I wanted it kept secret.</t>
  </si>
  <si>
    <t>Off the top of my head, I'm not really sure. I mostly try to use Apple or my own log-in, but sometimes I use Google. It has to be for an app or website.</t>
  </si>
  <si>
    <t>If there are other options like I previously mentioned, I mostly use Apple log-in or my own, but if I am using Google, then I think about the type of website/app it is and my privacy.</t>
  </si>
  <si>
    <t>What type of information is shared, and why. Do I have control over what is shared?</t>
  </si>
  <si>
    <t>I knew I would already have to use that email address to generate a login anyway, so it seemed efficient to use the third-party sign in option.</t>
  </si>
  <si>
    <t>I would consider how useful it would be. I wouldn't give a third-party app access to something that doesn't make sense, such as one that needs to use my contacts but shouldn't be able to use my calendar.</t>
  </si>
  <si>
    <t>I used it to sign in to Shopify.</t>
  </si>
  <si>
    <t>The one thing I considered was the efficiency of signing into it by just a press of a button rather than going through the sign in process.</t>
  </si>
  <si>
    <t>I would consider what information is being taken from me as well as the benefits of using a third-party app.</t>
  </si>
  <si>
    <t>NBA Topshot</t>
  </si>
  <si>
    <t>Why not just sign in with a email?</t>
  </si>
  <si>
    <t>For some calendar, and games.</t>
  </si>
  <si>
    <t>Is this trust worthy?</t>
  </si>
  <si>
    <t>I use it to sign into my android game accounts</t>
  </si>
  <si>
    <t>Not much. I mainly use the email for gaming content,</t>
  </si>
  <si>
    <t>Signing onto a gaming service</t>
  </si>
  <si>
    <t>Did not think much about out. I dont keep my personal information in emails. I write it in a book</t>
  </si>
  <si>
    <t>I use it for a large number of third-party sign-ins, so to be honest, it's hard to remember which one was the most recent. However, I believe it was my Facebook account</t>
  </si>
  <si>
    <t>Mostly convenience and the fact that I'm less likely to forget or lose account information.</t>
  </si>
  <si>
    <t>To coordinate access with my calendar to help schedule meetings by Doodle</t>
  </si>
  <si>
    <t>I'm more restrictive about giving outside apps access to my Google. I think much more about the quality and privacy of the website and how much access it's requesting.</t>
  </si>
  <si>
    <t>I don't remember in the slightest.</t>
  </si>
  <si>
    <t>I considered that I didn't want to use Facebook.</t>
  </si>
  <si>
    <t>Yes</t>
  </si>
  <si>
    <t>I once used it to access Youtube.</t>
  </si>
  <si>
    <t>I considered if the site would have access to my contacts. Since Google owns Youtube, I did not really care .</t>
  </si>
  <si>
    <t>The primary reason was to access more features without the need to create a new account on the site.</t>
  </si>
  <si>
    <t>I considered how much of my primary account information would be available. I would never allow this for unknown 3rd party sites.</t>
  </si>
  <si>
    <t>I used it to sign into Strava.</t>
  </si>
  <si>
    <t>I considered my privacy and security.</t>
  </si>
  <si>
    <t>It was too allow them to connect my contactst to the app.</t>
  </si>
  <si>
    <t>What portions of my account the service would have access to (location, media, contacts, etc.), how often I would get marketing information from the service through that email, what information could be exposed if the service was hacked, how often I would use Google services like adding calendar appointments, submitting payment info, or sharing posts to my contacts.</t>
  </si>
  <si>
    <t>Subscribing to several lists on the service put events directly into my calendar. By allowing access to my calendar, the events could be updated automatically if the owner changed any data.</t>
  </si>
  <si>
    <t>How easy it would be to unsubscribe from the lists, how long the service would have access to my calendar when I delete lists or deactivate my account, what other aspects of my account could the service gain access to without my knowledge.</t>
  </si>
  <si>
    <t>wax.io, a platform for digital trading cards.</t>
  </si>
  <si>
    <t>I considered if I trusted the company w/ my account info.</t>
  </si>
  <si>
    <t>Creating an account on food delivery app</t>
  </si>
  <si>
    <t>I reviewed everything to ensure it was all necessary.</t>
  </si>
  <si>
    <t>It was a game I play on my phone.</t>
  </si>
  <si>
    <t>If my information would be shared.</t>
  </si>
  <si>
    <t>So it could see my contacts.</t>
  </si>
  <si>
    <t>If my privacy would be compromised.</t>
  </si>
  <si>
    <t>The Moises app</t>
  </si>
  <si>
    <t>What information about me they would get from me connecting my account</t>
  </si>
  <si>
    <t>What permissions they ask for and what info they retain</t>
  </si>
  <si>
    <t>I signed in to Figma using my google account single sign on.</t>
  </si>
  <si>
    <t>I was thinking about logging in with an email and password because I didn't want my personal information to be linked.</t>
  </si>
  <si>
    <t>I would consider what I am willing to share and how much I want this app to know about myself. I would think about the security aspect of the company as well.</t>
  </si>
  <si>
    <t>Maybe my newspaper? I do google and facebook lots of places</t>
  </si>
  <si>
    <t>Whether I used that last time or had a regular password</t>
  </si>
  <si>
    <t>I know my phone calendar has access to my google calendar</t>
  </si>
  <si>
    <t>Nothing really</t>
  </si>
  <si>
    <t>Deezer</t>
  </si>
  <si>
    <t>The app itself, and whether it is reputable.</t>
  </si>
  <si>
    <t>Access my contacts</t>
  </si>
  <si>
    <t>The reputability of the app and the permissions requested.</t>
  </si>
  <si>
    <t>my sons homeschool</t>
  </si>
  <si>
    <t>my account security</t>
  </si>
  <si>
    <t>if it is safe</t>
  </si>
  <si>
    <t>Using Google to sign in is convenient.</t>
  </si>
  <si>
    <t>To keep track of my Yelp favorites.</t>
  </si>
  <si>
    <t>Whether or not that app was legitimate.</t>
  </si>
  <si>
    <t>What information would be passed to google or the third party for the login to happen. If they will keep track of what sites I use it for</t>
  </si>
  <si>
    <t>What they will use my information for</t>
  </si>
  <si>
    <t>feedly</t>
  </si>
  <si>
    <t>whether I wanted tons of spam from that service</t>
  </si>
  <si>
    <t>what permissions it asks for, online reviews, security</t>
  </si>
  <si>
    <t>Best Buy</t>
  </si>
  <si>
    <t>I have used this single sign on for a while and this is a preferred method. I think about taking extra precautions to secure my google account since using single sign on makes things less secure. Overall it makes things a lot easier and more enjoyable to use.</t>
  </si>
  <si>
    <t>It was so that a third party Android launcher could work on my phone</t>
  </si>
  <si>
    <t>Nothing really. I typically use really trusted software so don't have a concern sharing these permissions.</t>
  </si>
  <si>
    <t>Forgot</t>
  </si>
  <si>
    <t>What permissions it has to my google account</t>
  </si>
  <si>
    <t>Permissions</t>
  </si>
  <si>
    <t>I thought about how they would have access to my information. Just like you might.</t>
  </si>
  <si>
    <t>To type out less of my information</t>
  </si>
  <si>
    <t>I was concerned about the safety of my info.</t>
  </si>
  <si>
    <t>It was a food service I think like door dash etc</t>
  </si>
  <si>
    <t>My data being shared and exploited.</t>
  </si>
  <si>
    <t>Data /personal information exploitation.</t>
  </si>
  <si>
    <t>I can't remember specifically</t>
  </si>
  <si>
    <t>If the site was reputable.</t>
  </si>
  <si>
    <t>I don't recall the specific instance</t>
  </si>
  <si>
    <t>If the site was reputable</t>
  </si>
  <si>
    <t>Las Day on Earth game</t>
  </si>
  <si>
    <t>How much easier and convenient it is to use.</t>
  </si>
  <si>
    <t>To merge everything together</t>
  </si>
  <si>
    <t>Just the ease of use and how i rather use the google than facebook or apple</t>
  </si>
  <si>
    <t>If I really need to and want to use my time doing that.</t>
  </si>
  <si>
    <t>The privacy settings</t>
  </si>
  <si>
    <t>Wyze cam app</t>
  </si>
  <si>
    <t>Logging into a newly created account to apply for jobs</t>
  </si>
  <si>
    <t>I can't remember for sure, but I think I have signed into some of the receipt rebate apps with my gmail account. I know I have used it for Yelp and I think possibly Groupon.</t>
  </si>
  <si>
    <t>Risk versus reward. I worry a little about giving an app access to my personal information, but, to be honest, if I think I could get money back from something (like the receipt apps) it definitely convinces me a little more. If the app looks shady to me I won't do it, but if it seems relatively legitimate and has good reviews, I'm probably willing.</t>
  </si>
  <si>
    <t>I believe it was for a receipt rebate app that gives you a certain amount of money for every online purchase you make.</t>
  </si>
  <si>
    <t>I considered that this was probably risky, but I don't store any private information in my email and use a different email for passwords most of the time so it seemed like it was probably okay. I still worry about it a little bit though.</t>
  </si>
  <si>
    <t>That I wanted to sign in.</t>
  </si>
  <si>
    <t>Code 1</t>
  </si>
  <si>
    <t>Code 2</t>
  </si>
  <si>
    <t>Code 3</t>
  </si>
  <si>
    <t>Code 4</t>
  </si>
  <si>
    <t>Code 5</t>
  </si>
  <si>
    <t>Code 6</t>
  </si>
  <si>
    <t>Code 7</t>
  </si>
  <si>
    <t>Code 8</t>
  </si>
  <si>
    <t>class</t>
  </si>
  <si>
    <t>class-&gt;shopping</t>
  </si>
  <si>
    <t>shopping_NS</t>
  </si>
  <si>
    <t>class-&gt;misc</t>
  </si>
  <si>
    <t>non_specific</t>
  </si>
  <si>
    <t>class-&gt;social_media</t>
  </si>
  <si>
    <t>reddit</t>
  </si>
  <si>
    <t>class-&gt;lifestyle</t>
  </si>
  <si>
    <t>nest</t>
  </si>
  <si>
    <t>class-&gt;finance</t>
  </si>
  <si>
    <t>class-&gt;business</t>
  </si>
  <si>
    <t>webex</t>
  </si>
  <si>
    <t>class-&gt;housing</t>
  </si>
  <si>
    <t>realtor_com</t>
  </si>
  <si>
    <t>class-&gt;news</t>
  </si>
  <si>
    <t>medium</t>
  </si>
  <si>
    <t>class-&gt;education</t>
  </si>
  <si>
    <t>seesaw</t>
  </si>
  <si>
    <t>class-&gt;travel</t>
  </si>
  <si>
    <t>yellow_pages</t>
  </si>
  <si>
    <t>indeed</t>
  </si>
  <si>
    <t>schoology</t>
  </si>
  <si>
    <t>class-&gt;food</t>
  </si>
  <si>
    <t>doordash</t>
  </si>
  <si>
    <t>class-&gt;no_recall</t>
  </si>
  <si>
    <t>no_recall</t>
  </si>
  <si>
    <t>class-&gt;productivity</t>
  </si>
  <si>
    <t>pomofocus</t>
  </si>
  <si>
    <t>khan_academy</t>
  </si>
  <si>
    <t>class-&gt;gaming</t>
  </si>
  <si>
    <t>clash_of_clans</t>
  </si>
  <si>
    <t>stitch_fix</t>
  </si>
  <si>
    <t>linkedin</t>
  </si>
  <si>
    <t>class-&gt;books</t>
  </si>
  <si>
    <t>goodreads</t>
  </si>
  <si>
    <t>class-&gt;health</t>
  </si>
  <si>
    <t>class-&gt;entertainment</t>
  </si>
  <si>
    <t>bored_panda</t>
  </si>
  <si>
    <t>pixiv</t>
  </si>
  <si>
    <t>offerup</t>
  </si>
  <si>
    <t>auto_chess</t>
  </si>
  <si>
    <t>free_code_camp</t>
  </si>
  <si>
    <t>beyondmenu</t>
  </si>
  <si>
    <t>forum</t>
  </si>
  <si>
    <t>hideout_tv</t>
  </si>
  <si>
    <t>restaurant_NS</t>
  </si>
  <si>
    <t>humble_bundle</t>
  </si>
  <si>
    <t>wirecutter</t>
  </si>
  <si>
    <t>dosomething</t>
  </si>
  <si>
    <t>gasbuddy</t>
  </si>
  <si>
    <t>tapas_io</t>
  </si>
  <si>
    <t>phemex</t>
  </si>
  <si>
    <t>gaming_NS</t>
  </si>
  <si>
    <t>honey</t>
  </si>
  <si>
    <t>microsoft</t>
  </si>
  <si>
    <t>netflix</t>
  </si>
  <si>
    <t>class-&gt;survey</t>
  </si>
  <si>
    <t>this_survey</t>
  </si>
  <si>
    <t>uber_eats</t>
  </si>
  <si>
    <t>wall_street_journal</t>
  </si>
  <si>
    <t>class-&gt;sports</t>
  </si>
  <si>
    <t>fantasy_premier_league</t>
  </si>
  <si>
    <t>infinix_hot_8</t>
  </si>
  <si>
    <t>handshake</t>
  </si>
  <si>
    <t>instacart</t>
  </si>
  <si>
    <t>clash_royale</t>
  </si>
  <si>
    <t>class_link</t>
  </si>
  <si>
    <t>amplify_ela</t>
  </si>
  <si>
    <t>zearn</t>
  </si>
  <si>
    <t>class-&gt;design</t>
  </si>
  <si>
    <t>canva</t>
  </si>
  <si>
    <t>instagram</t>
  </si>
  <si>
    <t>poshmark</t>
  </si>
  <si>
    <t>education_NS</t>
  </si>
  <si>
    <t>yelp</t>
  </si>
  <si>
    <t>ebay</t>
  </si>
  <si>
    <t>google_suite</t>
  </si>
  <si>
    <t>adobe</t>
  </si>
  <si>
    <t>lumin_pdf</t>
  </si>
  <si>
    <t>messaging_NS</t>
  </si>
  <si>
    <t>slack</t>
  </si>
  <si>
    <t>bitbucket</t>
  </si>
  <si>
    <t>tynker</t>
  </si>
  <si>
    <t>hubspot</t>
  </si>
  <si>
    <t>killi</t>
  </si>
  <si>
    <t>food_delivery_NS</t>
  </si>
  <si>
    <t>other_survey</t>
  </si>
  <si>
    <t>printify</t>
  </si>
  <si>
    <t>reedsy</t>
  </si>
  <si>
    <t>spotify</t>
  </si>
  <si>
    <t>avclub_com</t>
  </si>
  <si>
    <t>health_NS</t>
  </si>
  <si>
    <t>ibotta</t>
  </si>
  <si>
    <t>class-&gt;not_recall</t>
  </si>
  <si>
    <t>dating_app_NS</t>
  </si>
  <si>
    <t>github</t>
  </si>
  <si>
    <t>sprout</t>
  </si>
  <si>
    <t>apple</t>
  </si>
  <si>
    <t>visa_fast_pay</t>
  </si>
  <si>
    <t>calendly</t>
  </si>
  <si>
    <t>jetbrains</t>
  </si>
  <si>
    <t>coinrule</t>
  </si>
  <si>
    <t>you_need_a_budget</t>
  </si>
  <si>
    <t>nintendo</t>
  </si>
  <si>
    <t>dabbl</t>
  </si>
  <si>
    <t>talking_points</t>
  </si>
  <si>
    <t>vagaro</t>
  </si>
  <si>
    <t>fifth_third</t>
  </si>
  <si>
    <t>upvoice</t>
  </si>
  <si>
    <t>grammarly</t>
  </si>
  <si>
    <t>quizlet</t>
  </si>
  <si>
    <t>text_now</t>
  </si>
  <si>
    <t>pdf_editor</t>
  </si>
  <si>
    <t>epic_games</t>
  </si>
  <si>
    <t>notion</t>
  </si>
  <si>
    <t>social_media</t>
  </si>
  <si>
    <t>espn</t>
  </si>
  <si>
    <t>fire_emblem_heroes</t>
  </si>
  <si>
    <t>dragon_ball_legends</t>
  </si>
  <si>
    <t>nvidia</t>
  </si>
  <si>
    <t>gramfree</t>
  </si>
  <si>
    <t>red_robin</t>
  </si>
  <si>
    <t>discogs</t>
  </si>
  <si>
    <t>glassdoor</t>
  </si>
  <si>
    <t>etsy</t>
  </si>
  <si>
    <t>reviews_NS</t>
  </si>
  <si>
    <t>thredup</t>
  </si>
  <si>
    <t>asos</t>
  </si>
  <si>
    <t>canvas</t>
  </si>
  <si>
    <t>news_NS</t>
  </si>
  <si>
    <t>tiktok</t>
  </si>
  <si>
    <t>valorant</t>
  </si>
  <si>
    <t>pokemon_go</t>
  </si>
  <si>
    <t>stock-photos</t>
  </si>
  <si>
    <t>player_auctions</t>
  </si>
  <si>
    <t>chewy</t>
  </si>
  <si>
    <t>gpay</t>
  </si>
  <si>
    <t>samsung_shop</t>
  </si>
  <si>
    <t>the_real_real</t>
  </si>
  <si>
    <t>disney</t>
  </si>
  <si>
    <t>cashback_service_NS</t>
  </si>
  <si>
    <t>coinbase</t>
  </si>
  <si>
    <t>battle_net</t>
  </si>
  <si>
    <t>destiny</t>
  </si>
  <si>
    <t>classlink</t>
  </si>
  <si>
    <t>class-&gt;none</t>
  </si>
  <si>
    <t>no_sso</t>
  </si>
  <si>
    <t>boom_cards</t>
  </si>
  <si>
    <t>loom</t>
  </si>
  <si>
    <t>sciencv</t>
  </si>
  <si>
    <t>juno</t>
  </si>
  <si>
    <t>remini</t>
  </si>
  <si>
    <t>investing_app_NS</t>
  </si>
  <si>
    <t>dropbox</t>
  </si>
  <si>
    <t>snapchat</t>
  </si>
  <si>
    <t>headspace</t>
  </si>
  <si>
    <t>chegg</t>
  </si>
  <si>
    <t>chess_com</t>
  </si>
  <si>
    <t>ifttt</t>
  </si>
  <si>
    <t>wish</t>
  </si>
  <si>
    <t>class-&gt;security</t>
  </si>
  <si>
    <t>security_NS</t>
  </si>
  <si>
    <t>ali_express</t>
  </si>
  <si>
    <t>diagnose_us</t>
  </si>
  <si>
    <t>star_wars_galaxy_of_heroes</t>
  </si>
  <si>
    <t>pbs</t>
  </si>
  <si>
    <t>receipt_hog</t>
  </si>
  <si>
    <t>tinder</t>
  </si>
  <si>
    <t>best_buy</t>
  </si>
  <si>
    <t>genshin_impact</t>
  </si>
  <si>
    <t>chic</t>
  </si>
  <si>
    <t>google_forms</t>
  </si>
  <si>
    <t>dispensary_NS</t>
  </si>
  <si>
    <t>geoguessr</t>
  </si>
  <si>
    <t>blog_NS</t>
  </si>
  <si>
    <t>streeteasy</t>
  </si>
  <si>
    <t>music_NS</t>
  </si>
  <si>
    <t>blaseball</t>
  </si>
  <si>
    <t>songsterr</t>
  </si>
  <si>
    <t>shopify</t>
  </si>
  <si>
    <t>nba_topshot</t>
  </si>
  <si>
    <t>strava</t>
  </si>
  <si>
    <t>wax_io</t>
  </si>
  <si>
    <t>moises</t>
  </si>
  <si>
    <t>figma</t>
  </si>
  <si>
    <t>deezer</t>
  </si>
  <si>
    <t>last_day_on_earth</t>
  </si>
  <si>
    <t>wyze</t>
  </si>
  <si>
    <t>groupon</t>
  </si>
  <si>
    <t>All Codes</t>
  </si>
  <si>
    <t>Primary Codes</t>
  </si>
  <si>
    <t>ease_of_use</t>
  </si>
  <si>
    <t>ease_of_use-&gt;fills_in_information</t>
  </si>
  <si>
    <t>security-&gt;information</t>
  </si>
  <si>
    <t>security-&gt;sign_in</t>
  </si>
  <si>
    <t>trust</t>
  </si>
  <si>
    <t>trust-&gt;website</t>
  </si>
  <si>
    <t>ease_of_use-&gt;how_long</t>
  </si>
  <si>
    <t>unknowns</t>
  </si>
  <si>
    <t>unknowns-&gt;use_of_information</t>
  </si>
  <si>
    <t>unsure</t>
  </si>
  <si>
    <t>unconcerned</t>
  </si>
  <si>
    <t>ease_of_use-&gt;account_creation</t>
  </si>
  <si>
    <t>tradeoff</t>
  </si>
  <si>
    <t>tradeoff-&gt;sharing_information</t>
  </si>
  <si>
    <t>tradeoff-&gt;another_account</t>
  </si>
  <si>
    <t>fewer_accounts</t>
  </si>
  <si>
    <t>remember_login</t>
  </si>
  <si>
    <t>trust-&gt;app</t>
  </si>
  <si>
    <t>trust-&gt;no_unwanted_email</t>
  </si>
  <si>
    <t>unknowns-&gt;do_they_keep_information</t>
  </si>
  <si>
    <t>ease_of_use-&gt;simple</t>
  </si>
  <si>
    <t>unconcerned-&gt;assume-secure</t>
  </si>
  <si>
    <t>other_options</t>
  </si>
  <si>
    <t>other_options-&gt;facebook</t>
  </si>
  <si>
    <t>unknowns-&gt;information_access</t>
  </si>
  <si>
    <t>unknowns-&gt;email_access</t>
  </si>
  <si>
    <t>distrust</t>
  </si>
  <si>
    <t>distrust-&gt;google</t>
  </si>
  <si>
    <t>distrust-&gt;no_unwanted_email</t>
  </si>
  <si>
    <t>necessary</t>
  </si>
  <si>
    <t>tradeoff-&gt;security</t>
  </si>
  <si>
    <t>tradeoff-&gt;frequent-use</t>
  </si>
  <si>
    <t>unconcerned-&gt;other-primary-email</t>
  </si>
  <si>
    <t>tradeoff-&gt;length_of_use</t>
  </si>
  <si>
    <t>other_options-&gt;apple</t>
  </si>
  <si>
    <t>trust-&gt;company</t>
  </si>
  <si>
    <t>unconcerned-&gt;use_often</t>
  </si>
  <si>
    <t>trust-&gt;google</t>
  </si>
  <si>
    <t>unknowns-&gt;payments</t>
  </si>
  <si>
    <t>distrust-&gt;app</t>
  </si>
  <si>
    <t>tradeoff-&gt;account_creation</t>
  </si>
  <si>
    <t>unknowns-&gt;no_unwanted_email</t>
  </si>
  <si>
    <t>distrust-&gt;company</t>
  </si>
  <si>
    <t>trust-&gt;site</t>
  </si>
  <si>
    <t>tradeoff-&gt;frequent_use</t>
  </si>
  <si>
    <t>personal_info</t>
  </si>
  <si>
    <t>sign_in</t>
  </si>
  <si>
    <t>contacts</t>
  </si>
  <si>
    <t>specific_app_or_service</t>
  </si>
  <si>
    <t>specific_app_or_service-&gt;todoist</t>
  </si>
  <si>
    <t>specific_app_or_service-&gt;twitter</t>
  </si>
  <si>
    <t>notifications</t>
  </si>
  <si>
    <t>calendar</t>
  </si>
  <si>
    <t>work_related</t>
  </si>
  <si>
    <t>utility</t>
  </si>
  <si>
    <t>utility-&gt;synch_info</t>
  </si>
  <si>
    <t>specific_app_or_service-&gt;zoom</t>
  </si>
  <si>
    <t>specific_app_or_service-&gt;peloton</t>
  </si>
  <si>
    <t>specific_app_or_service-&gt;amazon</t>
  </si>
  <si>
    <t>utility-&gt;file_transfer</t>
  </si>
  <si>
    <t>utility-&gt;install</t>
  </si>
  <si>
    <t>specific_app_or_service-&gt;youtube</t>
  </si>
  <si>
    <t>specific_app_or_service-&gt;calendly</t>
  </si>
  <si>
    <t>specific_app_or_service-&gt;google_docs</t>
  </si>
  <si>
    <t>gaming</t>
  </si>
  <si>
    <t>specific_app_or_service-&gt;google_play</t>
  </si>
  <si>
    <t>utility-&gt;scan_documents</t>
  </si>
  <si>
    <t>specific_app_or_service-&gt;google_audio_player</t>
  </si>
  <si>
    <t>education</t>
  </si>
  <si>
    <t>utility-&gt;edit_pdf</t>
  </si>
  <si>
    <t>utility-&gt;email</t>
  </si>
  <si>
    <t>utility-&gt;zip_extractor</t>
  </si>
  <si>
    <t>personal_info-&gt;health_data</t>
  </si>
  <si>
    <t>specific_app_or_service-&gt;google_drive</t>
  </si>
  <si>
    <t>specific_app_or_service-&gt;calendars_5</t>
  </si>
  <si>
    <t>photos</t>
  </si>
  <si>
    <t>specific_app_or_service-&gt;google_sheets</t>
  </si>
  <si>
    <t>specific_app_or_service-&gt;nest</t>
  </si>
  <si>
    <t>personal_info-&gt;age</t>
  </si>
  <si>
    <t>utility-&gt;manage_apps</t>
  </si>
  <si>
    <t>specific_app_or_service-&gt;grammarly</t>
  </si>
  <si>
    <t>specific_app_or_service-&gt;plex</t>
  </si>
  <si>
    <t>specific_app_or_service-&gt;linked_in</t>
  </si>
  <si>
    <t>utility-&gt;screenshot</t>
  </si>
  <si>
    <t>specific_app_or_service-&gt;movies_anywhere</t>
  </si>
  <si>
    <t>specific_app_or_service-&gt;mcdonalds</t>
  </si>
  <si>
    <t>personal_info-&gt;location</t>
  </si>
  <si>
    <t>specific_app_or_service-&gt;headspace</t>
  </si>
  <si>
    <t>specific_app_or_service-&gt;slack</t>
  </si>
  <si>
    <t>specific_app_or_service-&gt;gleam</t>
  </si>
  <si>
    <t>specific_app_or_service-&gt;only_office</t>
  </si>
  <si>
    <t>utility-&gt;webcam</t>
  </si>
  <si>
    <t>specific_app_or_service-&gt;honey</t>
  </si>
  <si>
    <t>specific_app_or_service-&gt;paypal</t>
  </si>
  <si>
    <t>specific_app_or_service-&gt;snapchat</t>
  </si>
  <si>
    <t>specific_app_or_service-&gt;google_navigation</t>
  </si>
  <si>
    <t>specific_app_or_service-&gt;Doodle</t>
  </si>
  <si>
    <t>specific_app_or_service-&gt;yelp</t>
  </si>
  <si>
    <t>personal_information</t>
  </si>
  <si>
    <t>personal_information-&gt;amount_collected</t>
  </si>
  <si>
    <t>convenience</t>
  </si>
  <si>
    <t>convenience-&gt;account_creation</t>
  </si>
  <si>
    <t>tradeoff-&gt;useful</t>
  </si>
  <si>
    <t>is_trusted</t>
  </si>
  <si>
    <t>is_trusted-&gt;app</t>
  </si>
  <si>
    <t>permissions</t>
  </si>
  <si>
    <t>permissions-&gt;correct</t>
  </si>
  <si>
    <t>security-&gt;app_owner</t>
  </si>
  <si>
    <t>unwanted_emails</t>
  </si>
  <si>
    <t>safety_of_app</t>
  </si>
  <si>
    <t>transfer_of_trust</t>
  </si>
  <si>
    <t>transfer_of_trust-&gt;from_google</t>
  </si>
  <si>
    <t>permissions-&gt;alternate_app_with_fewer</t>
  </si>
  <si>
    <t>comfort_with_app_or_service</t>
  </si>
  <si>
    <t>comfort_with_app_or_service-&gt;access_to_information</t>
  </si>
  <si>
    <t>is_trusted-&gt;website</t>
  </si>
  <si>
    <t>is_app_useful</t>
  </si>
  <si>
    <t>permissions-&gt;contact_info</t>
  </si>
  <si>
    <t>permissions-&gt;media</t>
  </si>
  <si>
    <t>security-&gt;information_theft</t>
  </si>
  <si>
    <t>is_trusted-&gt;company</t>
  </si>
  <si>
    <t>ease_of_use-&gt;already_connected</t>
  </si>
  <si>
    <t>permissions-&gt;necessary</t>
  </si>
  <si>
    <t>permissions-&gt;access</t>
  </si>
  <si>
    <t>permissions-&gt;what_information_accessible</t>
  </si>
  <si>
    <t>permissions-&gt;modify_data</t>
  </si>
  <si>
    <t>ease_of_use-&gt;sign_in_process</t>
  </si>
  <si>
    <t>privacy-&gt;data_used_for_advertising</t>
  </si>
  <si>
    <t>security-&gt;information_leak</t>
  </si>
  <si>
    <t>security-&gt;misuse</t>
  </si>
  <si>
    <t>personal_information-&gt;account</t>
  </si>
  <si>
    <t>unconcerned-&gt;trust_google</t>
  </si>
  <si>
    <t>personal_information-&gt;email</t>
  </si>
  <si>
    <t>ease_of_use-&gt;access_removal</t>
  </si>
  <si>
    <t>security-&gt;website</t>
  </si>
  <si>
    <t>personal_information-&gt;sharing</t>
  </si>
  <si>
    <t>unknowns-&gt;google_guideline_enforcement</t>
  </si>
  <si>
    <t>personal_information-&gt;sensitive</t>
  </si>
  <si>
    <t>using_an_alternate_account</t>
  </si>
  <si>
    <t>privacy-&gt;data_protection</t>
  </si>
  <si>
    <t>personal_information-&gt;what_type_accessible_collected</t>
  </si>
  <si>
    <t>personal_information-&gt;kept_confidential</t>
  </si>
  <si>
    <t>personal_information-&gt;is_shared</t>
  </si>
  <si>
    <t>permissions-&gt;email_access</t>
  </si>
  <si>
    <t>personal_information-&gt;how_used</t>
  </si>
  <si>
    <t>permissions-&gt;google_drive</t>
  </si>
  <si>
    <t>unknowns-&gt;why_access_needed</t>
  </si>
  <si>
    <t>unknowns-&gt;why_information_needed</t>
  </si>
  <si>
    <t>other_options-&gt;use_without_sign_in</t>
  </si>
  <si>
    <t>permissions-&gt;calendar</t>
  </si>
  <si>
    <t>location_tracking</t>
  </si>
  <si>
    <t>personal_information-&gt;photos</t>
  </si>
  <si>
    <t>access_to_mobile_device</t>
  </si>
  <si>
    <t>personal_information-&gt;calendar</t>
  </si>
  <si>
    <t>is_trusted-&gt;developer</t>
  </si>
  <si>
    <t>cost</t>
  </si>
  <si>
    <t>privacy-&gt;privacy_policy</t>
  </si>
  <si>
    <t>permissions-&gt;webcam</t>
  </si>
  <si>
    <t>personal_information-&gt;schedule</t>
  </si>
  <si>
    <t>permissions-&gt;contacts</t>
  </si>
  <si>
    <t>permissions-&gt;location</t>
  </si>
  <si>
    <t>permissions-&gt;local_files</t>
  </si>
  <si>
    <t>personal_information-&gt;accounts</t>
  </si>
  <si>
    <t>personal_information-&gt;account_password</t>
  </si>
  <si>
    <t>permissions-&gt;browsing_history</t>
  </si>
  <si>
    <t>online_reviews</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</si>
</sst>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font>
    <font>
      <b/>
      <sz val="8.0"/>
      <color rgb="FF000000"/>
      <name val="&quot;Helvetica Neue&quot;"/>
    </font>
    <font/>
    <font>
      <b/>
    </font>
    <font>
      <sz val="8.0"/>
      <color rgb="FF000000"/>
      <name val="&quot;Helvetica Neue&quot;"/>
    </font>
    <font>
      <u/>
      <sz val="8.0"/>
      <color rgb="FF000000"/>
      <name val="&quot;Helvetica Neue&quot;"/>
    </font>
    <font>
      <b/>
      <name val="Arial"/>
    </font>
    <font>
      <u/>
      <color rgb="FF0000FF"/>
    </font>
    <font>
      <color rgb="FF000000"/>
    </font>
    <font>
      <name val="Arial"/>
    </font>
    <font>
      <color rgb="FF000000"/>
      <name val="&quot;Arial&quot;"/>
    </font>
    <font>
      <color rgb="FF000000"/>
      <name val="Arial"/>
    </font>
    <font>
      <u/>
      <color rgb="FF0000FF"/>
    </font>
    <font>
      <sz val="11.0"/>
      <color rgb="FF000000"/>
      <name val="Inconsolata"/>
    </font>
    <font>
      <color rgb="FF000000"/>
      <name val="&quot;arial&quot;"/>
    </font>
  </fonts>
  <fills count="8">
    <fill>
      <patternFill patternType="none"/>
    </fill>
    <fill>
      <patternFill patternType="lightGray"/>
    </fill>
    <fill>
      <patternFill patternType="solid">
        <fgColor rgb="FFB0B3B2"/>
        <bgColor rgb="FFB0B3B2"/>
      </patternFill>
    </fill>
    <fill>
      <patternFill patternType="solid">
        <fgColor rgb="FFB7B7B7"/>
        <bgColor rgb="FFB7B7B7"/>
      </patternFill>
    </fill>
    <fill>
      <patternFill patternType="solid">
        <fgColor rgb="FFD4D4D4"/>
        <bgColor rgb="FFD4D4D4"/>
      </patternFill>
    </fill>
    <fill>
      <patternFill patternType="solid">
        <fgColor rgb="FFFFF2CC"/>
        <bgColor rgb="FFFFF2CC"/>
      </patternFill>
    </fill>
    <fill>
      <patternFill patternType="solid">
        <fgColor rgb="FFFFFFFF"/>
        <bgColor rgb="FFFFFFFF"/>
      </patternFill>
    </fill>
    <fill>
      <patternFill patternType="solid">
        <fgColor rgb="FFFFFF00"/>
        <bgColor rgb="FFFFFF00"/>
      </patternFill>
    </fill>
  </fills>
  <borders count="8">
    <border/>
    <border>
      <left style="thin">
        <color rgb="FF000000"/>
      </left>
      <right style="thin">
        <color rgb="FF000000"/>
      </right>
      <top style="thin">
        <color rgb="FF000000"/>
      </top>
      <bottom style="thin">
        <color rgb="FF000000"/>
      </bottom>
    </border>
    <border>
      <right style="thin">
        <color rgb="FFCCCCCC"/>
      </right>
    </border>
    <border>
      <right style="thin">
        <color rgb="FFCCCCCC"/>
      </right>
      <top style="thin">
        <color rgb="FFCCCCCC"/>
      </top>
      <bottom style="thin">
        <color rgb="FFCCCCCC"/>
      </bottom>
    </border>
    <border>
      <bottom style="thin">
        <color rgb="FF000000"/>
      </bottom>
    </border>
    <border>
      <left style="thin">
        <color rgb="FF000000"/>
      </left>
    </border>
    <border>
      <left style="thin">
        <color rgb="FF000000"/>
      </left>
      <top style="thin">
        <color rgb="FF000000"/>
      </top>
      <bottom style="thin">
        <color rgb="FF000000"/>
      </bottom>
    </border>
    <border>
      <left style="thin">
        <color rgb="FFCCCCCC"/>
      </left>
      <right style="thin">
        <color rgb="FFCCCCCC"/>
      </right>
      <top style="thin">
        <color rgb="FFCCCCCC"/>
      </top>
      <bottom style="thin">
        <color rgb="FFCCCCCC"/>
      </bottom>
    </border>
  </borders>
  <cellStyleXfs count="1">
    <xf borderId="0" fillId="0" fontId="0" numFmtId="0" applyAlignment="1" applyFont="1"/>
  </cellStyleXfs>
  <cellXfs count="70">
    <xf borderId="0" fillId="0" fontId="0" numFmtId="0" xfId="0" applyAlignment="1" applyFont="1">
      <alignment readingOrder="0" shrinkToFit="0" vertical="bottom" wrapText="0"/>
    </xf>
    <xf borderId="1" fillId="2" fontId="1" numFmtId="0" xfId="0" applyAlignment="1" applyBorder="1" applyFill="1" applyFont="1">
      <alignment readingOrder="0" shrinkToFit="0" vertical="top" wrapText="1"/>
    </xf>
    <xf borderId="1" fillId="3" fontId="1" numFmtId="0" xfId="0" applyAlignment="1" applyBorder="1" applyFill="1" applyFont="1">
      <alignment readingOrder="0" vertical="top"/>
    </xf>
    <xf borderId="0" fillId="0" fontId="2" numFmtId="0" xfId="0" applyAlignment="1" applyFont="1">
      <alignment readingOrder="0" shrinkToFit="0" wrapText="1"/>
    </xf>
    <xf borderId="1" fillId="0" fontId="1" numFmtId="0" xfId="0" applyAlignment="1" applyBorder="1" applyFont="1">
      <alignment readingOrder="0" shrinkToFit="0" vertical="top" wrapText="1"/>
    </xf>
    <xf borderId="1" fillId="0" fontId="1" numFmtId="0" xfId="0" applyAlignment="1" applyBorder="1" applyFont="1">
      <alignment readingOrder="0" vertical="top"/>
    </xf>
    <xf borderId="0" fillId="0" fontId="3" numFmtId="0" xfId="0" applyAlignment="1" applyFont="1">
      <alignment readingOrder="0" shrinkToFit="0" wrapText="1"/>
    </xf>
    <xf borderId="0" fillId="0" fontId="3" numFmtId="0" xfId="0" applyFont="1"/>
    <xf borderId="0" fillId="0" fontId="3" numFmtId="0" xfId="0" applyAlignment="1" applyFont="1">
      <alignment readingOrder="0"/>
    </xf>
    <xf borderId="1" fillId="4" fontId="1" numFmtId="0" xfId="0" applyAlignment="1" applyBorder="1" applyFill="1" applyFont="1">
      <alignment readingOrder="0" shrinkToFit="0" vertical="top" wrapText="1"/>
    </xf>
    <xf borderId="1" fillId="0" fontId="2" numFmtId="0" xfId="0" applyAlignment="1" applyBorder="1" applyFont="1">
      <alignment shrinkToFit="0" vertical="top" wrapText="1"/>
    </xf>
    <xf borderId="1" fillId="0" fontId="4" numFmtId="0" xfId="0" applyAlignment="1" applyBorder="1" applyFont="1">
      <alignment readingOrder="0" shrinkToFit="0" vertical="top" wrapText="1"/>
    </xf>
    <xf borderId="0" fillId="0" fontId="2" numFmtId="0" xfId="0" applyAlignment="1" applyFont="1">
      <alignment shrinkToFit="0" wrapText="1"/>
    </xf>
    <xf borderId="1" fillId="0" fontId="5"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2" numFmtId="0" xfId="0" applyAlignment="1" applyBorder="1" applyFont="1">
      <alignment shrinkToFit="0" vertical="top" wrapText="1"/>
    </xf>
    <xf borderId="0" fillId="0" fontId="6" numFmtId="0" xfId="0" applyAlignment="1" applyFont="1">
      <alignment vertical="bottom"/>
    </xf>
    <xf borderId="0" fillId="0" fontId="6" numFmtId="0" xfId="0" applyAlignment="1" applyFont="1">
      <alignment shrinkToFit="0" vertical="bottom" wrapText="1"/>
    </xf>
    <xf borderId="1" fillId="0" fontId="2" numFmtId="0" xfId="0" applyBorder="1" applyFont="1"/>
    <xf borderId="1" fillId="0" fontId="2" numFmtId="0" xfId="0" applyAlignment="1" applyBorder="1" applyFont="1">
      <alignment shrinkToFit="0" wrapText="1"/>
    </xf>
    <xf borderId="0" fillId="0" fontId="2" numFmtId="0" xfId="0" applyAlignment="1" applyFont="1">
      <alignment readingOrder="0"/>
    </xf>
    <xf borderId="1" fillId="0" fontId="7" numFmtId="0" xfId="0" applyAlignment="1" applyBorder="1" applyFont="1">
      <alignment shrinkToFit="0" wrapText="1"/>
    </xf>
    <xf borderId="0" fillId="0" fontId="8" numFmtId="0" xfId="0" applyAlignment="1" applyFont="1">
      <alignment readingOrder="0" shrinkToFit="0" wrapText="1"/>
    </xf>
    <xf borderId="0" fillId="0" fontId="9" numFmtId="0" xfId="0" applyAlignment="1" applyFont="1">
      <alignment shrinkToFit="0" vertical="bottom" wrapText="1"/>
    </xf>
    <xf borderId="0" fillId="0" fontId="9" numFmtId="0" xfId="0" applyAlignment="1" applyFont="1">
      <alignment vertical="bottom"/>
    </xf>
    <xf borderId="0" fillId="0" fontId="8" numFmtId="0" xfId="0" applyAlignment="1" applyFont="1">
      <alignment readingOrder="0" shrinkToFit="0" wrapText="1"/>
    </xf>
    <xf borderId="0" fillId="0" fontId="10" numFmtId="0" xfId="0" applyAlignment="1" applyFont="1">
      <alignment readingOrder="0"/>
    </xf>
    <xf borderId="0" fillId="0" fontId="8" numFmtId="0" xfId="0" applyAlignment="1" applyFont="1">
      <alignment readingOrder="0" shrinkToFit="0" wrapText="1"/>
    </xf>
    <xf borderId="0" fillId="0" fontId="11" numFmtId="0" xfId="0" applyAlignment="1" applyFont="1">
      <alignment readingOrder="0"/>
    </xf>
    <xf borderId="0" fillId="0" fontId="11" numFmtId="0" xfId="0" applyAlignment="1" applyFont="1">
      <alignment readingOrder="0" shrinkToFit="0" vertical="bottom" wrapText="1"/>
    </xf>
    <xf borderId="0" fillId="0" fontId="9" numFmtId="0" xfId="0" applyAlignment="1" applyFont="1">
      <alignment shrinkToFit="0" vertical="bottom" wrapText="1"/>
    </xf>
    <xf borderId="0" fillId="0" fontId="12" numFmtId="0" xfId="0" applyAlignment="1" applyFont="1">
      <alignment shrinkToFit="0" wrapText="1"/>
    </xf>
    <xf borderId="0" fillId="5" fontId="2" numFmtId="0" xfId="0" applyFill="1" applyFont="1"/>
    <xf borderId="0" fillId="5" fontId="2" numFmtId="0" xfId="0" applyAlignment="1" applyFont="1">
      <alignment shrinkToFit="0" wrapText="1"/>
    </xf>
    <xf borderId="0" fillId="0" fontId="9" numFmtId="0" xfId="0" applyAlignment="1" applyFont="1">
      <alignment vertical="bottom"/>
    </xf>
    <xf borderId="0" fillId="6" fontId="11" numFmtId="0" xfId="0" applyAlignment="1" applyFill="1" applyFont="1">
      <alignment horizontal="left" readingOrder="0"/>
    </xf>
    <xf borderId="0" fillId="0" fontId="11" numFmtId="0" xfId="0" applyAlignment="1" applyFont="1">
      <alignment readingOrder="0" vertical="bottom"/>
    </xf>
    <xf borderId="0" fillId="0" fontId="9" numFmtId="0" xfId="0" applyAlignment="1" applyFont="1">
      <alignment readingOrder="0" shrinkToFit="0" vertical="bottom" wrapText="1"/>
    </xf>
    <xf borderId="0" fillId="0" fontId="9" numFmtId="0" xfId="0" applyAlignment="1" applyFont="1">
      <alignment vertical="bottom"/>
    </xf>
    <xf borderId="0" fillId="0" fontId="11" numFmtId="0" xfId="0" applyAlignment="1" applyFont="1">
      <alignment readingOrder="0" shrinkToFit="0" vertical="bottom" wrapText="1"/>
    </xf>
    <xf borderId="0" fillId="0" fontId="9" numFmtId="0" xfId="0" applyAlignment="1" applyFont="1">
      <alignment readingOrder="0" vertical="bottom"/>
    </xf>
    <xf borderId="0" fillId="7" fontId="2" numFmtId="0" xfId="0" applyAlignment="1" applyFill="1" applyFont="1">
      <alignment shrinkToFit="0" wrapText="1"/>
    </xf>
    <xf borderId="0" fillId="0" fontId="10" numFmtId="0" xfId="0" applyAlignment="1" applyFont="1">
      <alignment readingOrder="0" shrinkToFit="0" wrapText="1"/>
    </xf>
    <xf borderId="0" fillId="0" fontId="11" numFmtId="0" xfId="0" applyAlignment="1" applyFont="1">
      <alignment readingOrder="0" shrinkToFit="0" wrapText="1"/>
    </xf>
    <xf borderId="0" fillId="0" fontId="2" numFmtId="2" xfId="0" applyFont="1" applyNumberFormat="1"/>
    <xf borderId="0" fillId="0" fontId="9" numFmtId="0" xfId="0" applyAlignment="1" applyFont="1">
      <alignment vertical="bottom"/>
    </xf>
    <xf borderId="0" fillId="0" fontId="9" numFmtId="0" xfId="0" applyAlignment="1" applyFont="1">
      <alignment readingOrder="0" vertical="bottom"/>
    </xf>
    <xf borderId="0" fillId="0" fontId="6" numFmtId="0" xfId="0" applyAlignment="1" applyFont="1">
      <alignment horizontal="center" vertical="bottom"/>
    </xf>
    <xf borderId="1" fillId="0" fontId="2" numFmtId="0" xfId="0" applyAlignment="1" applyBorder="1" applyFont="1">
      <alignment horizontal="center"/>
    </xf>
    <xf borderId="0" fillId="6" fontId="11" numFmtId="0" xfId="0" applyAlignment="1" applyFont="1">
      <alignment horizontal="left" readingOrder="0"/>
    </xf>
    <xf borderId="0" fillId="6" fontId="13" numFmtId="0" xfId="0" applyFont="1"/>
    <xf borderId="2" fillId="0" fontId="9" numFmtId="0" xfId="0" applyAlignment="1" applyBorder="1" applyFont="1">
      <alignment shrinkToFit="0" vertical="bottom" wrapText="1"/>
    </xf>
    <xf borderId="3" fillId="0" fontId="11" numFmtId="0" xfId="0" applyAlignment="1" applyBorder="1" applyFont="1">
      <alignment shrinkToFit="0" vertical="bottom" wrapText="1"/>
    </xf>
    <xf borderId="0" fillId="7" fontId="2" numFmtId="0" xfId="0" applyFont="1"/>
    <xf borderId="0" fillId="0" fontId="11" numFmtId="0" xfId="0" applyAlignment="1" applyFont="1">
      <alignment horizontal="left" readingOrder="0"/>
    </xf>
    <xf borderId="0" fillId="0" fontId="11" numFmtId="0" xfId="0" applyAlignment="1" applyFont="1">
      <alignment shrinkToFit="0" vertical="bottom" wrapText="1"/>
    </xf>
    <xf borderId="0" fillId="0" fontId="9" numFmtId="0" xfId="0" applyAlignment="1" applyFont="1">
      <alignment shrinkToFit="0" vertical="bottom" wrapText="1"/>
    </xf>
    <xf borderId="0" fillId="0" fontId="9" numFmtId="0" xfId="0" applyAlignment="1" applyFont="1">
      <alignment readingOrder="0" shrinkToFit="0" vertical="bottom" wrapText="1"/>
    </xf>
    <xf borderId="4" fillId="0" fontId="2" numFmtId="0" xfId="0" applyBorder="1" applyFont="1"/>
    <xf borderId="4" fillId="0" fontId="2" numFmtId="0" xfId="0" applyAlignment="1" applyBorder="1" applyFont="1">
      <alignment shrinkToFit="0" wrapText="1"/>
    </xf>
    <xf borderId="4" fillId="0" fontId="2" numFmtId="0" xfId="0" applyAlignment="1" applyBorder="1" applyFont="1">
      <alignment readingOrder="0" shrinkToFit="0" wrapText="1"/>
    </xf>
    <xf borderId="1" fillId="7" fontId="2" numFmtId="0" xfId="0" applyAlignment="1" applyBorder="1" applyFont="1">
      <alignment shrinkToFit="0" wrapText="1"/>
    </xf>
    <xf borderId="0" fillId="0" fontId="14" numFmtId="0" xfId="0" applyAlignment="1" applyFont="1">
      <alignment readingOrder="0"/>
    </xf>
    <xf borderId="5" fillId="0" fontId="9" numFmtId="0" xfId="0" applyAlignment="1" applyBorder="1" applyFont="1">
      <alignment shrinkToFit="0" vertical="bottom" wrapText="1"/>
    </xf>
    <xf borderId="0" fillId="0" fontId="9" numFmtId="0" xfId="0" applyAlignment="1" applyFont="1">
      <alignment vertical="bottom"/>
    </xf>
    <xf borderId="6" fillId="0" fontId="2" numFmtId="0" xfId="0" applyAlignment="1" applyBorder="1" applyFont="1">
      <alignment shrinkToFit="0" wrapText="1"/>
    </xf>
    <xf borderId="5" fillId="0" fontId="2" numFmtId="0" xfId="0" applyAlignment="1" applyBorder="1" applyFont="1">
      <alignment readingOrder="0" shrinkToFit="0" wrapText="1"/>
    </xf>
    <xf borderId="5" fillId="0" fontId="9" numFmtId="0" xfId="0" applyAlignment="1" applyBorder="1" applyFont="1">
      <alignment readingOrder="0" shrinkToFit="0" vertical="bottom" wrapText="1"/>
    </xf>
    <xf borderId="7" fillId="0" fontId="11" numFmtId="0" xfId="0" applyAlignment="1" applyBorder="1" applyFont="1">
      <alignment horizontal="left" readingOrder="0" shrinkToFit="0" wrapText="1"/>
    </xf>
    <xf borderId="0" fillId="6" fontId="1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hyperlink" Target="http://quora.com" TargetMode="External"/><Relationship Id="rId22" Type="http://schemas.openxmlformats.org/officeDocument/2006/relationships/hyperlink" Target="http://ifttt.com" TargetMode="External"/><Relationship Id="rId21" Type="http://schemas.openxmlformats.org/officeDocument/2006/relationships/hyperlink" Target="http://chess.com" TargetMode="External"/><Relationship Id="rId24" Type="http://schemas.openxmlformats.org/officeDocument/2006/relationships/hyperlink" Target="http://pbs.org" TargetMode="External"/><Relationship Id="rId23" Type="http://schemas.openxmlformats.org/officeDocument/2006/relationships/hyperlink" Target="http://wish.com" TargetMode="External"/><Relationship Id="rId1" Type="http://schemas.openxmlformats.org/officeDocument/2006/relationships/hyperlink" Target="http://shein.com" TargetMode="External"/><Relationship Id="rId2" Type="http://schemas.openxmlformats.org/officeDocument/2006/relationships/hyperlink" Target="http://realtor.com" TargetMode="External"/><Relationship Id="rId3" Type="http://schemas.openxmlformats.org/officeDocument/2006/relationships/hyperlink" Target="http://pomofocus.io" TargetMode="External"/><Relationship Id="rId4" Type="http://schemas.openxmlformats.org/officeDocument/2006/relationships/hyperlink" Target="http://beyondmenu.com" TargetMode="External"/><Relationship Id="rId9" Type="http://schemas.openxmlformats.org/officeDocument/2006/relationships/hyperlink" Target="http://hideout.tv" TargetMode="External"/><Relationship Id="rId26" Type="http://schemas.openxmlformats.org/officeDocument/2006/relationships/drawing" Target="../drawings/drawing1.xml"/><Relationship Id="rId25" Type="http://schemas.openxmlformats.org/officeDocument/2006/relationships/hyperlink" Target="http://wax.io" TargetMode="External"/><Relationship Id="rId5" Type="http://schemas.openxmlformats.org/officeDocument/2006/relationships/hyperlink" Target="http://dosomething.org" TargetMode="External"/><Relationship Id="rId6" Type="http://schemas.openxmlformats.org/officeDocument/2006/relationships/hyperlink" Target="http://tapas.io" TargetMode="External"/><Relationship Id="rId7" Type="http://schemas.openxmlformats.org/officeDocument/2006/relationships/hyperlink" Target="http://joinhoney.com" TargetMode="External"/><Relationship Id="rId8" Type="http://schemas.openxmlformats.org/officeDocument/2006/relationships/hyperlink" Target="http://indeed.com" TargetMode="External"/><Relationship Id="rId11" Type="http://schemas.openxmlformats.org/officeDocument/2006/relationships/hyperlink" Target="http://indeed.com" TargetMode="External"/><Relationship Id="rId10" Type="http://schemas.openxmlformats.org/officeDocument/2006/relationships/hyperlink" Target="http://youtube.com" TargetMode="External"/><Relationship Id="rId13" Type="http://schemas.openxmlformats.org/officeDocument/2006/relationships/hyperlink" Target="http://coinrule.io" TargetMode="External"/><Relationship Id="rId12" Type="http://schemas.openxmlformats.org/officeDocument/2006/relationships/hyperlink" Target="http://avclub.com" TargetMode="External"/><Relationship Id="rId15" Type="http://schemas.openxmlformats.org/officeDocument/2006/relationships/hyperlink" Target="http://realtor.com" TargetMode="External"/><Relationship Id="rId14" Type="http://schemas.openxmlformats.org/officeDocument/2006/relationships/hyperlink" Target="http://canva.com" TargetMode="External"/><Relationship Id="rId17" Type="http://schemas.openxmlformats.org/officeDocument/2006/relationships/hyperlink" Target="http://battle.net" TargetMode="External"/><Relationship Id="rId16" Type="http://schemas.openxmlformats.org/officeDocument/2006/relationships/hyperlink" Target="http://quora.com" TargetMode="External"/><Relationship Id="rId19" Type="http://schemas.openxmlformats.org/officeDocument/2006/relationships/hyperlink" Target="http://hideout.co" TargetMode="External"/><Relationship Id="rId18" Type="http://schemas.openxmlformats.org/officeDocument/2006/relationships/hyperlink" Target="http://batytle.n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hein.com" TargetMode="External"/><Relationship Id="rId2" Type="http://schemas.openxmlformats.org/officeDocument/2006/relationships/hyperlink" Target="http://realtor.com" TargetMode="External"/><Relationship Id="rId3" Type="http://schemas.openxmlformats.org/officeDocument/2006/relationships/hyperlink" Target="http://tapas.io" TargetMode="External"/><Relationship Id="rId4" Type="http://schemas.openxmlformats.org/officeDocument/2006/relationships/hyperlink" Target="http://indeed.com" TargetMode="External"/><Relationship Id="rId9" Type="http://schemas.openxmlformats.org/officeDocument/2006/relationships/hyperlink" Target="http://canva.com" TargetMode="External"/><Relationship Id="rId5" Type="http://schemas.openxmlformats.org/officeDocument/2006/relationships/hyperlink" Target="http://youtube.com" TargetMode="External"/><Relationship Id="rId6" Type="http://schemas.openxmlformats.org/officeDocument/2006/relationships/hyperlink" Target="http://indeed.com" TargetMode="External"/><Relationship Id="rId7" Type="http://schemas.openxmlformats.org/officeDocument/2006/relationships/hyperlink" Target="http://avclub.com" TargetMode="External"/><Relationship Id="rId8" Type="http://schemas.openxmlformats.org/officeDocument/2006/relationships/hyperlink" Target="http://coinrule.io" TargetMode="External"/><Relationship Id="rId11" Type="http://schemas.openxmlformats.org/officeDocument/2006/relationships/hyperlink" Target="http://quora.com" TargetMode="External"/><Relationship Id="rId10" Type="http://schemas.openxmlformats.org/officeDocument/2006/relationships/hyperlink" Target="http://realtor.com" TargetMode="External"/><Relationship Id="rId13" Type="http://schemas.openxmlformats.org/officeDocument/2006/relationships/hyperlink" Target="http://hideout.co" TargetMode="External"/><Relationship Id="rId12" Type="http://schemas.openxmlformats.org/officeDocument/2006/relationships/hyperlink" Target="http://battle.net" TargetMode="External"/><Relationship Id="rId15" Type="http://schemas.openxmlformats.org/officeDocument/2006/relationships/drawing" Target="../drawings/drawing2.xml"/><Relationship Id="rId14" Type="http://schemas.openxmlformats.org/officeDocument/2006/relationships/hyperlink" Target="http://quora.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hein.com" TargetMode="External"/><Relationship Id="rId2" Type="http://schemas.openxmlformats.org/officeDocument/2006/relationships/hyperlink" Target="http://realtor.com" TargetMode="External"/><Relationship Id="rId3" Type="http://schemas.openxmlformats.org/officeDocument/2006/relationships/hyperlink" Target="http://tapas.io" TargetMode="External"/><Relationship Id="rId4" Type="http://schemas.openxmlformats.org/officeDocument/2006/relationships/hyperlink" Target="http://indeed.com" TargetMode="External"/><Relationship Id="rId9" Type="http://schemas.openxmlformats.org/officeDocument/2006/relationships/hyperlink" Target="http://canva.com" TargetMode="External"/><Relationship Id="rId5" Type="http://schemas.openxmlformats.org/officeDocument/2006/relationships/hyperlink" Target="http://youtube.com" TargetMode="External"/><Relationship Id="rId6" Type="http://schemas.openxmlformats.org/officeDocument/2006/relationships/hyperlink" Target="http://indeed.com" TargetMode="External"/><Relationship Id="rId7" Type="http://schemas.openxmlformats.org/officeDocument/2006/relationships/hyperlink" Target="http://avclub.com" TargetMode="External"/><Relationship Id="rId8" Type="http://schemas.openxmlformats.org/officeDocument/2006/relationships/hyperlink" Target="http://coinrule.io" TargetMode="External"/><Relationship Id="rId11" Type="http://schemas.openxmlformats.org/officeDocument/2006/relationships/hyperlink" Target="http://quora.com" TargetMode="External"/><Relationship Id="rId10" Type="http://schemas.openxmlformats.org/officeDocument/2006/relationships/hyperlink" Target="http://realtor.com" TargetMode="External"/><Relationship Id="rId13" Type="http://schemas.openxmlformats.org/officeDocument/2006/relationships/hyperlink" Target="http://hideout.co" TargetMode="External"/><Relationship Id="rId12" Type="http://schemas.openxmlformats.org/officeDocument/2006/relationships/hyperlink" Target="http://battle.net" TargetMode="External"/><Relationship Id="rId15" Type="http://schemas.openxmlformats.org/officeDocument/2006/relationships/drawing" Target="../drawings/drawing4.xml"/><Relationship Id="rId14" Type="http://schemas.openxmlformats.org/officeDocument/2006/relationships/hyperlink" Target="http://quora.com"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37.57"/>
    <col customWidth="1" min="2" max="2" width="54.43"/>
    <col customWidth="1" min="3" max="20" width="35.86"/>
  </cols>
  <sheetData>
    <row r="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c r="Q1" s="3"/>
      <c r="R1" s="3"/>
      <c r="S1" s="3"/>
      <c r="T1" s="3"/>
    </row>
    <row r="2">
      <c r="A2" s="4" t="s">
        <v>15</v>
      </c>
      <c r="B2" s="5" t="s">
        <v>16</v>
      </c>
      <c r="C2" s="5" t="s">
        <v>17</v>
      </c>
      <c r="D2" s="5" t="s">
        <v>18</v>
      </c>
      <c r="E2" s="5" t="s">
        <v>19</v>
      </c>
      <c r="F2" s="5" t="s">
        <v>20</v>
      </c>
      <c r="G2" s="5" t="s">
        <v>21</v>
      </c>
      <c r="H2" s="5" t="s">
        <v>22</v>
      </c>
      <c r="I2" s="5" t="s">
        <v>23</v>
      </c>
      <c r="J2" s="5" t="s">
        <v>24</v>
      </c>
      <c r="K2" s="5" t="s">
        <v>25</v>
      </c>
      <c r="L2" s="5" t="s">
        <v>26</v>
      </c>
      <c r="M2" s="5" t="s">
        <v>27</v>
      </c>
      <c r="N2" s="5" t="s">
        <v>28</v>
      </c>
      <c r="O2" s="5" t="s">
        <v>29</v>
      </c>
      <c r="P2" s="6"/>
      <c r="Q2" s="6"/>
      <c r="R2" s="6"/>
      <c r="S2" s="6"/>
      <c r="T2" s="6"/>
      <c r="U2" s="7"/>
      <c r="V2" s="7"/>
      <c r="W2" s="7"/>
      <c r="X2" s="7"/>
      <c r="Y2" s="7"/>
      <c r="Z2" s="8"/>
    </row>
    <row r="3">
      <c r="A3" s="9">
        <v>1.0</v>
      </c>
      <c r="B3" s="10"/>
      <c r="C3" s="10"/>
      <c r="D3" s="11" t="s">
        <v>30</v>
      </c>
      <c r="E3" s="10"/>
      <c r="F3" s="10"/>
      <c r="G3" s="11" t="s">
        <v>30</v>
      </c>
      <c r="H3" s="10"/>
      <c r="I3" s="10"/>
      <c r="J3" s="10"/>
      <c r="K3" s="10"/>
      <c r="L3" s="10"/>
      <c r="M3" s="10"/>
      <c r="N3" s="10"/>
      <c r="O3" s="10"/>
      <c r="P3" s="12"/>
      <c r="Q3" s="12"/>
      <c r="R3" s="3"/>
      <c r="S3" s="3"/>
      <c r="T3" s="3"/>
    </row>
    <row r="4">
      <c r="A4" s="9">
        <v>2.0</v>
      </c>
      <c r="B4" s="11" t="s">
        <v>31</v>
      </c>
      <c r="C4" s="11" t="s">
        <v>32</v>
      </c>
      <c r="D4" s="10"/>
      <c r="E4" s="10"/>
      <c r="F4" s="10"/>
      <c r="G4" s="11" t="s">
        <v>33</v>
      </c>
      <c r="H4" s="10"/>
      <c r="I4" s="10"/>
      <c r="J4" s="10"/>
      <c r="K4" s="10"/>
      <c r="L4" s="10"/>
      <c r="M4" s="10"/>
      <c r="N4" s="10"/>
      <c r="O4" s="10"/>
      <c r="P4" s="3"/>
      <c r="Q4" s="12"/>
      <c r="R4" s="12"/>
      <c r="S4" s="3"/>
      <c r="T4" s="3"/>
    </row>
    <row r="5">
      <c r="A5" s="9">
        <v>3.0</v>
      </c>
      <c r="B5" s="10"/>
      <c r="C5" s="10"/>
      <c r="D5" s="11" t="s">
        <v>30</v>
      </c>
      <c r="E5" s="10"/>
      <c r="F5" s="10"/>
      <c r="G5" s="11" t="s">
        <v>30</v>
      </c>
      <c r="H5" s="10"/>
      <c r="I5" s="10"/>
      <c r="J5" s="10"/>
      <c r="K5" s="10"/>
      <c r="L5" s="10"/>
      <c r="M5" s="10"/>
      <c r="N5" s="10"/>
      <c r="O5" s="10"/>
      <c r="P5" s="12"/>
      <c r="Q5" s="3"/>
      <c r="R5" s="12"/>
      <c r="S5" s="3"/>
      <c r="T5" s="3"/>
    </row>
    <row r="6">
      <c r="A6" s="9">
        <v>4.0</v>
      </c>
      <c r="B6" s="11" t="s">
        <v>34</v>
      </c>
      <c r="C6" s="11" t="s">
        <v>35</v>
      </c>
      <c r="D6" s="10"/>
      <c r="E6" s="11" t="s">
        <v>36</v>
      </c>
      <c r="F6" s="11" t="s">
        <v>37</v>
      </c>
      <c r="G6" s="10"/>
      <c r="H6" s="10"/>
      <c r="I6" s="10"/>
      <c r="J6" s="10"/>
      <c r="K6" s="10"/>
      <c r="L6" s="10"/>
      <c r="M6" s="10"/>
      <c r="N6" s="10"/>
      <c r="O6" s="10"/>
      <c r="P6" s="12"/>
      <c r="Q6" s="12"/>
      <c r="R6" s="3"/>
      <c r="S6" s="3"/>
      <c r="T6" s="3"/>
    </row>
    <row r="7">
      <c r="A7" s="9">
        <v>5.0</v>
      </c>
      <c r="B7" s="10"/>
      <c r="C7" s="10"/>
      <c r="D7" s="11" t="s">
        <v>38</v>
      </c>
      <c r="E7" s="11" t="s">
        <v>39</v>
      </c>
      <c r="F7" s="11" t="s">
        <v>40</v>
      </c>
      <c r="G7" s="10"/>
      <c r="H7" s="10"/>
      <c r="I7" s="10"/>
      <c r="J7" s="10"/>
      <c r="K7" s="10"/>
      <c r="L7" s="10"/>
      <c r="M7" s="10"/>
      <c r="N7" s="10"/>
      <c r="O7" s="10"/>
      <c r="P7" s="3"/>
      <c r="Q7" s="12"/>
      <c r="R7" s="12"/>
      <c r="S7" s="3"/>
      <c r="T7" s="3"/>
    </row>
    <row r="8">
      <c r="A8" s="9">
        <v>10.0</v>
      </c>
      <c r="B8" s="13" t="s">
        <v>41</v>
      </c>
      <c r="C8" s="11" t="s">
        <v>42</v>
      </c>
      <c r="D8" s="10"/>
      <c r="E8" s="11" t="s">
        <v>43</v>
      </c>
      <c r="F8" s="11" t="s">
        <v>44</v>
      </c>
      <c r="G8" s="10"/>
      <c r="H8" s="10"/>
      <c r="I8" s="10"/>
      <c r="J8" s="10"/>
      <c r="K8" s="10"/>
      <c r="L8" s="10"/>
      <c r="M8" s="10"/>
      <c r="N8" s="10"/>
      <c r="O8" s="10"/>
      <c r="P8" s="12"/>
      <c r="Q8" s="3"/>
      <c r="R8" s="12"/>
      <c r="S8" s="3"/>
      <c r="T8" s="3"/>
    </row>
    <row r="9">
      <c r="A9" s="9">
        <v>12.0</v>
      </c>
      <c r="B9" s="10"/>
      <c r="C9" s="10"/>
      <c r="D9" s="11" t="s">
        <v>45</v>
      </c>
      <c r="E9" s="10"/>
      <c r="F9" s="10"/>
      <c r="G9" s="14" t="s">
        <v>46</v>
      </c>
      <c r="H9" s="10"/>
      <c r="I9" s="10"/>
      <c r="J9" s="10"/>
      <c r="K9" s="10"/>
      <c r="L9" s="10"/>
      <c r="M9" s="10"/>
      <c r="N9" s="10"/>
      <c r="O9" s="10"/>
      <c r="P9" s="3"/>
      <c r="Q9" s="12"/>
      <c r="R9" s="12"/>
      <c r="S9" s="3"/>
      <c r="T9" s="3"/>
    </row>
    <row r="10">
      <c r="A10" s="9">
        <v>13.0</v>
      </c>
      <c r="B10" s="11" t="s">
        <v>47</v>
      </c>
      <c r="C10" s="11" t="s">
        <v>48</v>
      </c>
      <c r="D10" s="10"/>
      <c r="E10" s="10"/>
      <c r="F10" s="10"/>
      <c r="G10" s="11" t="s">
        <v>49</v>
      </c>
      <c r="H10" s="10"/>
      <c r="I10" s="10"/>
      <c r="J10" s="10"/>
      <c r="K10" s="10"/>
      <c r="L10" s="10"/>
      <c r="M10" s="10"/>
      <c r="N10" s="10"/>
      <c r="O10" s="10"/>
      <c r="P10" s="12"/>
      <c r="Q10" s="3"/>
      <c r="R10" s="12"/>
      <c r="S10" s="3"/>
      <c r="T10" s="3"/>
    </row>
    <row r="11">
      <c r="A11" s="9">
        <v>14.0</v>
      </c>
      <c r="B11" s="11" t="s">
        <v>50</v>
      </c>
      <c r="C11" s="11" t="s">
        <v>51</v>
      </c>
      <c r="D11" s="10"/>
      <c r="E11" s="11" t="s">
        <v>52</v>
      </c>
      <c r="F11" s="11" t="s">
        <v>53</v>
      </c>
      <c r="G11" s="10"/>
      <c r="H11" s="10"/>
      <c r="I11" s="10"/>
      <c r="J11" s="10"/>
      <c r="K11" s="10"/>
      <c r="L11" s="10"/>
      <c r="M11" s="10"/>
      <c r="N11" s="10"/>
      <c r="O11" s="10"/>
      <c r="P11" s="12"/>
      <c r="Q11" s="3"/>
      <c r="R11" s="12"/>
      <c r="S11" s="3"/>
      <c r="T11" s="3"/>
    </row>
    <row r="12">
      <c r="A12" s="9">
        <v>16.0</v>
      </c>
      <c r="B12" s="11" t="s">
        <v>54</v>
      </c>
      <c r="C12" s="11" t="s">
        <v>55</v>
      </c>
      <c r="D12" s="10"/>
      <c r="E12" s="11" t="s">
        <v>56</v>
      </c>
      <c r="F12" s="11" t="s">
        <v>55</v>
      </c>
      <c r="G12" s="10"/>
      <c r="H12" s="10"/>
      <c r="I12" s="10"/>
      <c r="J12" s="10"/>
      <c r="K12" s="10"/>
      <c r="L12" s="10"/>
      <c r="M12" s="10"/>
      <c r="N12" s="10"/>
      <c r="O12" s="10"/>
      <c r="P12" s="12"/>
      <c r="Q12" s="3"/>
      <c r="R12" s="12"/>
      <c r="S12" s="3"/>
      <c r="T12" s="3"/>
    </row>
    <row r="13">
      <c r="A13" s="9">
        <v>19.0</v>
      </c>
      <c r="B13" s="11" t="s">
        <v>57</v>
      </c>
      <c r="C13" s="11" t="s">
        <v>58</v>
      </c>
      <c r="D13" s="10"/>
      <c r="E13" s="10"/>
      <c r="F13" s="10"/>
      <c r="G13" s="11" t="s">
        <v>59</v>
      </c>
      <c r="H13" s="10"/>
      <c r="I13" s="10"/>
      <c r="J13" s="10"/>
      <c r="K13" s="10"/>
      <c r="L13" s="10"/>
      <c r="M13" s="10"/>
      <c r="N13" s="10"/>
      <c r="O13" s="10"/>
      <c r="P13" s="12"/>
      <c r="Q13" s="3"/>
      <c r="R13" s="12"/>
      <c r="S13" s="3"/>
      <c r="T13" s="3"/>
    </row>
    <row r="14">
      <c r="A14" s="9">
        <v>21.0</v>
      </c>
      <c r="B14" s="11" t="s">
        <v>60</v>
      </c>
      <c r="C14" s="11" t="s">
        <v>61</v>
      </c>
      <c r="D14" s="10"/>
      <c r="E14" s="11" t="s">
        <v>62</v>
      </c>
      <c r="F14" s="11" t="s">
        <v>63</v>
      </c>
      <c r="G14" s="10"/>
      <c r="H14" s="10"/>
      <c r="I14" s="10"/>
      <c r="J14" s="10"/>
      <c r="K14" s="10"/>
      <c r="L14" s="10"/>
      <c r="M14" s="10"/>
      <c r="N14" s="10"/>
      <c r="O14" s="10"/>
      <c r="P14" s="12"/>
      <c r="Q14" s="12"/>
      <c r="R14" s="3"/>
      <c r="S14" s="3"/>
      <c r="T14" s="3"/>
    </row>
    <row r="15">
      <c r="A15" s="9">
        <v>22.0</v>
      </c>
      <c r="B15" s="11" t="s">
        <v>64</v>
      </c>
      <c r="C15" s="11" t="s">
        <v>65</v>
      </c>
      <c r="D15" s="10"/>
      <c r="E15" s="11" t="s">
        <v>66</v>
      </c>
      <c r="F15" s="11" t="s">
        <v>65</v>
      </c>
      <c r="G15" s="10"/>
      <c r="H15" s="10"/>
      <c r="I15" s="10"/>
      <c r="J15" s="10"/>
      <c r="K15" s="10"/>
      <c r="L15" s="10"/>
      <c r="M15" s="10"/>
      <c r="N15" s="10"/>
      <c r="O15" s="10"/>
      <c r="P15" s="12"/>
      <c r="Q15" s="12"/>
      <c r="R15" s="3"/>
      <c r="S15" s="3"/>
      <c r="T15" s="3"/>
    </row>
    <row r="16">
      <c r="A16" s="9">
        <v>24.0</v>
      </c>
      <c r="B16" s="13" t="s">
        <v>67</v>
      </c>
      <c r="C16" s="11" t="s">
        <v>68</v>
      </c>
      <c r="D16" s="10"/>
      <c r="E16" s="11" t="s">
        <v>69</v>
      </c>
      <c r="F16" s="11" t="s">
        <v>70</v>
      </c>
      <c r="G16" s="10"/>
      <c r="H16" s="10"/>
      <c r="I16" s="10"/>
      <c r="J16" s="10"/>
      <c r="K16" s="10"/>
      <c r="L16" s="10"/>
      <c r="M16" s="10"/>
      <c r="N16" s="10"/>
      <c r="O16" s="10"/>
      <c r="P16" s="3"/>
      <c r="Q16" s="12"/>
      <c r="R16" s="12"/>
      <c r="S16" s="3"/>
      <c r="T16" s="3"/>
    </row>
    <row r="17">
      <c r="A17" s="9">
        <v>25.0</v>
      </c>
      <c r="B17" s="11" t="s">
        <v>71</v>
      </c>
      <c r="C17" s="11" t="s">
        <v>72</v>
      </c>
      <c r="D17" s="10"/>
      <c r="E17" s="11" t="s">
        <v>73</v>
      </c>
      <c r="F17" s="11" t="s">
        <v>74</v>
      </c>
      <c r="G17" s="10"/>
      <c r="H17" s="10"/>
      <c r="I17" s="10"/>
      <c r="J17" s="10"/>
      <c r="K17" s="10"/>
      <c r="L17" s="10"/>
      <c r="M17" s="10"/>
      <c r="N17" s="10"/>
      <c r="O17" s="10"/>
      <c r="P17" s="3"/>
      <c r="Q17" s="12"/>
      <c r="R17" s="12"/>
      <c r="S17" s="3"/>
      <c r="T17" s="3"/>
    </row>
    <row r="18">
      <c r="A18" s="9">
        <v>26.0</v>
      </c>
      <c r="B18" s="11" t="s">
        <v>75</v>
      </c>
      <c r="C18" s="11" t="s">
        <v>76</v>
      </c>
      <c r="D18" s="10"/>
      <c r="E18" s="10"/>
      <c r="F18" s="10"/>
      <c r="G18" s="11" t="s">
        <v>77</v>
      </c>
      <c r="H18" s="10"/>
      <c r="I18" s="10"/>
      <c r="J18" s="10"/>
      <c r="K18" s="10"/>
      <c r="L18" s="10"/>
      <c r="M18" s="10"/>
      <c r="N18" s="10"/>
      <c r="O18" s="10"/>
      <c r="P18" s="12"/>
      <c r="Q18" s="12"/>
      <c r="R18" s="3"/>
      <c r="S18" s="3"/>
      <c r="T18" s="3"/>
    </row>
    <row r="19">
      <c r="A19" s="9">
        <v>28.0</v>
      </c>
      <c r="B19" s="10"/>
      <c r="C19" s="10"/>
      <c r="D19" s="11" t="s">
        <v>78</v>
      </c>
      <c r="E19" s="11" t="s">
        <v>79</v>
      </c>
      <c r="F19" s="11" t="s">
        <v>80</v>
      </c>
      <c r="G19" s="10"/>
      <c r="H19" s="10"/>
      <c r="I19" s="10"/>
      <c r="J19" s="10"/>
      <c r="K19" s="10"/>
      <c r="L19" s="10"/>
      <c r="M19" s="10"/>
      <c r="N19" s="10"/>
      <c r="O19" s="10"/>
      <c r="P19" s="3"/>
      <c r="Q19" s="12"/>
      <c r="R19" s="12"/>
      <c r="S19" s="3"/>
      <c r="T19" s="3"/>
    </row>
    <row r="20">
      <c r="A20" s="9">
        <v>29.0</v>
      </c>
      <c r="B20" s="11" t="s">
        <v>81</v>
      </c>
      <c r="C20" s="11" t="s">
        <v>82</v>
      </c>
      <c r="D20" s="10"/>
      <c r="E20" s="11" t="s">
        <v>83</v>
      </c>
      <c r="F20" s="11" t="s">
        <v>84</v>
      </c>
      <c r="G20" s="10"/>
      <c r="H20" s="10"/>
      <c r="I20" s="10"/>
      <c r="J20" s="10"/>
      <c r="K20" s="10"/>
      <c r="L20" s="10"/>
      <c r="M20" s="10"/>
      <c r="N20" s="10"/>
      <c r="O20" s="10"/>
      <c r="P20" s="12"/>
      <c r="Q20" s="12"/>
      <c r="R20" s="3"/>
      <c r="S20" s="3"/>
      <c r="T20" s="3"/>
    </row>
    <row r="21">
      <c r="A21" s="9">
        <v>30.0</v>
      </c>
      <c r="B21" s="11" t="s">
        <v>85</v>
      </c>
      <c r="C21" s="11" t="s">
        <v>86</v>
      </c>
      <c r="D21" s="10"/>
      <c r="E21" s="11" t="s">
        <v>87</v>
      </c>
      <c r="F21" s="11" t="s">
        <v>88</v>
      </c>
      <c r="G21" s="10"/>
      <c r="H21" s="10"/>
      <c r="I21" s="10"/>
      <c r="J21" s="10"/>
      <c r="K21" s="10"/>
      <c r="L21" s="10"/>
      <c r="M21" s="10"/>
      <c r="N21" s="10"/>
      <c r="O21" s="10"/>
      <c r="P21" s="3"/>
      <c r="Q21" s="12"/>
      <c r="R21" s="12"/>
      <c r="S21" s="3"/>
      <c r="T21" s="3"/>
    </row>
    <row r="22">
      <c r="A22" s="9">
        <v>31.0</v>
      </c>
      <c r="B22" s="11" t="s">
        <v>89</v>
      </c>
      <c r="C22" s="11" t="s">
        <v>90</v>
      </c>
      <c r="D22" s="10"/>
      <c r="E22" s="10"/>
      <c r="F22" s="10"/>
      <c r="G22" s="11" t="s">
        <v>91</v>
      </c>
      <c r="H22" s="10"/>
      <c r="I22" s="10"/>
      <c r="J22" s="10"/>
      <c r="K22" s="10"/>
      <c r="L22" s="10"/>
      <c r="M22" s="10"/>
      <c r="N22" s="10"/>
      <c r="O22" s="10"/>
      <c r="P22" s="12"/>
      <c r="Q22" s="12"/>
      <c r="R22" s="3"/>
      <c r="S22" s="3"/>
      <c r="T22" s="3"/>
    </row>
    <row r="23">
      <c r="A23" s="9">
        <v>32.0</v>
      </c>
      <c r="B23" s="11" t="s">
        <v>92</v>
      </c>
      <c r="C23" s="11" t="s">
        <v>93</v>
      </c>
      <c r="D23" s="10"/>
      <c r="E23" s="10"/>
      <c r="F23" s="10"/>
      <c r="G23" s="11" t="s">
        <v>94</v>
      </c>
      <c r="H23" s="10"/>
      <c r="I23" s="10"/>
      <c r="J23" s="10"/>
      <c r="K23" s="10"/>
      <c r="L23" s="10"/>
      <c r="M23" s="10"/>
      <c r="N23" s="10"/>
      <c r="O23" s="10"/>
      <c r="P23" s="12"/>
      <c r="Q23" s="12"/>
      <c r="R23" s="3"/>
      <c r="S23" s="3"/>
      <c r="T23" s="3"/>
    </row>
    <row r="24">
      <c r="A24" s="9">
        <v>35.0</v>
      </c>
      <c r="B24" s="11" t="s">
        <v>95</v>
      </c>
      <c r="C24" s="11" t="s">
        <v>96</v>
      </c>
      <c r="D24" s="10"/>
      <c r="E24" s="11" t="s">
        <v>97</v>
      </c>
      <c r="F24" s="11" t="s">
        <v>98</v>
      </c>
      <c r="G24" s="10"/>
      <c r="H24" s="10"/>
      <c r="I24" s="10"/>
      <c r="J24" s="10"/>
      <c r="K24" s="10"/>
      <c r="L24" s="10"/>
      <c r="M24" s="10"/>
      <c r="N24" s="10"/>
      <c r="O24" s="10"/>
      <c r="P24" s="12"/>
      <c r="Q24" s="3"/>
      <c r="R24" s="12"/>
      <c r="S24" s="3"/>
      <c r="T24" s="3"/>
    </row>
    <row r="25">
      <c r="A25" s="9">
        <v>36.0</v>
      </c>
      <c r="B25" s="13" t="s">
        <v>99</v>
      </c>
      <c r="C25" s="11" t="s">
        <v>100</v>
      </c>
      <c r="D25" s="10"/>
      <c r="E25" s="11" t="s">
        <v>101</v>
      </c>
      <c r="F25" s="11" t="s">
        <v>102</v>
      </c>
      <c r="G25" s="10"/>
      <c r="H25" s="10"/>
      <c r="I25" s="10"/>
      <c r="J25" s="10"/>
      <c r="K25" s="10"/>
      <c r="L25" s="10"/>
      <c r="M25" s="10"/>
      <c r="N25" s="10"/>
      <c r="O25" s="10"/>
      <c r="P25" s="12"/>
      <c r="Q25" s="3"/>
      <c r="R25" s="12"/>
      <c r="S25" s="3"/>
      <c r="T25" s="3"/>
    </row>
    <row r="26">
      <c r="A26" s="9">
        <v>39.0</v>
      </c>
      <c r="B26" s="11" t="s">
        <v>103</v>
      </c>
      <c r="C26" s="11" t="s">
        <v>104</v>
      </c>
      <c r="D26" s="10"/>
      <c r="E26" s="10"/>
      <c r="F26" s="10"/>
      <c r="G26" s="11" t="s">
        <v>105</v>
      </c>
      <c r="H26" s="10"/>
      <c r="I26" s="10"/>
      <c r="J26" s="10"/>
      <c r="K26" s="10"/>
      <c r="L26" s="10"/>
      <c r="M26" s="10"/>
      <c r="N26" s="10"/>
      <c r="O26" s="10"/>
      <c r="P26" s="12"/>
      <c r="Q26" s="12"/>
      <c r="R26" s="3"/>
      <c r="S26" s="3"/>
      <c r="T26" s="3"/>
    </row>
    <row r="27">
      <c r="A27" s="9">
        <v>40.0</v>
      </c>
      <c r="B27" s="11" t="s">
        <v>106</v>
      </c>
      <c r="C27" s="11" t="s">
        <v>107</v>
      </c>
      <c r="D27" s="10"/>
      <c r="E27" s="10"/>
      <c r="F27" s="10"/>
      <c r="G27" s="11" t="s">
        <v>108</v>
      </c>
      <c r="H27" s="10"/>
      <c r="I27" s="10"/>
      <c r="J27" s="10"/>
      <c r="K27" s="10"/>
      <c r="L27" s="10"/>
      <c r="M27" s="10"/>
      <c r="N27" s="10"/>
      <c r="O27" s="10"/>
      <c r="P27" s="12"/>
      <c r="Q27" s="12"/>
      <c r="R27" s="3"/>
      <c r="S27" s="3"/>
      <c r="T27" s="3"/>
    </row>
    <row r="28">
      <c r="A28" s="9">
        <v>42.0</v>
      </c>
      <c r="B28" s="11" t="s">
        <v>109</v>
      </c>
      <c r="C28" s="11" t="s">
        <v>110</v>
      </c>
      <c r="D28" s="10"/>
      <c r="E28" s="11" t="s">
        <v>111</v>
      </c>
      <c r="F28" s="11" t="s">
        <v>112</v>
      </c>
      <c r="G28" s="10"/>
      <c r="H28" s="10"/>
      <c r="I28" s="10"/>
      <c r="J28" s="10"/>
      <c r="K28" s="10"/>
      <c r="L28" s="10"/>
      <c r="M28" s="10"/>
      <c r="N28" s="10"/>
      <c r="O28" s="10"/>
      <c r="P28" s="12"/>
      <c r="Q28" s="12"/>
      <c r="R28" s="3"/>
      <c r="S28" s="3"/>
      <c r="T28" s="3"/>
    </row>
    <row r="29">
      <c r="A29" s="9">
        <v>46.0</v>
      </c>
      <c r="B29" s="11" t="s">
        <v>113</v>
      </c>
      <c r="C29" s="11" t="s">
        <v>114</v>
      </c>
      <c r="D29" s="10"/>
      <c r="E29" s="11" t="s">
        <v>115</v>
      </c>
      <c r="F29" s="11" t="s">
        <v>116</v>
      </c>
      <c r="G29" s="10"/>
      <c r="H29" s="10"/>
      <c r="I29" s="10"/>
      <c r="J29" s="10"/>
      <c r="K29" s="10"/>
      <c r="L29" s="10"/>
      <c r="M29" s="10"/>
      <c r="N29" s="10"/>
      <c r="O29" s="10"/>
      <c r="P29" s="12"/>
      <c r="Q29" s="3"/>
      <c r="R29" s="12"/>
      <c r="S29" s="3"/>
      <c r="T29" s="3"/>
    </row>
    <row r="30">
      <c r="A30" s="9">
        <v>47.0</v>
      </c>
      <c r="B30" s="11" t="s">
        <v>117</v>
      </c>
      <c r="C30" s="11" t="s">
        <v>118</v>
      </c>
      <c r="D30" s="10"/>
      <c r="E30" s="10"/>
      <c r="F30" s="10"/>
      <c r="G30" s="11" t="s">
        <v>119</v>
      </c>
      <c r="H30" s="10"/>
      <c r="I30" s="10"/>
      <c r="J30" s="10"/>
      <c r="K30" s="10"/>
      <c r="L30" s="10"/>
      <c r="M30" s="10"/>
      <c r="N30" s="10"/>
      <c r="O30" s="10"/>
      <c r="P30" s="3"/>
      <c r="Q30" s="12"/>
      <c r="R30" s="12"/>
      <c r="S30" s="3"/>
      <c r="T30" s="3"/>
    </row>
    <row r="31">
      <c r="A31" s="9">
        <v>50.0</v>
      </c>
      <c r="B31" s="11" t="s">
        <v>120</v>
      </c>
      <c r="C31" s="11" t="s">
        <v>121</v>
      </c>
      <c r="D31" s="10"/>
      <c r="E31" s="11" t="s">
        <v>122</v>
      </c>
      <c r="F31" s="11" t="s">
        <v>123</v>
      </c>
      <c r="G31" s="10"/>
      <c r="H31" s="10"/>
      <c r="I31" s="10"/>
      <c r="J31" s="10"/>
      <c r="K31" s="10"/>
      <c r="L31" s="10"/>
      <c r="M31" s="10"/>
      <c r="N31" s="10"/>
      <c r="O31" s="10"/>
      <c r="P31" s="12"/>
      <c r="Q31" s="12"/>
      <c r="R31" s="3"/>
      <c r="S31" s="3"/>
      <c r="T31" s="3"/>
    </row>
    <row r="32">
      <c r="A32" s="9">
        <v>51.0</v>
      </c>
      <c r="B32" s="10"/>
      <c r="C32" s="10"/>
      <c r="D32" s="11" t="s">
        <v>124</v>
      </c>
      <c r="E32" s="10"/>
      <c r="F32" s="10"/>
      <c r="G32" s="11" t="s">
        <v>125</v>
      </c>
      <c r="H32" s="10"/>
      <c r="I32" s="10"/>
      <c r="J32" s="10"/>
      <c r="K32" s="10"/>
      <c r="L32" s="10"/>
      <c r="M32" s="10"/>
      <c r="N32" s="10"/>
      <c r="O32" s="10"/>
      <c r="P32" s="12"/>
      <c r="Q32" s="12"/>
      <c r="R32" s="3"/>
      <c r="S32" s="3"/>
      <c r="T32" s="3"/>
    </row>
    <row r="33">
      <c r="A33" s="9">
        <v>52.0</v>
      </c>
      <c r="B33" s="11" t="s">
        <v>126</v>
      </c>
      <c r="C33" s="11" t="s">
        <v>127</v>
      </c>
      <c r="D33" s="10"/>
      <c r="E33" s="10"/>
      <c r="F33" s="10"/>
      <c r="G33" s="11" t="s">
        <v>128</v>
      </c>
      <c r="H33" s="10"/>
      <c r="I33" s="10"/>
      <c r="J33" s="10"/>
      <c r="K33" s="10"/>
      <c r="L33" s="10"/>
      <c r="M33" s="10"/>
      <c r="N33" s="10"/>
      <c r="O33" s="10"/>
      <c r="P33" s="12"/>
      <c r="Q33" s="3"/>
      <c r="R33" s="12"/>
      <c r="S33" s="3"/>
      <c r="T33" s="3"/>
    </row>
    <row r="34">
      <c r="A34" s="9">
        <v>53.0</v>
      </c>
      <c r="B34" s="11" t="s">
        <v>129</v>
      </c>
      <c r="C34" s="11" t="s">
        <v>130</v>
      </c>
      <c r="D34" s="10"/>
      <c r="E34" s="11" t="s">
        <v>131</v>
      </c>
      <c r="F34" s="11" t="s">
        <v>132</v>
      </c>
      <c r="G34" s="10"/>
      <c r="H34" s="10"/>
      <c r="I34" s="10"/>
      <c r="J34" s="10"/>
      <c r="K34" s="10"/>
      <c r="L34" s="10"/>
      <c r="M34" s="10"/>
      <c r="N34" s="10"/>
      <c r="O34" s="10"/>
      <c r="P34" s="12"/>
      <c r="Q34" s="3"/>
      <c r="R34" s="12"/>
      <c r="S34" s="3"/>
      <c r="T34" s="3"/>
    </row>
    <row r="35">
      <c r="A35" s="9">
        <v>55.0</v>
      </c>
      <c r="B35" s="11" t="s">
        <v>133</v>
      </c>
      <c r="C35" s="11" t="s">
        <v>134</v>
      </c>
      <c r="D35" s="10"/>
      <c r="E35" s="10"/>
      <c r="F35" s="10"/>
      <c r="G35" s="11" t="s">
        <v>135</v>
      </c>
      <c r="H35" s="10"/>
      <c r="I35" s="10"/>
      <c r="J35" s="10"/>
      <c r="K35" s="10"/>
      <c r="L35" s="10"/>
      <c r="M35" s="10"/>
      <c r="N35" s="10"/>
      <c r="O35" s="10"/>
      <c r="P35" s="3"/>
      <c r="Q35" s="12"/>
      <c r="R35" s="12"/>
      <c r="S35" s="3"/>
      <c r="T35" s="3"/>
    </row>
    <row r="36">
      <c r="A36" s="9">
        <v>56.0</v>
      </c>
      <c r="B36" s="11" t="s">
        <v>136</v>
      </c>
      <c r="C36" s="11" t="s">
        <v>137</v>
      </c>
      <c r="D36" s="10"/>
      <c r="E36" s="11" t="s">
        <v>136</v>
      </c>
      <c r="F36" s="11" t="s">
        <v>137</v>
      </c>
      <c r="G36" s="10"/>
      <c r="H36" s="10"/>
      <c r="I36" s="10"/>
      <c r="J36" s="10"/>
      <c r="K36" s="10"/>
      <c r="L36" s="10"/>
      <c r="M36" s="10"/>
      <c r="N36" s="10"/>
      <c r="O36" s="10"/>
      <c r="P36" s="3"/>
      <c r="Q36" s="12"/>
      <c r="R36" s="12"/>
      <c r="S36" s="3"/>
      <c r="T36" s="3"/>
    </row>
    <row r="37">
      <c r="A37" s="9">
        <v>58.0</v>
      </c>
      <c r="B37" s="11" t="s">
        <v>138</v>
      </c>
      <c r="C37" s="11" t="s">
        <v>139</v>
      </c>
      <c r="D37" s="10"/>
      <c r="E37" s="11" t="s">
        <v>140</v>
      </c>
      <c r="F37" s="11" t="s">
        <v>141</v>
      </c>
      <c r="G37" s="10"/>
      <c r="H37" s="10"/>
      <c r="I37" s="10"/>
      <c r="J37" s="10"/>
      <c r="K37" s="10"/>
      <c r="L37" s="10"/>
      <c r="M37" s="10"/>
      <c r="N37" s="10"/>
      <c r="O37" s="10"/>
      <c r="P37" s="12"/>
      <c r="Q37" s="3"/>
      <c r="R37" s="12"/>
      <c r="S37" s="3"/>
      <c r="T37" s="3"/>
    </row>
    <row r="38">
      <c r="A38" s="9">
        <v>59.0</v>
      </c>
      <c r="B38" s="11" t="s">
        <v>142</v>
      </c>
      <c r="C38" s="11" t="s">
        <v>143</v>
      </c>
      <c r="D38" s="10"/>
      <c r="E38" s="11" t="s">
        <v>144</v>
      </c>
      <c r="F38" s="11" t="s">
        <v>145</v>
      </c>
      <c r="G38" s="10"/>
      <c r="H38" s="10"/>
      <c r="I38" s="10"/>
      <c r="J38" s="10"/>
      <c r="K38" s="10"/>
      <c r="L38" s="10"/>
      <c r="M38" s="10"/>
      <c r="N38" s="10"/>
      <c r="O38" s="10"/>
      <c r="P38" s="12"/>
      <c r="Q38" s="12"/>
      <c r="R38" s="3"/>
      <c r="S38" s="3"/>
      <c r="T38" s="3"/>
    </row>
    <row r="39">
      <c r="A39" s="9">
        <v>60.0</v>
      </c>
      <c r="B39" s="11" t="s">
        <v>146</v>
      </c>
      <c r="C39" s="11" t="s">
        <v>147</v>
      </c>
      <c r="D39" s="10"/>
      <c r="E39" s="11" t="s">
        <v>148</v>
      </c>
      <c r="F39" s="11" t="s">
        <v>149</v>
      </c>
      <c r="G39" s="10"/>
      <c r="H39" s="10"/>
      <c r="I39" s="10"/>
      <c r="J39" s="10"/>
      <c r="K39" s="10"/>
      <c r="L39" s="10"/>
      <c r="M39" s="10"/>
      <c r="N39" s="10"/>
      <c r="O39" s="10"/>
      <c r="P39" s="12"/>
      <c r="Q39" s="12"/>
      <c r="R39" s="3"/>
      <c r="S39" s="3"/>
      <c r="T39" s="3"/>
    </row>
    <row r="40">
      <c r="A40" s="9">
        <v>61.0</v>
      </c>
      <c r="B40" s="11" t="s">
        <v>150</v>
      </c>
      <c r="C40" s="11" t="s">
        <v>151</v>
      </c>
      <c r="D40" s="10"/>
      <c r="E40" s="10"/>
      <c r="F40" s="10"/>
      <c r="G40" s="11" t="s">
        <v>152</v>
      </c>
      <c r="H40" s="10"/>
      <c r="I40" s="10"/>
      <c r="J40" s="10"/>
      <c r="K40" s="10"/>
      <c r="L40" s="10"/>
      <c r="M40" s="10"/>
      <c r="N40" s="10"/>
      <c r="O40" s="10"/>
      <c r="P40" s="12"/>
      <c r="Q40" s="12"/>
      <c r="R40" s="3"/>
      <c r="S40" s="3"/>
      <c r="T40" s="3"/>
    </row>
    <row r="41">
      <c r="A41" s="9">
        <v>62.0</v>
      </c>
      <c r="B41" s="11" t="s">
        <v>153</v>
      </c>
      <c r="C41" s="11" t="s">
        <v>154</v>
      </c>
      <c r="D41" s="10"/>
      <c r="E41" s="10"/>
      <c r="F41" s="10"/>
      <c r="G41" s="11" t="s">
        <v>155</v>
      </c>
      <c r="H41" s="10"/>
      <c r="I41" s="10"/>
      <c r="J41" s="10"/>
      <c r="K41" s="10"/>
      <c r="L41" s="10"/>
      <c r="M41" s="10"/>
      <c r="N41" s="10"/>
      <c r="O41" s="10"/>
      <c r="P41" s="12"/>
      <c r="Q41" s="12"/>
      <c r="R41" s="3"/>
      <c r="S41" s="3"/>
      <c r="T41" s="3"/>
    </row>
    <row r="42">
      <c r="A42" s="9">
        <v>64.0</v>
      </c>
      <c r="B42" s="11" t="s">
        <v>156</v>
      </c>
      <c r="C42" s="11" t="s">
        <v>157</v>
      </c>
      <c r="D42" s="10"/>
      <c r="E42" s="10"/>
      <c r="F42" s="10"/>
      <c r="G42" s="11" t="s">
        <v>158</v>
      </c>
      <c r="H42" s="10"/>
      <c r="I42" s="10"/>
      <c r="J42" s="10"/>
      <c r="K42" s="10"/>
      <c r="L42" s="10"/>
      <c r="M42" s="10"/>
      <c r="N42" s="10"/>
      <c r="O42" s="10"/>
      <c r="P42" s="12"/>
      <c r="Q42" s="12"/>
      <c r="R42" s="3"/>
      <c r="S42" s="3"/>
      <c r="T42" s="3"/>
    </row>
    <row r="43">
      <c r="A43" s="9">
        <v>66.0</v>
      </c>
      <c r="B43" s="11" t="s">
        <v>159</v>
      </c>
      <c r="C43" s="11" t="s">
        <v>160</v>
      </c>
      <c r="D43" s="10"/>
      <c r="E43" s="10"/>
      <c r="F43" s="10"/>
      <c r="G43" s="11" t="s">
        <v>161</v>
      </c>
      <c r="H43" s="10"/>
      <c r="I43" s="10"/>
      <c r="J43" s="10"/>
      <c r="K43" s="10"/>
      <c r="L43" s="10"/>
      <c r="M43" s="10"/>
      <c r="N43" s="10"/>
      <c r="O43" s="10"/>
      <c r="P43" s="12"/>
      <c r="Q43" s="12"/>
      <c r="R43" s="3"/>
      <c r="S43" s="3"/>
      <c r="T43" s="3"/>
    </row>
    <row r="44">
      <c r="A44" s="9">
        <v>67.0</v>
      </c>
      <c r="B44" s="13" t="s">
        <v>162</v>
      </c>
      <c r="C44" s="11" t="s">
        <v>163</v>
      </c>
      <c r="D44" s="10"/>
      <c r="E44" s="10"/>
      <c r="F44" s="10"/>
      <c r="G44" s="11" t="s">
        <v>164</v>
      </c>
      <c r="H44" s="10"/>
      <c r="I44" s="10"/>
      <c r="J44" s="10"/>
      <c r="K44" s="10"/>
      <c r="L44" s="10"/>
      <c r="M44" s="10"/>
      <c r="N44" s="10"/>
      <c r="O44" s="10"/>
      <c r="P44" s="12"/>
      <c r="Q44" s="12"/>
      <c r="R44" s="3"/>
      <c r="S44" s="3"/>
      <c r="T44" s="3"/>
    </row>
    <row r="45">
      <c r="A45" s="9">
        <v>69.0</v>
      </c>
      <c r="B45" s="11" t="s">
        <v>165</v>
      </c>
      <c r="C45" s="11" t="s">
        <v>166</v>
      </c>
      <c r="D45" s="10"/>
      <c r="E45" s="10"/>
      <c r="F45" s="10"/>
      <c r="G45" s="11" t="s">
        <v>167</v>
      </c>
      <c r="H45" s="10"/>
      <c r="I45" s="10"/>
      <c r="J45" s="10"/>
      <c r="K45" s="10"/>
      <c r="L45" s="10"/>
      <c r="M45" s="10"/>
      <c r="N45" s="10"/>
      <c r="O45" s="10"/>
      <c r="P45" s="12"/>
      <c r="Q45" s="12"/>
      <c r="R45" s="3"/>
      <c r="S45" s="3"/>
      <c r="T45" s="3"/>
    </row>
    <row r="46">
      <c r="A46" s="9">
        <v>70.0</v>
      </c>
      <c r="B46" s="10"/>
      <c r="C46" s="10"/>
      <c r="D46" s="11" t="s">
        <v>168</v>
      </c>
      <c r="E46" s="10"/>
      <c r="F46" s="10"/>
      <c r="G46" s="11" t="s">
        <v>169</v>
      </c>
      <c r="H46" s="10"/>
      <c r="I46" s="10"/>
      <c r="J46" s="10"/>
      <c r="K46" s="10"/>
      <c r="L46" s="10"/>
      <c r="M46" s="10"/>
      <c r="N46" s="10"/>
      <c r="O46" s="10"/>
      <c r="P46" s="12"/>
      <c r="Q46" s="12"/>
      <c r="R46" s="3"/>
      <c r="S46" s="3"/>
      <c r="T46" s="3"/>
    </row>
    <row r="47">
      <c r="A47" s="9">
        <v>72.0</v>
      </c>
      <c r="B47" s="11" t="s">
        <v>170</v>
      </c>
      <c r="C47" s="11" t="s">
        <v>171</v>
      </c>
      <c r="D47" s="10"/>
      <c r="E47" s="11" t="s">
        <v>172</v>
      </c>
      <c r="F47" s="11" t="s">
        <v>173</v>
      </c>
      <c r="G47" s="10"/>
      <c r="H47" s="10"/>
      <c r="I47" s="10"/>
      <c r="J47" s="10"/>
      <c r="K47" s="10"/>
      <c r="L47" s="10"/>
      <c r="M47" s="10"/>
      <c r="N47" s="10"/>
      <c r="O47" s="10"/>
      <c r="P47" s="3"/>
      <c r="Q47" s="12"/>
      <c r="R47" s="12"/>
      <c r="S47" s="3"/>
      <c r="T47" s="3"/>
    </row>
    <row r="48">
      <c r="A48" s="9">
        <v>73.0</v>
      </c>
      <c r="B48" s="11" t="s">
        <v>174</v>
      </c>
      <c r="C48" s="11" t="s">
        <v>175</v>
      </c>
      <c r="D48" s="10"/>
      <c r="E48" s="11" t="s">
        <v>176</v>
      </c>
      <c r="F48" s="11" t="s">
        <v>177</v>
      </c>
      <c r="G48" s="10"/>
      <c r="H48" s="10"/>
      <c r="I48" s="10"/>
      <c r="J48" s="10"/>
      <c r="K48" s="10"/>
      <c r="L48" s="10"/>
      <c r="M48" s="10"/>
      <c r="N48" s="10"/>
      <c r="O48" s="10"/>
      <c r="P48" s="12"/>
      <c r="Q48" s="12"/>
      <c r="R48" s="3"/>
      <c r="S48" s="3"/>
      <c r="T48" s="3"/>
    </row>
    <row r="49">
      <c r="A49" s="9">
        <v>74.0</v>
      </c>
      <c r="B49" s="11" t="s">
        <v>178</v>
      </c>
      <c r="C49" s="11" t="s">
        <v>179</v>
      </c>
      <c r="D49" s="10"/>
      <c r="E49" s="10"/>
      <c r="F49" s="10"/>
      <c r="G49" s="11" t="s">
        <v>180</v>
      </c>
      <c r="H49" s="10"/>
      <c r="I49" s="10"/>
      <c r="J49" s="10"/>
      <c r="K49" s="10"/>
      <c r="L49" s="10"/>
      <c r="M49" s="10"/>
      <c r="N49" s="10"/>
      <c r="O49" s="10"/>
      <c r="P49" s="12"/>
      <c r="Q49" s="12"/>
      <c r="R49" s="3"/>
      <c r="S49" s="3"/>
      <c r="T49" s="3"/>
    </row>
    <row r="50">
      <c r="A50" s="9">
        <v>75.0</v>
      </c>
      <c r="B50" s="11" t="s">
        <v>181</v>
      </c>
      <c r="C50" s="11" t="s">
        <v>182</v>
      </c>
      <c r="D50" s="10"/>
      <c r="E50" s="11" t="s">
        <v>183</v>
      </c>
      <c r="F50" s="11" t="s">
        <v>184</v>
      </c>
      <c r="G50" s="10"/>
      <c r="H50" s="10"/>
      <c r="I50" s="10"/>
      <c r="J50" s="10"/>
      <c r="K50" s="10"/>
      <c r="L50" s="10"/>
      <c r="M50" s="10"/>
      <c r="N50" s="10"/>
      <c r="O50" s="10"/>
      <c r="P50" s="3"/>
      <c r="Q50" s="12"/>
      <c r="R50" s="12"/>
      <c r="S50" s="3"/>
      <c r="T50" s="3"/>
    </row>
    <row r="51">
      <c r="A51" s="9">
        <v>78.0</v>
      </c>
      <c r="B51" s="11" t="s">
        <v>159</v>
      </c>
      <c r="C51" s="11" t="s">
        <v>185</v>
      </c>
      <c r="D51" s="10"/>
      <c r="E51" s="10"/>
      <c r="F51" s="10"/>
      <c r="G51" s="11" t="s">
        <v>186</v>
      </c>
      <c r="H51" s="10"/>
      <c r="I51" s="10"/>
      <c r="J51" s="10"/>
      <c r="K51" s="10"/>
      <c r="L51" s="10"/>
      <c r="M51" s="10"/>
      <c r="N51" s="10"/>
      <c r="O51" s="10"/>
      <c r="P51" s="12"/>
      <c r="Q51" s="12"/>
      <c r="R51" s="3"/>
      <c r="S51" s="3"/>
      <c r="T51" s="3"/>
    </row>
    <row r="52">
      <c r="A52" s="9">
        <v>80.0</v>
      </c>
      <c r="B52" s="11" t="s">
        <v>187</v>
      </c>
      <c r="C52" s="11" t="s">
        <v>188</v>
      </c>
      <c r="D52" s="10"/>
      <c r="E52" s="10"/>
      <c r="F52" s="10"/>
      <c r="G52" s="11" t="s">
        <v>189</v>
      </c>
      <c r="H52" s="10"/>
      <c r="I52" s="10"/>
      <c r="J52" s="10"/>
      <c r="K52" s="10"/>
      <c r="L52" s="10"/>
      <c r="M52" s="10"/>
      <c r="N52" s="10"/>
      <c r="O52" s="10"/>
      <c r="P52" s="12"/>
      <c r="Q52" s="12"/>
      <c r="R52" s="3"/>
      <c r="S52" s="3"/>
      <c r="T52" s="3"/>
    </row>
    <row r="53">
      <c r="A53" s="9">
        <v>81.0</v>
      </c>
      <c r="B53" s="11" t="s">
        <v>190</v>
      </c>
      <c r="C53" s="11" t="s">
        <v>191</v>
      </c>
      <c r="D53" s="10"/>
      <c r="E53" s="10"/>
      <c r="F53" s="10"/>
      <c r="G53" s="11" t="s">
        <v>192</v>
      </c>
      <c r="H53" s="10"/>
      <c r="I53" s="10"/>
      <c r="J53" s="10"/>
      <c r="K53" s="10"/>
      <c r="L53" s="10"/>
      <c r="M53" s="10"/>
      <c r="N53" s="10"/>
      <c r="O53" s="10"/>
      <c r="P53" s="3"/>
      <c r="Q53" s="12"/>
      <c r="R53" s="12"/>
      <c r="S53" s="3"/>
      <c r="T53" s="3"/>
    </row>
    <row r="54">
      <c r="A54" s="9">
        <v>84.0</v>
      </c>
      <c r="B54" s="11" t="s">
        <v>193</v>
      </c>
      <c r="C54" s="11" t="s">
        <v>194</v>
      </c>
      <c r="D54" s="10"/>
      <c r="E54" s="10"/>
      <c r="F54" s="10"/>
      <c r="G54" s="11" t="s">
        <v>195</v>
      </c>
      <c r="H54" s="10"/>
      <c r="I54" s="10"/>
      <c r="J54" s="10"/>
      <c r="K54" s="10"/>
      <c r="L54" s="10"/>
      <c r="M54" s="10"/>
      <c r="N54" s="10"/>
      <c r="O54" s="10"/>
      <c r="P54" s="12"/>
      <c r="Q54" s="12"/>
      <c r="R54" s="3"/>
      <c r="S54" s="3"/>
      <c r="T54" s="3"/>
    </row>
    <row r="55">
      <c r="A55" s="9">
        <v>86.0</v>
      </c>
      <c r="B55" s="10"/>
      <c r="C55" s="10"/>
      <c r="D55" s="11" t="s">
        <v>196</v>
      </c>
      <c r="E55" s="10"/>
      <c r="F55" s="10"/>
      <c r="G55" s="11" t="s">
        <v>197</v>
      </c>
      <c r="H55" s="10"/>
      <c r="I55" s="10"/>
      <c r="J55" s="10"/>
      <c r="K55" s="10"/>
      <c r="L55" s="10"/>
      <c r="M55" s="10"/>
      <c r="N55" s="10"/>
      <c r="O55" s="10"/>
      <c r="P55" s="12"/>
      <c r="Q55" s="3"/>
      <c r="R55" s="12"/>
      <c r="S55" s="3"/>
      <c r="T55" s="3"/>
    </row>
    <row r="56">
      <c r="A56" s="9">
        <v>87.0</v>
      </c>
      <c r="B56" s="11" t="s">
        <v>198</v>
      </c>
      <c r="C56" s="11" t="s">
        <v>199</v>
      </c>
      <c r="D56" s="10"/>
      <c r="E56" s="10"/>
      <c r="F56" s="10"/>
      <c r="G56" s="11" t="s">
        <v>200</v>
      </c>
      <c r="H56" s="10"/>
      <c r="I56" s="10"/>
      <c r="J56" s="10"/>
      <c r="K56" s="10"/>
      <c r="L56" s="10"/>
      <c r="M56" s="10"/>
      <c r="N56" s="10"/>
      <c r="O56" s="10"/>
      <c r="P56" s="12"/>
      <c r="Q56" s="3"/>
      <c r="R56" s="12"/>
      <c r="S56" s="3"/>
      <c r="T56" s="3"/>
    </row>
    <row r="57">
      <c r="A57" s="9">
        <v>88.0</v>
      </c>
      <c r="B57" s="13" t="s">
        <v>201</v>
      </c>
      <c r="C57" s="11" t="s">
        <v>202</v>
      </c>
      <c r="D57" s="10"/>
      <c r="E57" s="10"/>
      <c r="F57" s="10"/>
      <c r="G57" s="11" t="s">
        <v>203</v>
      </c>
      <c r="H57" s="10"/>
      <c r="I57" s="10"/>
      <c r="J57" s="10"/>
      <c r="K57" s="10"/>
      <c r="L57" s="10"/>
      <c r="M57" s="10"/>
      <c r="N57" s="10"/>
      <c r="O57" s="10"/>
      <c r="P57" s="12"/>
      <c r="Q57" s="12"/>
      <c r="R57" s="3"/>
      <c r="S57" s="3"/>
      <c r="T57" s="3"/>
    </row>
    <row r="58">
      <c r="A58" s="9">
        <v>89.0</v>
      </c>
      <c r="B58" s="10"/>
      <c r="C58" s="10"/>
      <c r="D58" s="10"/>
      <c r="E58" s="10"/>
      <c r="F58" s="10"/>
      <c r="G58" s="10"/>
      <c r="H58" s="11" t="s">
        <v>204</v>
      </c>
      <c r="I58" s="11" t="s">
        <v>205</v>
      </c>
      <c r="J58" s="11" t="s">
        <v>206</v>
      </c>
      <c r="K58" s="10"/>
      <c r="L58" s="10"/>
      <c r="M58" s="11" t="s">
        <v>207</v>
      </c>
      <c r="N58" s="11" t="s">
        <v>208</v>
      </c>
      <c r="O58" s="10"/>
      <c r="P58" s="3"/>
      <c r="Q58" s="12"/>
      <c r="R58" s="12"/>
      <c r="S58" s="3"/>
      <c r="T58" s="3"/>
    </row>
    <row r="59">
      <c r="A59" s="9">
        <v>90.0</v>
      </c>
      <c r="B59" s="11" t="s">
        <v>209</v>
      </c>
      <c r="C59" s="11" t="s">
        <v>210</v>
      </c>
      <c r="D59" s="10"/>
      <c r="E59" s="10"/>
      <c r="F59" s="10"/>
      <c r="G59" s="11" t="s">
        <v>211</v>
      </c>
      <c r="H59" s="10"/>
      <c r="I59" s="10"/>
      <c r="J59" s="10"/>
      <c r="K59" s="10"/>
      <c r="L59" s="10"/>
      <c r="M59" s="10"/>
      <c r="N59" s="10"/>
      <c r="O59" s="10"/>
      <c r="P59" s="12"/>
      <c r="Q59" s="3"/>
      <c r="R59" s="12"/>
      <c r="S59" s="3"/>
      <c r="T59" s="3"/>
    </row>
    <row r="60">
      <c r="A60" s="9">
        <v>93.0</v>
      </c>
      <c r="B60" s="11" t="s">
        <v>212</v>
      </c>
      <c r="C60" s="11" t="s">
        <v>213</v>
      </c>
      <c r="D60" s="10"/>
      <c r="E60" s="11" t="s">
        <v>214</v>
      </c>
      <c r="F60" s="11" t="s">
        <v>215</v>
      </c>
      <c r="G60" s="10"/>
      <c r="H60" s="10"/>
      <c r="I60" s="10"/>
      <c r="J60" s="10"/>
      <c r="K60" s="10"/>
      <c r="L60" s="10"/>
      <c r="M60" s="10"/>
      <c r="N60" s="10"/>
      <c r="O60" s="10"/>
      <c r="P60" s="3"/>
      <c r="Q60" s="12"/>
      <c r="R60" s="12"/>
      <c r="S60" s="3"/>
      <c r="T60" s="3"/>
    </row>
    <row r="61">
      <c r="A61" s="9">
        <v>95.0</v>
      </c>
      <c r="B61" s="13" t="s">
        <v>216</v>
      </c>
      <c r="C61" s="11" t="s">
        <v>217</v>
      </c>
      <c r="D61" s="10"/>
      <c r="E61" s="11" t="s">
        <v>218</v>
      </c>
      <c r="F61" s="11" t="s">
        <v>219</v>
      </c>
      <c r="G61" s="10"/>
      <c r="H61" s="10"/>
      <c r="I61" s="10"/>
      <c r="J61" s="10"/>
      <c r="K61" s="10"/>
      <c r="L61" s="10"/>
      <c r="M61" s="10"/>
      <c r="N61" s="10"/>
      <c r="O61" s="10"/>
      <c r="P61" s="12"/>
      <c r="Q61" s="12"/>
      <c r="R61" s="3"/>
      <c r="S61" s="3"/>
      <c r="T61" s="3"/>
    </row>
    <row r="62">
      <c r="A62" s="9">
        <v>97.0</v>
      </c>
      <c r="B62" s="11" t="s">
        <v>220</v>
      </c>
      <c r="C62" s="11" t="s">
        <v>221</v>
      </c>
      <c r="D62" s="10"/>
      <c r="E62" s="10"/>
      <c r="F62" s="10"/>
      <c r="G62" s="11" t="s">
        <v>222</v>
      </c>
      <c r="H62" s="10"/>
      <c r="I62" s="10"/>
      <c r="J62" s="10"/>
      <c r="K62" s="10"/>
      <c r="L62" s="10"/>
      <c r="M62" s="10"/>
      <c r="N62" s="10"/>
      <c r="O62" s="10"/>
      <c r="P62" s="12"/>
      <c r="Q62" s="12"/>
      <c r="R62" s="3"/>
      <c r="S62" s="3"/>
      <c r="T62" s="3"/>
    </row>
    <row r="63">
      <c r="A63" s="9">
        <v>98.0</v>
      </c>
      <c r="B63" s="11" t="s">
        <v>223</v>
      </c>
      <c r="C63" s="11" t="s">
        <v>224</v>
      </c>
      <c r="D63" s="10"/>
      <c r="E63" s="10"/>
      <c r="F63" s="10"/>
      <c r="G63" s="11" t="s">
        <v>225</v>
      </c>
      <c r="H63" s="10"/>
      <c r="I63" s="10"/>
      <c r="J63" s="10"/>
      <c r="K63" s="10"/>
      <c r="L63" s="10"/>
      <c r="M63" s="10"/>
      <c r="N63" s="10"/>
      <c r="O63" s="10"/>
      <c r="P63" s="12"/>
      <c r="Q63" s="12"/>
      <c r="R63" s="3"/>
      <c r="S63" s="3"/>
      <c r="T63" s="3"/>
    </row>
    <row r="64">
      <c r="A64" s="9">
        <v>99.0</v>
      </c>
      <c r="B64" s="11" t="s">
        <v>226</v>
      </c>
      <c r="C64" s="11" t="s">
        <v>227</v>
      </c>
      <c r="D64" s="10"/>
      <c r="E64" s="11" t="s">
        <v>228</v>
      </c>
      <c r="F64" s="11" t="s">
        <v>229</v>
      </c>
      <c r="G64" s="10"/>
      <c r="H64" s="10"/>
      <c r="I64" s="10"/>
      <c r="J64" s="10"/>
      <c r="K64" s="10"/>
      <c r="L64" s="10"/>
      <c r="M64" s="10"/>
      <c r="N64" s="10"/>
      <c r="O64" s="10"/>
      <c r="P64" s="12"/>
      <c r="Q64" s="12"/>
      <c r="R64" s="3"/>
      <c r="S64" s="3"/>
      <c r="T64" s="3"/>
    </row>
    <row r="65">
      <c r="A65" s="9">
        <v>100.0</v>
      </c>
      <c r="B65" s="10"/>
      <c r="C65" s="10"/>
      <c r="D65" s="11" t="s">
        <v>230</v>
      </c>
      <c r="E65" s="10"/>
      <c r="F65" s="10"/>
      <c r="G65" s="11" t="s">
        <v>231</v>
      </c>
      <c r="H65" s="10"/>
      <c r="I65" s="10"/>
      <c r="J65" s="10"/>
      <c r="K65" s="10"/>
      <c r="L65" s="10"/>
      <c r="M65" s="10"/>
      <c r="N65" s="10"/>
      <c r="O65" s="10"/>
      <c r="P65" s="12"/>
      <c r="Q65" s="12"/>
      <c r="R65" s="3"/>
      <c r="S65" s="3"/>
      <c r="T65" s="3"/>
    </row>
    <row r="66">
      <c r="A66" s="9">
        <v>101.0</v>
      </c>
      <c r="B66" s="11" t="s">
        <v>232</v>
      </c>
      <c r="C66" s="11" t="s">
        <v>233</v>
      </c>
      <c r="D66" s="10"/>
      <c r="E66" s="10"/>
      <c r="F66" s="10"/>
      <c r="G66" s="11" t="s">
        <v>234</v>
      </c>
      <c r="H66" s="10"/>
      <c r="I66" s="10"/>
      <c r="J66" s="10"/>
      <c r="K66" s="10"/>
      <c r="L66" s="10"/>
      <c r="M66" s="10"/>
      <c r="N66" s="10"/>
      <c r="O66" s="10"/>
      <c r="P66" s="12"/>
      <c r="Q66" s="12"/>
      <c r="R66" s="3"/>
      <c r="S66" s="3"/>
      <c r="T66" s="3"/>
    </row>
    <row r="67">
      <c r="A67" s="9">
        <v>103.0</v>
      </c>
      <c r="B67" s="11" t="s">
        <v>235</v>
      </c>
      <c r="C67" s="11" t="s">
        <v>236</v>
      </c>
      <c r="D67" s="10"/>
      <c r="E67" s="11" t="s">
        <v>237</v>
      </c>
      <c r="F67" s="11" t="s">
        <v>238</v>
      </c>
      <c r="G67" s="10"/>
      <c r="H67" s="10"/>
      <c r="I67" s="10"/>
      <c r="J67" s="10"/>
      <c r="K67" s="10"/>
      <c r="L67" s="10"/>
      <c r="M67" s="10"/>
      <c r="N67" s="10"/>
      <c r="O67" s="10"/>
      <c r="P67" s="12"/>
      <c r="Q67" s="12"/>
      <c r="R67" s="3"/>
      <c r="S67" s="3"/>
      <c r="T67" s="3"/>
    </row>
    <row r="68">
      <c r="A68" s="9">
        <v>104.0</v>
      </c>
      <c r="B68" s="13" t="s">
        <v>239</v>
      </c>
      <c r="C68" s="11" t="s">
        <v>240</v>
      </c>
      <c r="D68" s="10"/>
      <c r="E68" s="11" t="s">
        <v>241</v>
      </c>
      <c r="F68" s="11" t="s">
        <v>242</v>
      </c>
      <c r="G68" s="10"/>
      <c r="H68" s="10"/>
      <c r="I68" s="10"/>
      <c r="J68" s="10"/>
      <c r="K68" s="10"/>
      <c r="L68" s="10"/>
      <c r="M68" s="10"/>
      <c r="N68" s="10"/>
      <c r="O68" s="10"/>
      <c r="P68" s="3"/>
      <c r="Q68" s="12"/>
      <c r="R68" s="12"/>
      <c r="S68" s="3"/>
      <c r="T68" s="3"/>
    </row>
    <row r="69">
      <c r="A69" s="9">
        <v>105.0</v>
      </c>
      <c r="B69" s="11" t="s">
        <v>243</v>
      </c>
      <c r="C69" s="11" t="s">
        <v>244</v>
      </c>
      <c r="D69" s="10"/>
      <c r="E69" s="10"/>
      <c r="F69" s="10"/>
      <c r="G69" s="11" t="s">
        <v>245</v>
      </c>
      <c r="H69" s="10"/>
      <c r="I69" s="10"/>
      <c r="J69" s="10"/>
      <c r="K69" s="10"/>
      <c r="L69" s="10"/>
      <c r="M69" s="10"/>
      <c r="N69" s="10"/>
      <c r="O69" s="10"/>
      <c r="P69" s="12"/>
      <c r="Q69" s="12"/>
      <c r="R69" s="3"/>
      <c r="S69" s="3"/>
      <c r="T69" s="3"/>
    </row>
    <row r="70">
      <c r="A70" s="9">
        <v>107.0</v>
      </c>
      <c r="B70" s="11" t="s">
        <v>246</v>
      </c>
      <c r="C70" s="11" t="s">
        <v>247</v>
      </c>
      <c r="D70" s="10"/>
      <c r="E70" s="10"/>
      <c r="F70" s="10"/>
      <c r="G70" s="11" t="s">
        <v>248</v>
      </c>
      <c r="H70" s="10"/>
      <c r="I70" s="10"/>
      <c r="J70" s="10"/>
      <c r="K70" s="10"/>
      <c r="L70" s="10"/>
      <c r="M70" s="10"/>
      <c r="N70" s="10"/>
      <c r="O70" s="10"/>
      <c r="P70" s="12"/>
      <c r="Q70" s="12"/>
      <c r="R70" s="3"/>
      <c r="S70" s="3"/>
      <c r="T70" s="3"/>
    </row>
    <row r="71">
      <c r="A71" s="9">
        <v>108.0</v>
      </c>
      <c r="B71" s="10"/>
      <c r="C71" s="10"/>
      <c r="D71" s="11" t="s">
        <v>249</v>
      </c>
      <c r="E71" s="11" t="s">
        <v>250</v>
      </c>
      <c r="F71" s="11" t="s">
        <v>251</v>
      </c>
      <c r="G71" s="10"/>
      <c r="H71" s="10"/>
      <c r="I71" s="10"/>
      <c r="J71" s="10"/>
      <c r="K71" s="10"/>
      <c r="L71" s="10"/>
      <c r="M71" s="10"/>
      <c r="N71" s="10"/>
      <c r="O71" s="10"/>
      <c r="P71" s="12"/>
      <c r="Q71" s="3"/>
      <c r="R71" s="12"/>
      <c r="S71" s="3"/>
      <c r="T71" s="3"/>
    </row>
    <row r="72">
      <c r="A72" s="9">
        <v>109.0</v>
      </c>
      <c r="B72" s="11" t="s">
        <v>212</v>
      </c>
      <c r="C72" s="11" t="s">
        <v>252</v>
      </c>
      <c r="D72" s="10"/>
      <c r="E72" s="10"/>
      <c r="F72" s="10"/>
      <c r="G72" s="11" t="s">
        <v>253</v>
      </c>
      <c r="H72" s="10"/>
      <c r="I72" s="10"/>
      <c r="J72" s="10"/>
      <c r="K72" s="10"/>
      <c r="L72" s="10"/>
      <c r="M72" s="10"/>
      <c r="N72" s="10"/>
      <c r="O72" s="10"/>
      <c r="P72" s="12"/>
      <c r="Q72" s="12"/>
      <c r="R72" s="3"/>
      <c r="S72" s="3"/>
      <c r="T72" s="3"/>
    </row>
    <row r="73">
      <c r="A73" s="9">
        <v>111.0</v>
      </c>
      <c r="B73" s="11" t="s">
        <v>254</v>
      </c>
      <c r="C73" s="11" t="s">
        <v>255</v>
      </c>
      <c r="D73" s="10"/>
      <c r="E73" s="11" t="s">
        <v>256</v>
      </c>
      <c r="F73" s="11" t="s">
        <v>257</v>
      </c>
      <c r="G73" s="10"/>
      <c r="H73" s="10"/>
      <c r="I73" s="10"/>
      <c r="J73" s="10"/>
      <c r="K73" s="10"/>
      <c r="L73" s="10"/>
      <c r="M73" s="10"/>
      <c r="N73" s="10"/>
      <c r="O73" s="10"/>
      <c r="P73" s="12"/>
      <c r="Q73" s="12"/>
      <c r="R73" s="3"/>
      <c r="S73" s="3"/>
      <c r="T73" s="3"/>
    </row>
    <row r="74">
      <c r="A74" s="9">
        <v>112.0</v>
      </c>
      <c r="B74" s="10"/>
      <c r="C74" s="10"/>
      <c r="D74" s="11" t="s">
        <v>258</v>
      </c>
      <c r="E74" s="10"/>
      <c r="F74" s="10"/>
      <c r="G74" s="11" t="s">
        <v>259</v>
      </c>
      <c r="H74" s="10"/>
      <c r="I74" s="10"/>
      <c r="J74" s="10"/>
      <c r="K74" s="10"/>
      <c r="L74" s="10"/>
      <c r="M74" s="10"/>
      <c r="N74" s="10"/>
      <c r="O74" s="10"/>
      <c r="P74" s="12"/>
      <c r="Q74" s="3"/>
      <c r="R74" s="12"/>
      <c r="S74" s="3"/>
      <c r="T74" s="3"/>
    </row>
    <row r="75">
      <c r="A75" s="9">
        <v>113.0</v>
      </c>
      <c r="B75" s="11" t="s">
        <v>260</v>
      </c>
      <c r="C75" s="11" t="s">
        <v>261</v>
      </c>
      <c r="D75" s="10"/>
      <c r="E75" s="10"/>
      <c r="F75" s="10"/>
      <c r="G75" s="11" t="s">
        <v>262</v>
      </c>
      <c r="H75" s="10"/>
      <c r="I75" s="10"/>
      <c r="J75" s="10"/>
      <c r="K75" s="10"/>
      <c r="L75" s="10"/>
      <c r="M75" s="10"/>
      <c r="N75" s="10"/>
      <c r="O75" s="10"/>
      <c r="P75" s="12"/>
      <c r="Q75" s="3"/>
      <c r="R75" s="12"/>
      <c r="S75" s="3"/>
      <c r="T75" s="3"/>
    </row>
    <row r="76">
      <c r="A76" s="9">
        <v>115.0</v>
      </c>
      <c r="B76" s="10"/>
      <c r="C76" s="10"/>
      <c r="D76" s="11" t="s">
        <v>263</v>
      </c>
      <c r="E76" s="10"/>
      <c r="F76" s="10"/>
      <c r="G76" s="11" t="s">
        <v>264</v>
      </c>
      <c r="H76" s="10"/>
      <c r="I76" s="10"/>
      <c r="J76" s="10"/>
      <c r="K76" s="10"/>
      <c r="L76" s="10"/>
      <c r="M76" s="10"/>
      <c r="N76" s="10"/>
      <c r="O76" s="10"/>
      <c r="P76" s="12"/>
      <c r="Q76" s="12"/>
      <c r="R76" s="3"/>
      <c r="S76" s="3"/>
      <c r="T76" s="3"/>
    </row>
    <row r="77">
      <c r="A77" s="9">
        <v>116.0</v>
      </c>
      <c r="B77" s="11" t="s">
        <v>265</v>
      </c>
      <c r="C77" s="11" t="s">
        <v>266</v>
      </c>
      <c r="D77" s="10"/>
      <c r="E77" s="11" t="s">
        <v>267</v>
      </c>
      <c r="F77" s="11" t="s">
        <v>268</v>
      </c>
      <c r="G77" s="10"/>
      <c r="H77" s="10"/>
      <c r="I77" s="10"/>
      <c r="J77" s="10"/>
      <c r="K77" s="10"/>
      <c r="L77" s="10"/>
      <c r="M77" s="10"/>
      <c r="N77" s="10"/>
      <c r="O77" s="10"/>
      <c r="P77" s="3"/>
      <c r="Q77" s="12"/>
      <c r="R77" s="12"/>
      <c r="S77" s="3"/>
      <c r="T77" s="3"/>
    </row>
    <row r="78">
      <c r="A78" s="9">
        <v>117.0</v>
      </c>
      <c r="B78" s="11" t="s">
        <v>269</v>
      </c>
      <c r="C78" s="11" t="s">
        <v>270</v>
      </c>
      <c r="D78" s="10"/>
      <c r="E78" s="11" t="s">
        <v>271</v>
      </c>
      <c r="F78" s="11" t="s">
        <v>272</v>
      </c>
      <c r="G78" s="10"/>
      <c r="H78" s="10"/>
      <c r="I78" s="10"/>
      <c r="J78" s="10"/>
      <c r="K78" s="10"/>
      <c r="L78" s="10"/>
      <c r="M78" s="10"/>
      <c r="N78" s="10"/>
      <c r="O78" s="10"/>
      <c r="P78" s="12"/>
      <c r="Q78" s="12"/>
      <c r="R78" s="3"/>
      <c r="S78" s="3"/>
      <c r="T78" s="3"/>
    </row>
    <row r="79">
      <c r="A79" s="9">
        <v>122.0</v>
      </c>
      <c r="B79" s="11" t="s">
        <v>273</v>
      </c>
      <c r="C79" s="11" t="s">
        <v>274</v>
      </c>
      <c r="D79" s="10"/>
      <c r="E79" s="10"/>
      <c r="F79" s="10"/>
      <c r="G79" s="11" t="s">
        <v>275</v>
      </c>
      <c r="H79" s="10"/>
      <c r="I79" s="10"/>
      <c r="J79" s="10"/>
      <c r="K79" s="10"/>
      <c r="L79" s="10"/>
      <c r="M79" s="10"/>
      <c r="N79" s="10"/>
      <c r="O79" s="10"/>
      <c r="P79" s="12"/>
      <c r="Q79" s="12"/>
      <c r="R79" s="3"/>
      <c r="S79" s="3"/>
      <c r="T79" s="3"/>
    </row>
    <row r="80">
      <c r="A80" s="9">
        <v>123.0</v>
      </c>
      <c r="B80" s="11" t="s">
        <v>276</v>
      </c>
      <c r="C80" s="11" t="s">
        <v>277</v>
      </c>
      <c r="D80" s="10"/>
      <c r="E80" s="11" t="s">
        <v>278</v>
      </c>
      <c r="F80" s="11" t="s">
        <v>279</v>
      </c>
      <c r="G80" s="10"/>
      <c r="H80" s="10"/>
      <c r="I80" s="10"/>
      <c r="J80" s="10"/>
      <c r="K80" s="10"/>
      <c r="L80" s="10"/>
      <c r="M80" s="10"/>
      <c r="N80" s="10"/>
      <c r="O80" s="10"/>
      <c r="P80" s="12"/>
      <c r="Q80" s="12"/>
      <c r="R80" s="3"/>
      <c r="S80" s="3"/>
      <c r="T80" s="3"/>
    </row>
    <row r="81">
      <c r="A81" s="9">
        <v>124.0</v>
      </c>
      <c r="B81" s="10"/>
      <c r="C81" s="10"/>
      <c r="D81" s="11" t="s">
        <v>280</v>
      </c>
      <c r="E81" s="11" t="s">
        <v>281</v>
      </c>
      <c r="F81" s="11" t="s">
        <v>282</v>
      </c>
      <c r="G81" s="10"/>
      <c r="H81" s="10"/>
      <c r="I81" s="10"/>
      <c r="J81" s="10"/>
      <c r="K81" s="10"/>
      <c r="L81" s="10"/>
      <c r="M81" s="10"/>
      <c r="N81" s="10"/>
      <c r="O81" s="10"/>
      <c r="P81" s="12"/>
      <c r="Q81" s="12"/>
      <c r="R81" s="3"/>
      <c r="S81" s="3"/>
      <c r="T81" s="3"/>
    </row>
    <row r="82">
      <c r="A82" s="9">
        <v>125.0</v>
      </c>
      <c r="B82" s="11" t="s">
        <v>47</v>
      </c>
      <c r="C82" s="11" t="s">
        <v>283</v>
      </c>
      <c r="D82" s="10"/>
      <c r="E82" s="10"/>
      <c r="F82" s="10"/>
      <c r="G82" s="11" t="s">
        <v>284</v>
      </c>
      <c r="H82" s="10"/>
      <c r="I82" s="10"/>
      <c r="J82" s="10"/>
      <c r="K82" s="10"/>
      <c r="L82" s="10"/>
      <c r="M82" s="10"/>
      <c r="N82" s="10"/>
      <c r="O82" s="10"/>
      <c r="P82" s="12"/>
      <c r="Q82" s="12"/>
      <c r="R82" s="3"/>
      <c r="S82" s="3"/>
      <c r="T82" s="3"/>
    </row>
    <row r="83">
      <c r="A83" s="9">
        <v>126.0</v>
      </c>
      <c r="B83" s="11" t="s">
        <v>47</v>
      </c>
      <c r="C83" s="11" t="s">
        <v>285</v>
      </c>
      <c r="D83" s="10"/>
      <c r="E83" s="11" t="s">
        <v>286</v>
      </c>
      <c r="F83" s="11" t="s">
        <v>188</v>
      </c>
      <c r="G83" s="10"/>
      <c r="H83" s="10"/>
      <c r="I83" s="10"/>
      <c r="J83" s="10"/>
      <c r="K83" s="10"/>
      <c r="L83" s="10"/>
      <c r="M83" s="10"/>
      <c r="N83" s="10"/>
      <c r="O83" s="10"/>
      <c r="P83" s="12"/>
      <c r="Q83" s="3"/>
      <c r="R83" s="12"/>
      <c r="S83" s="3"/>
      <c r="T83" s="3"/>
    </row>
    <row r="84">
      <c r="A84" s="9">
        <v>127.0</v>
      </c>
      <c r="B84" s="11" t="s">
        <v>287</v>
      </c>
      <c r="C84" s="11" t="s">
        <v>288</v>
      </c>
      <c r="D84" s="10"/>
      <c r="E84" s="10"/>
      <c r="F84" s="10"/>
      <c r="G84" s="11" t="s">
        <v>289</v>
      </c>
      <c r="H84" s="10"/>
      <c r="I84" s="10"/>
      <c r="J84" s="10"/>
      <c r="K84" s="10"/>
      <c r="L84" s="10"/>
      <c r="M84" s="10"/>
      <c r="N84" s="10"/>
      <c r="O84" s="10"/>
      <c r="P84" s="3"/>
      <c r="Q84" s="12"/>
      <c r="R84" s="12"/>
      <c r="S84" s="3"/>
      <c r="T84" s="3"/>
    </row>
    <row r="85">
      <c r="A85" s="9">
        <v>128.0</v>
      </c>
      <c r="B85" s="11" t="s">
        <v>95</v>
      </c>
      <c r="C85" s="11" t="s">
        <v>290</v>
      </c>
      <c r="D85" s="10"/>
      <c r="E85" s="10"/>
      <c r="F85" s="10"/>
      <c r="G85" s="11" t="s">
        <v>291</v>
      </c>
      <c r="H85" s="10"/>
      <c r="I85" s="10"/>
      <c r="J85" s="10"/>
      <c r="K85" s="10"/>
      <c r="L85" s="10"/>
      <c r="M85" s="10"/>
      <c r="N85" s="10"/>
      <c r="O85" s="10"/>
      <c r="P85" s="12"/>
      <c r="Q85" s="12"/>
      <c r="R85" s="3"/>
      <c r="S85" s="3"/>
      <c r="T85" s="3"/>
    </row>
    <row r="86">
      <c r="A86" s="9">
        <v>129.0</v>
      </c>
      <c r="B86" s="11" t="s">
        <v>292</v>
      </c>
      <c r="C86" s="11" t="s">
        <v>293</v>
      </c>
      <c r="D86" s="10"/>
      <c r="E86" s="11" t="s">
        <v>294</v>
      </c>
      <c r="F86" s="11" t="s">
        <v>295</v>
      </c>
      <c r="G86" s="10"/>
      <c r="H86" s="10"/>
      <c r="I86" s="10"/>
      <c r="J86" s="10"/>
      <c r="K86" s="10"/>
      <c r="L86" s="10"/>
      <c r="M86" s="10"/>
      <c r="N86" s="10"/>
      <c r="O86" s="10"/>
      <c r="P86" s="12"/>
      <c r="Q86" s="12"/>
      <c r="R86" s="3"/>
      <c r="S86" s="3"/>
      <c r="T86" s="3"/>
    </row>
    <row r="87">
      <c r="A87" s="9">
        <v>130.0</v>
      </c>
      <c r="B87" s="11" t="s">
        <v>296</v>
      </c>
      <c r="C87" s="11" t="s">
        <v>297</v>
      </c>
      <c r="D87" s="10"/>
      <c r="E87" s="11" t="s">
        <v>298</v>
      </c>
      <c r="F87" s="11" t="s">
        <v>299</v>
      </c>
      <c r="G87" s="10"/>
      <c r="H87" s="10"/>
      <c r="I87" s="10"/>
      <c r="J87" s="10"/>
      <c r="K87" s="10"/>
      <c r="L87" s="10"/>
      <c r="M87" s="10"/>
      <c r="N87" s="10"/>
      <c r="O87" s="10"/>
      <c r="P87" s="3"/>
      <c r="Q87" s="12"/>
      <c r="R87" s="12"/>
      <c r="S87" s="3"/>
      <c r="T87" s="3"/>
    </row>
    <row r="88">
      <c r="A88" s="9">
        <v>132.0</v>
      </c>
      <c r="B88" s="10"/>
      <c r="C88" s="10"/>
      <c r="D88" s="11" t="s">
        <v>300</v>
      </c>
      <c r="E88" s="11" t="s">
        <v>301</v>
      </c>
      <c r="F88" s="11" t="s">
        <v>302</v>
      </c>
      <c r="G88" s="10"/>
      <c r="H88" s="10"/>
      <c r="I88" s="10"/>
      <c r="J88" s="10"/>
      <c r="K88" s="10"/>
      <c r="L88" s="10"/>
      <c r="M88" s="10"/>
      <c r="N88" s="10"/>
      <c r="O88" s="10"/>
      <c r="P88" s="3"/>
      <c r="Q88" s="12"/>
      <c r="R88" s="12"/>
      <c r="S88" s="3"/>
      <c r="T88" s="3"/>
    </row>
    <row r="89">
      <c r="A89" s="9">
        <v>135.0</v>
      </c>
      <c r="B89" s="11" t="s">
        <v>303</v>
      </c>
      <c r="C89" s="11" t="s">
        <v>303</v>
      </c>
      <c r="D89" s="10"/>
      <c r="E89" s="11" t="s">
        <v>304</v>
      </c>
      <c r="F89" s="11" t="s">
        <v>305</v>
      </c>
      <c r="G89" s="10"/>
      <c r="H89" s="10"/>
      <c r="I89" s="10"/>
      <c r="J89" s="10"/>
      <c r="K89" s="10"/>
      <c r="L89" s="10"/>
      <c r="M89" s="10"/>
      <c r="N89" s="10"/>
      <c r="O89" s="10"/>
      <c r="P89" s="12"/>
      <c r="Q89" s="3"/>
      <c r="R89" s="12"/>
      <c r="S89" s="3"/>
      <c r="T89" s="3"/>
    </row>
    <row r="90">
      <c r="A90" s="9">
        <v>137.0</v>
      </c>
      <c r="B90" s="13" t="s">
        <v>306</v>
      </c>
      <c r="C90" s="11" t="s">
        <v>307</v>
      </c>
      <c r="D90" s="10"/>
      <c r="E90" s="10"/>
      <c r="F90" s="10"/>
      <c r="G90" s="11" t="s">
        <v>308</v>
      </c>
      <c r="H90" s="10"/>
      <c r="I90" s="10"/>
      <c r="J90" s="10"/>
      <c r="K90" s="10"/>
      <c r="L90" s="10"/>
      <c r="M90" s="10"/>
      <c r="N90" s="10"/>
      <c r="O90" s="10"/>
      <c r="P90" s="12"/>
      <c r="Q90" s="12"/>
      <c r="R90" s="3"/>
      <c r="S90" s="3"/>
      <c r="T90" s="3"/>
    </row>
    <row r="91">
      <c r="A91" s="9">
        <v>138.0</v>
      </c>
      <c r="B91" s="11" t="s">
        <v>309</v>
      </c>
      <c r="C91" s="11" t="s">
        <v>310</v>
      </c>
      <c r="D91" s="10"/>
      <c r="E91" s="10"/>
      <c r="F91" s="10"/>
      <c r="G91" s="11" t="s">
        <v>311</v>
      </c>
      <c r="H91" s="10"/>
      <c r="I91" s="10"/>
      <c r="J91" s="10"/>
      <c r="K91" s="10"/>
      <c r="L91" s="10"/>
      <c r="M91" s="10"/>
      <c r="N91" s="10"/>
      <c r="O91" s="10"/>
      <c r="P91" s="12"/>
      <c r="Q91" s="12"/>
      <c r="R91" s="3"/>
      <c r="S91" s="3"/>
      <c r="T91" s="3"/>
    </row>
    <row r="92">
      <c r="A92" s="9">
        <v>140.0</v>
      </c>
      <c r="B92" s="11" t="s">
        <v>312</v>
      </c>
      <c r="C92" s="11" t="s">
        <v>313</v>
      </c>
      <c r="D92" s="10"/>
      <c r="E92" s="10"/>
      <c r="F92" s="10"/>
      <c r="G92" s="11" t="s">
        <v>314</v>
      </c>
      <c r="H92" s="10"/>
      <c r="I92" s="10"/>
      <c r="J92" s="10"/>
      <c r="K92" s="10"/>
      <c r="L92" s="10"/>
      <c r="M92" s="10"/>
      <c r="N92" s="10"/>
      <c r="O92" s="10"/>
      <c r="P92" s="12"/>
      <c r="Q92" s="12"/>
      <c r="R92" s="3"/>
      <c r="S92" s="3"/>
      <c r="T92" s="3"/>
    </row>
    <row r="93">
      <c r="A93" s="9">
        <v>141.0</v>
      </c>
      <c r="B93" s="13" t="s">
        <v>315</v>
      </c>
      <c r="C93" s="11" t="s">
        <v>316</v>
      </c>
      <c r="D93" s="10"/>
      <c r="E93" s="10"/>
      <c r="F93" s="10"/>
      <c r="G93" s="11" t="s">
        <v>317</v>
      </c>
      <c r="H93" s="10"/>
      <c r="I93" s="10"/>
      <c r="J93" s="10"/>
      <c r="K93" s="10"/>
      <c r="L93" s="10"/>
      <c r="M93" s="10"/>
      <c r="N93" s="10"/>
      <c r="O93" s="10"/>
      <c r="P93" s="12"/>
      <c r="Q93" s="12"/>
      <c r="R93" s="3"/>
      <c r="S93" s="3"/>
      <c r="T93" s="3"/>
    </row>
    <row r="94">
      <c r="A94" s="9">
        <v>142.0</v>
      </c>
      <c r="B94" s="11" t="s">
        <v>318</v>
      </c>
      <c r="C94" s="11" t="s">
        <v>319</v>
      </c>
      <c r="D94" s="10"/>
      <c r="E94" s="10"/>
      <c r="F94" s="10"/>
      <c r="G94" s="11" t="s">
        <v>319</v>
      </c>
      <c r="H94" s="10"/>
      <c r="I94" s="10"/>
      <c r="J94" s="10"/>
      <c r="K94" s="10"/>
      <c r="L94" s="10"/>
      <c r="M94" s="10"/>
      <c r="N94" s="10"/>
      <c r="O94" s="10"/>
      <c r="P94" s="12"/>
      <c r="Q94" s="12"/>
      <c r="R94" s="3"/>
      <c r="S94" s="3"/>
      <c r="T94" s="3"/>
    </row>
    <row r="95">
      <c r="A95" s="9">
        <v>143.0</v>
      </c>
      <c r="B95" s="11" t="s">
        <v>320</v>
      </c>
      <c r="C95" s="11" t="s">
        <v>321</v>
      </c>
      <c r="D95" s="10"/>
      <c r="E95" s="11" t="s">
        <v>322</v>
      </c>
      <c r="F95" s="11" t="s">
        <v>323</v>
      </c>
      <c r="G95" s="10"/>
      <c r="H95" s="10"/>
      <c r="I95" s="10"/>
      <c r="J95" s="10"/>
      <c r="K95" s="10"/>
      <c r="L95" s="10"/>
      <c r="M95" s="10"/>
      <c r="N95" s="10"/>
      <c r="O95" s="10"/>
      <c r="P95" s="12"/>
      <c r="Q95" s="3"/>
      <c r="R95" s="12"/>
      <c r="S95" s="3"/>
      <c r="T95" s="3"/>
    </row>
    <row r="96">
      <c r="A96" s="9">
        <v>146.0</v>
      </c>
      <c r="B96" s="11" t="s">
        <v>324</v>
      </c>
      <c r="C96" s="11" t="s">
        <v>325</v>
      </c>
      <c r="D96" s="10"/>
      <c r="E96" s="10"/>
      <c r="F96" s="10"/>
      <c r="G96" s="11" t="s">
        <v>326</v>
      </c>
      <c r="H96" s="10"/>
      <c r="I96" s="10"/>
      <c r="J96" s="10"/>
      <c r="K96" s="10"/>
      <c r="L96" s="10"/>
      <c r="M96" s="10"/>
      <c r="N96" s="10"/>
      <c r="O96" s="10"/>
      <c r="P96" s="12"/>
      <c r="Q96" s="12"/>
      <c r="R96" s="3"/>
      <c r="S96" s="3"/>
      <c r="T96" s="3"/>
    </row>
    <row r="97">
      <c r="A97" s="9">
        <v>147.0</v>
      </c>
      <c r="B97" s="11" t="s">
        <v>327</v>
      </c>
      <c r="C97" s="11" t="s">
        <v>328</v>
      </c>
      <c r="D97" s="10"/>
      <c r="E97" s="10"/>
      <c r="F97" s="10"/>
      <c r="G97" s="11" t="s">
        <v>329</v>
      </c>
      <c r="H97" s="10"/>
      <c r="I97" s="10"/>
      <c r="J97" s="10"/>
      <c r="K97" s="10"/>
      <c r="L97" s="10"/>
      <c r="M97" s="10"/>
      <c r="N97" s="10"/>
      <c r="O97" s="10"/>
      <c r="P97" s="12"/>
      <c r="Q97" s="3"/>
      <c r="R97" s="12"/>
      <c r="S97" s="3"/>
      <c r="T97" s="3"/>
    </row>
    <row r="98">
      <c r="A98" s="9">
        <v>148.0</v>
      </c>
      <c r="B98" s="11" t="s">
        <v>330</v>
      </c>
      <c r="C98" s="11" t="s">
        <v>331</v>
      </c>
      <c r="D98" s="10"/>
      <c r="E98" s="10"/>
      <c r="F98" s="10"/>
      <c r="G98" s="11" t="s">
        <v>332</v>
      </c>
      <c r="H98" s="10"/>
      <c r="I98" s="10"/>
      <c r="J98" s="10"/>
      <c r="K98" s="10"/>
      <c r="L98" s="10"/>
      <c r="M98" s="10"/>
      <c r="N98" s="10"/>
      <c r="O98" s="10"/>
      <c r="P98" s="3"/>
      <c r="Q98" s="12"/>
      <c r="R98" s="12"/>
      <c r="S98" s="3"/>
      <c r="T98" s="3"/>
    </row>
    <row r="99">
      <c r="A99" s="9">
        <v>149.0</v>
      </c>
      <c r="B99" s="13" t="s">
        <v>333</v>
      </c>
      <c r="C99" s="11" t="s">
        <v>334</v>
      </c>
      <c r="D99" s="10"/>
      <c r="E99" s="10"/>
      <c r="F99" s="10"/>
      <c r="G99" s="11" t="s">
        <v>335</v>
      </c>
      <c r="H99" s="10"/>
      <c r="I99" s="10"/>
      <c r="J99" s="10"/>
      <c r="K99" s="10"/>
      <c r="L99" s="10"/>
      <c r="M99" s="10"/>
      <c r="N99" s="10"/>
      <c r="O99" s="10"/>
      <c r="P99" s="3"/>
      <c r="Q99" s="12"/>
      <c r="R99" s="12"/>
      <c r="S99" s="3"/>
      <c r="T99" s="3"/>
    </row>
    <row r="100">
      <c r="A100" s="9">
        <v>150.0</v>
      </c>
      <c r="B100" s="11" t="s">
        <v>336</v>
      </c>
      <c r="C100" s="11" t="s">
        <v>337</v>
      </c>
      <c r="D100" s="10"/>
      <c r="E100" s="10"/>
      <c r="F100" s="10"/>
      <c r="G100" s="11" t="s">
        <v>338</v>
      </c>
      <c r="H100" s="10"/>
      <c r="I100" s="10"/>
      <c r="J100" s="10"/>
      <c r="K100" s="10"/>
      <c r="L100" s="10"/>
      <c r="M100" s="10"/>
      <c r="N100" s="10"/>
      <c r="O100" s="10"/>
      <c r="P100" s="3"/>
      <c r="Q100" s="12"/>
      <c r="R100" s="12"/>
      <c r="S100" s="3"/>
      <c r="T100" s="3"/>
    </row>
    <row r="101">
      <c r="A101" s="9">
        <v>151.0</v>
      </c>
      <c r="B101" s="11" t="s">
        <v>339</v>
      </c>
      <c r="C101" s="11" t="s">
        <v>340</v>
      </c>
      <c r="D101" s="10"/>
      <c r="E101" s="11" t="s">
        <v>341</v>
      </c>
      <c r="F101" s="11" t="s">
        <v>342</v>
      </c>
      <c r="G101" s="10"/>
      <c r="H101" s="10"/>
      <c r="I101" s="10"/>
      <c r="J101" s="10"/>
      <c r="K101" s="10"/>
      <c r="L101" s="10"/>
      <c r="M101" s="10"/>
      <c r="N101" s="10"/>
      <c r="O101" s="10"/>
      <c r="P101" s="12"/>
      <c r="Q101" s="3"/>
      <c r="R101" s="12"/>
      <c r="S101" s="3"/>
      <c r="T101" s="3"/>
    </row>
    <row r="102">
      <c r="A102" s="9">
        <v>152.0</v>
      </c>
      <c r="B102" s="11" t="s">
        <v>343</v>
      </c>
      <c r="C102" s="11" t="s">
        <v>344</v>
      </c>
      <c r="D102" s="10"/>
      <c r="E102" s="11" t="s">
        <v>345</v>
      </c>
      <c r="F102" s="11" t="s">
        <v>346</v>
      </c>
      <c r="G102" s="10"/>
      <c r="H102" s="10"/>
      <c r="I102" s="10"/>
      <c r="J102" s="10"/>
      <c r="K102" s="10"/>
      <c r="L102" s="10"/>
      <c r="M102" s="10"/>
      <c r="N102" s="10"/>
      <c r="O102" s="10"/>
      <c r="P102" s="12"/>
      <c r="Q102" s="12"/>
      <c r="R102" s="3"/>
      <c r="S102" s="3"/>
      <c r="T102" s="3"/>
    </row>
    <row r="103">
      <c r="A103" s="9">
        <v>154.0</v>
      </c>
      <c r="B103" s="11" t="s">
        <v>347</v>
      </c>
      <c r="C103" s="11" t="s">
        <v>348</v>
      </c>
      <c r="D103" s="10"/>
      <c r="E103" s="11" t="s">
        <v>349</v>
      </c>
      <c r="F103" s="11" t="s">
        <v>350</v>
      </c>
      <c r="G103" s="10"/>
      <c r="H103" s="10"/>
      <c r="I103" s="10"/>
      <c r="J103" s="10"/>
      <c r="K103" s="10"/>
      <c r="L103" s="10"/>
      <c r="M103" s="10"/>
      <c r="N103" s="10"/>
      <c r="O103" s="10"/>
      <c r="P103" s="12"/>
      <c r="Q103" s="3"/>
      <c r="R103" s="12"/>
      <c r="S103" s="3"/>
      <c r="T103" s="3"/>
    </row>
    <row r="104">
      <c r="A104" s="9">
        <v>155.0</v>
      </c>
      <c r="B104" s="11" t="s">
        <v>351</v>
      </c>
      <c r="C104" s="11" t="s">
        <v>352</v>
      </c>
      <c r="D104" s="10"/>
      <c r="E104" s="10"/>
      <c r="F104" s="10"/>
      <c r="G104" s="11" t="s">
        <v>353</v>
      </c>
      <c r="H104" s="10"/>
      <c r="I104" s="10"/>
      <c r="J104" s="10"/>
      <c r="K104" s="10"/>
      <c r="L104" s="10"/>
      <c r="M104" s="10"/>
      <c r="N104" s="10"/>
      <c r="O104" s="10"/>
      <c r="P104" s="3"/>
      <c r="Q104" s="12"/>
      <c r="R104" s="12"/>
      <c r="S104" s="3"/>
      <c r="T104" s="3"/>
    </row>
    <row r="105">
      <c r="A105" s="9">
        <v>156.0</v>
      </c>
      <c r="B105" s="11" t="s">
        <v>354</v>
      </c>
      <c r="C105" s="11" t="s">
        <v>355</v>
      </c>
      <c r="D105" s="10"/>
      <c r="E105" s="10"/>
      <c r="F105" s="10"/>
      <c r="G105" s="11" t="s">
        <v>356</v>
      </c>
      <c r="H105" s="10"/>
      <c r="I105" s="10"/>
      <c r="J105" s="10"/>
      <c r="K105" s="10"/>
      <c r="L105" s="10"/>
      <c r="M105" s="10"/>
      <c r="N105" s="10"/>
      <c r="O105" s="10"/>
      <c r="P105" s="3"/>
      <c r="Q105" s="12"/>
      <c r="R105" s="12"/>
      <c r="S105" s="3"/>
      <c r="T105" s="3"/>
    </row>
    <row r="106">
      <c r="A106" s="9">
        <v>157.0</v>
      </c>
      <c r="B106" s="11" t="s">
        <v>357</v>
      </c>
      <c r="C106" s="11" t="s">
        <v>358</v>
      </c>
      <c r="D106" s="10"/>
      <c r="E106" s="10"/>
      <c r="F106" s="10"/>
      <c r="G106" s="11" t="s">
        <v>359</v>
      </c>
      <c r="H106" s="10"/>
      <c r="I106" s="10"/>
      <c r="J106" s="10"/>
      <c r="K106" s="10"/>
      <c r="L106" s="10"/>
      <c r="M106" s="10"/>
      <c r="N106" s="10"/>
      <c r="O106" s="10"/>
      <c r="P106" s="12"/>
      <c r="Q106" s="12"/>
      <c r="R106" s="3"/>
      <c r="S106" s="3"/>
      <c r="T106" s="3"/>
    </row>
    <row r="107">
      <c r="A107" s="9">
        <v>158.0</v>
      </c>
      <c r="B107" s="11" t="s">
        <v>360</v>
      </c>
      <c r="C107" s="11" t="s">
        <v>361</v>
      </c>
      <c r="D107" s="10"/>
      <c r="E107" s="11" t="s">
        <v>362</v>
      </c>
      <c r="F107" s="11" t="s">
        <v>363</v>
      </c>
      <c r="G107" s="10"/>
      <c r="H107" s="10"/>
      <c r="I107" s="10"/>
      <c r="J107" s="10"/>
      <c r="K107" s="10"/>
      <c r="L107" s="10"/>
      <c r="M107" s="10"/>
      <c r="N107" s="10"/>
      <c r="O107" s="10"/>
      <c r="P107" s="12"/>
      <c r="Q107" s="12"/>
      <c r="R107" s="3"/>
      <c r="S107" s="3"/>
      <c r="T107" s="3"/>
    </row>
    <row r="108">
      <c r="A108" s="9">
        <v>159.0</v>
      </c>
      <c r="B108" s="11" t="s">
        <v>364</v>
      </c>
      <c r="C108" s="11" t="s">
        <v>365</v>
      </c>
      <c r="D108" s="10"/>
      <c r="E108" s="11" t="s">
        <v>366</v>
      </c>
      <c r="F108" s="11" t="s">
        <v>367</v>
      </c>
      <c r="G108" s="10"/>
      <c r="H108" s="10"/>
      <c r="I108" s="10"/>
      <c r="J108" s="10"/>
      <c r="K108" s="10"/>
      <c r="L108" s="10"/>
      <c r="M108" s="10"/>
      <c r="N108" s="10"/>
      <c r="O108" s="10"/>
      <c r="P108" s="3"/>
      <c r="Q108" s="12"/>
      <c r="R108" s="12"/>
      <c r="S108" s="3"/>
      <c r="T108" s="3"/>
    </row>
    <row r="109">
      <c r="A109" s="9">
        <v>160.0</v>
      </c>
      <c r="B109" s="11" t="s">
        <v>368</v>
      </c>
      <c r="C109" s="11" t="s">
        <v>369</v>
      </c>
      <c r="D109" s="10"/>
      <c r="E109" s="11" t="s">
        <v>370</v>
      </c>
      <c r="F109" s="11" t="s">
        <v>371</v>
      </c>
      <c r="G109" s="10"/>
      <c r="H109" s="10"/>
      <c r="I109" s="10"/>
      <c r="J109" s="10"/>
      <c r="K109" s="10"/>
      <c r="L109" s="10"/>
      <c r="M109" s="10"/>
      <c r="N109" s="10"/>
      <c r="O109" s="10"/>
      <c r="P109" s="12"/>
      <c r="Q109" s="3"/>
      <c r="R109" s="12"/>
      <c r="S109" s="3"/>
      <c r="T109" s="3"/>
    </row>
    <row r="110">
      <c r="A110" s="9">
        <v>162.0</v>
      </c>
      <c r="B110" s="11" t="s">
        <v>372</v>
      </c>
      <c r="C110" s="11" t="s">
        <v>373</v>
      </c>
      <c r="D110" s="10"/>
      <c r="E110" s="11" t="s">
        <v>374</v>
      </c>
      <c r="F110" s="11" t="s">
        <v>375</v>
      </c>
      <c r="G110" s="10"/>
      <c r="H110" s="10"/>
      <c r="I110" s="10"/>
      <c r="J110" s="10"/>
      <c r="K110" s="10"/>
      <c r="L110" s="10"/>
      <c r="M110" s="10"/>
      <c r="N110" s="10"/>
      <c r="O110" s="10"/>
      <c r="P110" s="12"/>
      <c r="Q110" s="12"/>
      <c r="R110" s="3"/>
      <c r="S110" s="3"/>
      <c r="T110" s="3"/>
    </row>
    <row r="111">
      <c r="A111" s="9">
        <v>163.0</v>
      </c>
      <c r="B111" s="11" t="s">
        <v>376</v>
      </c>
      <c r="C111" s="11" t="s">
        <v>377</v>
      </c>
      <c r="D111" s="10"/>
      <c r="E111" s="11" t="s">
        <v>378</v>
      </c>
      <c r="F111" s="11" t="s">
        <v>379</v>
      </c>
      <c r="G111" s="10"/>
      <c r="H111" s="10"/>
      <c r="I111" s="10"/>
      <c r="J111" s="10"/>
      <c r="K111" s="10"/>
      <c r="L111" s="10"/>
      <c r="M111" s="10"/>
      <c r="N111" s="10"/>
      <c r="O111" s="10"/>
      <c r="P111" s="12"/>
      <c r="Q111" s="3"/>
      <c r="R111" s="12"/>
      <c r="S111" s="3"/>
      <c r="T111" s="3"/>
    </row>
    <row r="112">
      <c r="A112" s="9">
        <v>164.0</v>
      </c>
      <c r="B112" s="11" t="s">
        <v>380</v>
      </c>
      <c r="C112" s="11" t="s">
        <v>381</v>
      </c>
      <c r="D112" s="10"/>
      <c r="E112" s="11" t="s">
        <v>382</v>
      </c>
      <c r="F112" s="11" t="s">
        <v>383</v>
      </c>
      <c r="G112" s="10"/>
      <c r="H112" s="10"/>
      <c r="I112" s="10"/>
      <c r="J112" s="10"/>
      <c r="K112" s="10"/>
      <c r="L112" s="10"/>
      <c r="M112" s="10"/>
      <c r="N112" s="10"/>
      <c r="O112" s="10"/>
      <c r="P112" s="3"/>
      <c r="Q112" s="12"/>
      <c r="R112" s="12"/>
      <c r="S112" s="3"/>
      <c r="T112" s="3"/>
    </row>
    <row r="113">
      <c r="A113" s="9">
        <v>165.0</v>
      </c>
      <c r="B113" s="10"/>
      <c r="C113" s="10"/>
      <c r="D113" s="11" t="s">
        <v>384</v>
      </c>
      <c r="E113" s="10"/>
      <c r="F113" s="10"/>
      <c r="G113" s="11" t="s">
        <v>385</v>
      </c>
      <c r="H113" s="10"/>
      <c r="I113" s="10"/>
      <c r="J113" s="10"/>
      <c r="K113" s="10"/>
      <c r="L113" s="10"/>
      <c r="M113" s="10"/>
      <c r="N113" s="10"/>
      <c r="O113" s="10"/>
      <c r="P113" s="12"/>
      <c r="Q113" s="3"/>
      <c r="R113" s="12"/>
      <c r="S113" s="3"/>
      <c r="T113" s="3"/>
    </row>
    <row r="114">
      <c r="A114" s="9">
        <v>166.0</v>
      </c>
      <c r="B114" s="11" t="s">
        <v>386</v>
      </c>
      <c r="C114" s="11" t="s">
        <v>387</v>
      </c>
      <c r="D114" s="10"/>
      <c r="E114" s="10"/>
      <c r="F114" s="10"/>
      <c r="G114" s="11" t="s">
        <v>388</v>
      </c>
      <c r="H114" s="10"/>
      <c r="I114" s="10"/>
      <c r="J114" s="10"/>
      <c r="K114" s="10"/>
      <c r="L114" s="10"/>
      <c r="M114" s="10"/>
      <c r="N114" s="10"/>
      <c r="O114" s="10"/>
      <c r="P114" s="12"/>
      <c r="Q114" s="3"/>
      <c r="R114" s="12"/>
      <c r="S114" s="3"/>
      <c r="T114" s="3"/>
    </row>
    <row r="115">
      <c r="A115" s="9">
        <v>167.0</v>
      </c>
      <c r="B115" s="10"/>
      <c r="C115" s="10"/>
      <c r="D115" s="11" t="s">
        <v>389</v>
      </c>
      <c r="E115" s="10"/>
      <c r="F115" s="10"/>
      <c r="G115" s="11" t="s">
        <v>390</v>
      </c>
      <c r="H115" s="10"/>
      <c r="I115" s="10"/>
      <c r="J115" s="10"/>
      <c r="K115" s="10"/>
      <c r="L115" s="10"/>
      <c r="M115" s="10"/>
      <c r="N115" s="10"/>
      <c r="O115" s="10"/>
      <c r="P115" s="12"/>
      <c r="Q115" s="3"/>
      <c r="R115" s="12"/>
      <c r="S115" s="3"/>
      <c r="T115" s="3"/>
    </row>
    <row r="116">
      <c r="A116" s="9">
        <v>168.0</v>
      </c>
      <c r="B116" s="11" t="s">
        <v>391</v>
      </c>
      <c r="C116" s="11" t="s">
        <v>392</v>
      </c>
      <c r="D116" s="10"/>
      <c r="E116" s="10"/>
      <c r="F116" s="10"/>
      <c r="G116" s="11" t="s">
        <v>393</v>
      </c>
      <c r="H116" s="10"/>
      <c r="I116" s="10"/>
      <c r="J116" s="10"/>
      <c r="K116" s="10"/>
      <c r="L116" s="10"/>
      <c r="M116" s="10"/>
      <c r="N116" s="10"/>
      <c r="O116" s="10"/>
      <c r="P116" s="12"/>
      <c r="Q116" s="12"/>
      <c r="R116" s="3"/>
      <c r="S116" s="3"/>
      <c r="T116" s="3"/>
    </row>
    <row r="117">
      <c r="A117" s="9">
        <v>170.0</v>
      </c>
      <c r="B117" s="11" t="s">
        <v>394</v>
      </c>
      <c r="C117" s="11" t="s">
        <v>395</v>
      </c>
      <c r="D117" s="10"/>
      <c r="E117" s="10"/>
      <c r="F117" s="10"/>
      <c r="G117" s="11" t="s">
        <v>396</v>
      </c>
      <c r="H117" s="10"/>
      <c r="I117" s="10"/>
      <c r="J117" s="10"/>
      <c r="K117" s="10"/>
      <c r="L117" s="10"/>
      <c r="M117" s="10"/>
      <c r="N117" s="10"/>
      <c r="O117" s="10"/>
      <c r="P117" s="3"/>
      <c r="Q117" s="12"/>
      <c r="R117" s="12"/>
      <c r="S117" s="3"/>
      <c r="T117" s="3"/>
    </row>
    <row r="118">
      <c r="A118" s="9">
        <v>171.0</v>
      </c>
      <c r="B118" s="11" t="s">
        <v>397</v>
      </c>
      <c r="C118" s="11" t="s">
        <v>398</v>
      </c>
      <c r="D118" s="10"/>
      <c r="E118" s="11" t="s">
        <v>399</v>
      </c>
      <c r="F118" s="11" t="s">
        <v>400</v>
      </c>
      <c r="G118" s="10"/>
      <c r="H118" s="10"/>
      <c r="I118" s="10"/>
      <c r="J118" s="10"/>
      <c r="K118" s="10"/>
      <c r="L118" s="10"/>
      <c r="M118" s="10"/>
      <c r="N118" s="10"/>
      <c r="O118" s="10"/>
      <c r="P118" s="12"/>
      <c r="Q118" s="12"/>
      <c r="R118" s="3"/>
      <c r="S118" s="3"/>
      <c r="T118" s="3"/>
    </row>
    <row r="119">
      <c r="A119" s="9">
        <v>172.0</v>
      </c>
      <c r="B119" s="11" t="s">
        <v>401</v>
      </c>
      <c r="C119" s="11" t="s">
        <v>402</v>
      </c>
      <c r="D119" s="10"/>
      <c r="E119" s="10"/>
      <c r="F119" s="10"/>
      <c r="G119" s="11" t="s">
        <v>403</v>
      </c>
      <c r="H119" s="10"/>
      <c r="I119" s="10"/>
      <c r="J119" s="10"/>
      <c r="K119" s="10"/>
      <c r="L119" s="10"/>
      <c r="M119" s="10"/>
      <c r="N119" s="10"/>
      <c r="O119" s="10"/>
      <c r="P119" s="12"/>
      <c r="Q119" s="12"/>
      <c r="R119" s="3"/>
      <c r="S119" s="3"/>
      <c r="T119" s="3"/>
    </row>
    <row r="120">
      <c r="A120" s="9">
        <v>174.0</v>
      </c>
      <c r="B120" s="11" t="s">
        <v>404</v>
      </c>
      <c r="C120" s="11" t="s">
        <v>405</v>
      </c>
      <c r="D120" s="10"/>
      <c r="E120" s="11" t="s">
        <v>406</v>
      </c>
      <c r="F120" s="11" t="s">
        <v>407</v>
      </c>
      <c r="G120" s="10"/>
      <c r="H120" s="10"/>
      <c r="I120" s="10"/>
      <c r="J120" s="10"/>
      <c r="K120" s="10"/>
      <c r="L120" s="10"/>
      <c r="M120" s="10"/>
      <c r="N120" s="10"/>
      <c r="O120" s="10"/>
      <c r="P120" s="12"/>
      <c r="Q120" s="12"/>
      <c r="R120" s="3"/>
      <c r="S120" s="3"/>
      <c r="T120" s="3"/>
    </row>
    <row r="121">
      <c r="A121" s="9">
        <v>175.0</v>
      </c>
      <c r="B121" s="10"/>
      <c r="C121" s="10"/>
      <c r="D121" s="11" t="s">
        <v>408</v>
      </c>
      <c r="E121" s="10"/>
      <c r="F121" s="10"/>
      <c r="G121" s="11" t="s">
        <v>409</v>
      </c>
      <c r="H121" s="10"/>
      <c r="I121" s="10"/>
      <c r="J121" s="10"/>
      <c r="K121" s="10"/>
      <c r="L121" s="10"/>
      <c r="M121" s="10"/>
      <c r="N121" s="10"/>
      <c r="O121" s="10"/>
      <c r="P121" s="12"/>
      <c r="Q121" s="12"/>
      <c r="R121" s="3"/>
      <c r="S121" s="3"/>
      <c r="T121" s="3"/>
    </row>
    <row r="122">
      <c r="A122" s="9">
        <v>177.0</v>
      </c>
      <c r="B122" s="11" t="s">
        <v>410</v>
      </c>
      <c r="C122" s="11" t="s">
        <v>411</v>
      </c>
      <c r="D122" s="10"/>
      <c r="E122" s="10"/>
      <c r="F122" s="10"/>
      <c r="G122" s="11" t="s">
        <v>412</v>
      </c>
      <c r="H122" s="10"/>
      <c r="I122" s="10"/>
      <c r="J122" s="10"/>
      <c r="K122" s="10"/>
      <c r="L122" s="10"/>
      <c r="M122" s="10"/>
      <c r="N122" s="10"/>
      <c r="O122" s="10"/>
      <c r="P122" s="12"/>
      <c r="Q122" s="12"/>
      <c r="R122" s="3"/>
      <c r="S122" s="3"/>
      <c r="T122" s="3"/>
    </row>
    <row r="123">
      <c r="A123" s="9">
        <v>179.0</v>
      </c>
      <c r="B123" s="11" t="s">
        <v>413</v>
      </c>
      <c r="C123" s="11" t="s">
        <v>414</v>
      </c>
      <c r="D123" s="10"/>
      <c r="E123" s="10"/>
      <c r="F123" s="10"/>
      <c r="G123" s="11" t="s">
        <v>415</v>
      </c>
      <c r="H123" s="10"/>
      <c r="I123" s="10"/>
      <c r="J123" s="10"/>
      <c r="K123" s="10"/>
      <c r="L123" s="10"/>
      <c r="M123" s="10"/>
      <c r="N123" s="10"/>
      <c r="O123" s="10"/>
      <c r="P123" s="12"/>
      <c r="Q123" s="3"/>
      <c r="R123" s="12"/>
      <c r="S123" s="3"/>
      <c r="T123" s="3"/>
    </row>
    <row r="124">
      <c r="A124" s="9">
        <v>180.0</v>
      </c>
      <c r="B124" s="11" t="s">
        <v>416</v>
      </c>
      <c r="C124" s="11" t="s">
        <v>417</v>
      </c>
      <c r="D124" s="10"/>
      <c r="E124" s="10"/>
      <c r="F124" s="10"/>
      <c r="G124" s="11" t="s">
        <v>418</v>
      </c>
      <c r="H124" s="10"/>
      <c r="I124" s="10"/>
      <c r="J124" s="10"/>
      <c r="K124" s="10"/>
      <c r="L124" s="10"/>
      <c r="M124" s="10"/>
      <c r="N124" s="10"/>
      <c r="O124" s="10"/>
      <c r="P124" s="12"/>
      <c r="Q124" s="12"/>
      <c r="R124" s="3"/>
      <c r="S124" s="3"/>
      <c r="T124" s="3"/>
    </row>
    <row r="125">
      <c r="A125" s="9">
        <v>182.0</v>
      </c>
      <c r="B125" s="11" t="s">
        <v>419</v>
      </c>
      <c r="C125" s="11" t="s">
        <v>420</v>
      </c>
      <c r="D125" s="10"/>
      <c r="E125" s="11" t="s">
        <v>421</v>
      </c>
      <c r="F125" s="11" t="s">
        <v>422</v>
      </c>
      <c r="G125" s="10"/>
      <c r="H125" s="10"/>
      <c r="I125" s="10"/>
      <c r="J125" s="10"/>
      <c r="K125" s="10"/>
      <c r="L125" s="10"/>
      <c r="M125" s="10"/>
      <c r="N125" s="10"/>
      <c r="O125" s="10"/>
      <c r="P125" s="12"/>
      <c r="Q125" s="12"/>
      <c r="R125" s="3"/>
      <c r="S125" s="3"/>
      <c r="T125" s="3"/>
    </row>
    <row r="126">
      <c r="A126" s="9">
        <v>184.0</v>
      </c>
      <c r="B126" s="10"/>
      <c r="C126" s="10"/>
      <c r="D126" s="11" t="s">
        <v>423</v>
      </c>
      <c r="E126" s="10"/>
      <c r="F126" s="10"/>
      <c r="G126" s="11" t="s">
        <v>423</v>
      </c>
      <c r="H126" s="10"/>
      <c r="I126" s="10"/>
      <c r="J126" s="10"/>
      <c r="K126" s="10"/>
      <c r="L126" s="10"/>
      <c r="M126" s="10"/>
      <c r="N126" s="10"/>
      <c r="O126" s="10"/>
      <c r="P126" s="12"/>
      <c r="Q126" s="3"/>
      <c r="R126" s="12"/>
      <c r="S126" s="3"/>
      <c r="T126" s="3"/>
    </row>
    <row r="127">
      <c r="A127" s="9">
        <v>186.0</v>
      </c>
      <c r="B127" s="11" t="s">
        <v>424</v>
      </c>
      <c r="C127" s="11" t="s">
        <v>425</v>
      </c>
      <c r="D127" s="10"/>
      <c r="E127" s="10"/>
      <c r="F127" s="10"/>
      <c r="G127" s="11" t="s">
        <v>426</v>
      </c>
      <c r="H127" s="10"/>
      <c r="I127" s="10"/>
      <c r="J127" s="10"/>
      <c r="K127" s="10"/>
      <c r="L127" s="10"/>
      <c r="M127" s="10"/>
      <c r="N127" s="10"/>
      <c r="O127" s="10"/>
      <c r="P127" s="12"/>
      <c r="Q127" s="12"/>
      <c r="R127" s="3"/>
      <c r="S127" s="3"/>
      <c r="T127" s="3"/>
    </row>
    <row r="128">
      <c r="A128" s="9">
        <v>187.0</v>
      </c>
      <c r="B128" s="11" t="s">
        <v>427</v>
      </c>
      <c r="C128" s="11" t="s">
        <v>428</v>
      </c>
      <c r="D128" s="10"/>
      <c r="E128" s="11" t="s">
        <v>429</v>
      </c>
      <c r="F128" s="11" t="s">
        <v>430</v>
      </c>
      <c r="G128" s="10"/>
      <c r="H128" s="10"/>
      <c r="I128" s="10"/>
      <c r="J128" s="10"/>
      <c r="K128" s="10"/>
      <c r="L128" s="10"/>
      <c r="M128" s="10"/>
      <c r="N128" s="10"/>
      <c r="O128" s="10"/>
      <c r="P128" s="3"/>
      <c r="Q128" s="12"/>
      <c r="R128" s="12"/>
      <c r="S128" s="3"/>
      <c r="T128" s="3"/>
    </row>
    <row r="129">
      <c r="A129" s="9">
        <v>188.0</v>
      </c>
      <c r="B129" s="11" t="s">
        <v>431</v>
      </c>
      <c r="C129" s="11" t="s">
        <v>432</v>
      </c>
      <c r="D129" s="10"/>
      <c r="E129" s="11" t="s">
        <v>433</v>
      </c>
      <c r="F129" s="11" t="s">
        <v>434</v>
      </c>
      <c r="G129" s="10"/>
      <c r="H129" s="10"/>
      <c r="I129" s="10"/>
      <c r="J129" s="10"/>
      <c r="K129" s="10"/>
      <c r="L129" s="10"/>
      <c r="M129" s="10"/>
      <c r="N129" s="10"/>
      <c r="O129" s="10"/>
      <c r="P129" s="3"/>
      <c r="Q129" s="12"/>
      <c r="R129" s="12"/>
      <c r="S129" s="3"/>
      <c r="T129" s="3"/>
    </row>
    <row r="130">
      <c r="A130" s="9">
        <v>189.0</v>
      </c>
      <c r="B130" s="13" t="s">
        <v>306</v>
      </c>
      <c r="C130" s="11" t="s">
        <v>435</v>
      </c>
      <c r="D130" s="10"/>
      <c r="E130" s="10"/>
      <c r="F130" s="10"/>
      <c r="G130" s="11" t="s">
        <v>436</v>
      </c>
      <c r="H130" s="10"/>
      <c r="I130" s="10"/>
      <c r="J130" s="10"/>
      <c r="K130" s="10"/>
      <c r="L130" s="10"/>
      <c r="M130" s="10"/>
      <c r="N130" s="10"/>
      <c r="O130" s="10"/>
      <c r="P130" s="3"/>
      <c r="Q130" s="12"/>
      <c r="R130" s="12"/>
      <c r="S130" s="3"/>
      <c r="T130" s="3"/>
    </row>
    <row r="131">
      <c r="A131" s="9">
        <v>191.0</v>
      </c>
      <c r="B131" s="11" t="s">
        <v>159</v>
      </c>
      <c r="C131" s="11" t="s">
        <v>437</v>
      </c>
      <c r="D131" s="10"/>
      <c r="E131" s="11" t="s">
        <v>438</v>
      </c>
      <c r="F131" s="11" t="s">
        <v>439</v>
      </c>
      <c r="G131" s="10"/>
      <c r="H131" s="10"/>
      <c r="I131" s="10"/>
      <c r="J131" s="10"/>
      <c r="K131" s="10"/>
      <c r="L131" s="10"/>
      <c r="M131" s="10"/>
      <c r="N131" s="10"/>
      <c r="O131" s="10"/>
      <c r="P131" s="12"/>
      <c r="Q131" s="3"/>
      <c r="R131" s="12"/>
      <c r="S131" s="3"/>
      <c r="T131" s="3"/>
    </row>
    <row r="132">
      <c r="A132" s="9">
        <v>192.0</v>
      </c>
      <c r="B132" s="11" t="s">
        <v>440</v>
      </c>
      <c r="C132" s="11" t="s">
        <v>441</v>
      </c>
      <c r="D132" s="10"/>
      <c r="E132" s="10"/>
      <c r="F132" s="10"/>
      <c r="G132" s="11" t="s">
        <v>442</v>
      </c>
      <c r="H132" s="10"/>
      <c r="I132" s="10"/>
      <c r="J132" s="10"/>
      <c r="K132" s="10"/>
      <c r="L132" s="10"/>
      <c r="M132" s="10"/>
      <c r="N132" s="10"/>
      <c r="O132" s="10"/>
      <c r="P132" s="3"/>
      <c r="Q132" s="12"/>
      <c r="R132" s="12"/>
      <c r="S132" s="3"/>
      <c r="T132" s="3"/>
    </row>
    <row r="133">
      <c r="A133" s="9">
        <v>194.0</v>
      </c>
      <c r="B133" s="11" t="s">
        <v>443</v>
      </c>
      <c r="C133" s="11" t="s">
        <v>444</v>
      </c>
      <c r="D133" s="10"/>
      <c r="E133" s="11" t="s">
        <v>445</v>
      </c>
      <c r="F133" s="11" t="s">
        <v>446</v>
      </c>
      <c r="G133" s="10"/>
      <c r="H133" s="10"/>
      <c r="I133" s="10"/>
      <c r="J133" s="10"/>
      <c r="K133" s="10"/>
      <c r="L133" s="10"/>
      <c r="M133" s="10"/>
      <c r="N133" s="10"/>
      <c r="O133" s="10"/>
      <c r="P133" s="12"/>
      <c r="Q133" s="12"/>
      <c r="R133" s="3"/>
      <c r="S133" s="3"/>
      <c r="T133" s="3"/>
    </row>
    <row r="134">
      <c r="A134" s="9">
        <v>195.0</v>
      </c>
      <c r="B134" s="11" t="s">
        <v>419</v>
      </c>
      <c r="C134" s="11" t="s">
        <v>447</v>
      </c>
      <c r="D134" s="10"/>
      <c r="E134" s="11" t="s">
        <v>448</v>
      </c>
      <c r="F134" s="11" t="s">
        <v>449</v>
      </c>
      <c r="G134" s="10"/>
      <c r="H134" s="10"/>
      <c r="I134" s="10"/>
      <c r="J134" s="10"/>
      <c r="K134" s="10"/>
      <c r="L134" s="10"/>
      <c r="M134" s="10"/>
      <c r="N134" s="10"/>
      <c r="O134" s="10"/>
      <c r="P134" s="12"/>
      <c r="Q134" s="12"/>
      <c r="R134" s="3"/>
      <c r="S134" s="3"/>
      <c r="T134" s="3"/>
    </row>
    <row r="135">
      <c r="A135" s="9">
        <v>198.0</v>
      </c>
      <c r="B135" s="11" t="s">
        <v>260</v>
      </c>
      <c r="C135" s="11" t="s">
        <v>319</v>
      </c>
      <c r="D135" s="10"/>
      <c r="E135" s="11" t="s">
        <v>450</v>
      </c>
      <c r="F135" s="11" t="s">
        <v>451</v>
      </c>
      <c r="G135" s="10"/>
      <c r="H135" s="10"/>
      <c r="I135" s="10"/>
      <c r="J135" s="10"/>
      <c r="K135" s="10"/>
      <c r="L135" s="10"/>
      <c r="M135" s="10"/>
      <c r="N135" s="10"/>
      <c r="O135" s="10"/>
      <c r="P135" s="12"/>
      <c r="Q135" s="3"/>
      <c r="R135" s="12"/>
      <c r="S135" s="3"/>
      <c r="T135" s="3"/>
    </row>
    <row r="136">
      <c r="A136" s="9">
        <v>199.0</v>
      </c>
      <c r="B136" s="11" t="s">
        <v>452</v>
      </c>
      <c r="C136" s="11" t="s">
        <v>453</v>
      </c>
      <c r="D136" s="10"/>
      <c r="E136" s="11" t="s">
        <v>454</v>
      </c>
      <c r="F136" s="11" t="s">
        <v>455</v>
      </c>
      <c r="G136" s="10"/>
      <c r="H136" s="10"/>
      <c r="I136" s="10"/>
      <c r="J136" s="10"/>
      <c r="K136" s="10"/>
      <c r="L136" s="10"/>
      <c r="M136" s="10"/>
      <c r="N136" s="10"/>
      <c r="O136" s="10"/>
      <c r="P136" s="12"/>
      <c r="Q136" s="12"/>
      <c r="R136" s="3"/>
      <c r="S136" s="3"/>
      <c r="T136" s="3"/>
    </row>
    <row r="137">
      <c r="A137" s="9">
        <v>200.0</v>
      </c>
      <c r="B137" s="11" t="s">
        <v>456</v>
      </c>
      <c r="C137" s="11" t="s">
        <v>457</v>
      </c>
      <c r="D137" s="10"/>
      <c r="E137" s="11" t="s">
        <v>458</v>
      </c>
      <c r="F137" s="11" t="s">
        <v>459</v>
      </c>
      <c r="G137" s="10"/>
      <c r="H137" s="10"/>
      <c r="I137" s="10"/>
      <c r="J137" s="10"/>
      <c r="K137" s="10"/>
      <c r="L137" s="10"/>
      <c r="M137" s="10"/>
      <c r="N137" s="10"/>
      <c r="O137" s="10"/>
      <c r="P137" s="12"/>
      <c r="Q137" s="12"/>
      <c r="R137" s="3"/>
      <c r="S137" s="3"/>
      <c r="T137" s="3"/>
    </row>
    <row r="138">
      <c r="A138" s="9">
        <v>201.0</v>
      </c>
      <c r="B138" s="11" t="s">
        <v>460</v>
      </c>
      <c r="C138" s="11" t="s">
        <v>461</v>
      </c>
      <c r="D138" s="10"/>
      <c r="E138" s="11" t="s">
        <v>462</v>
      </c>
      <c r="F138" s="11" t="s">
        <v>463</v>
      </c>
      <c r="G138" s="10"/>
      <c r="H138" s="10"/>
      <c r="I138" s="10"/>
      <c r="J138" s="10"/>
      <c r="K138" s="10"/>
      <c r="L138" s="10"/>
      <c r="M138" s="10"/>
      <c r="N138" s="10"/>
      <c r="O138" s="10"/>
      <c r="P138" s="3"/>
      <c r="Q138" s="12"/>
      <c r="R138" s="12"/>
      <c r="S138" s="3"/>
      <c r="T138" s="3"/>
    </row>
    <row r="139">
      <c r="A139" s="9">
        <v>202.0</v>
      </c>
      <c r="B139" s="11" t="s">
        <v>464</v>
      </c>
      <c r="C139" s="11" t="s">
        <v>465</v>
      </c>
      <c r="D139" s="10"/>
      <c r="E139" s="10"/>
      <c r="F139" s="10"/>
      <c r="G139" s="11" t="s">
        <v>466</v>
      </c>
      <c r="H139" s="10"/>
      <c r="I139" s="10"/>
      <c r="J139" s="10"/>
      <c r="K139" s="10"/>
      <c r="L139" s="10"/>
      <c r="M139" s="10"/>
      <c r="N139" s="10"/>
      <c r="O139" s="10"/>
      <c r="P139" s="12"/>
      <c r="Q139" s="12"/>
      <c r="R139" s="3"/>
      <c r="S139" s="3"/>
      <c r="T139" s="3"/>
    </row>
    <row r="140">
      <c r="A140" s="9">
        <v>203.0</v>
      </c>
      <c r="B140" s="11" t="s">
        <v>467</v>
      </c>
      <c r="C140" s="11" t="s">
        <v>468</v>
      </c>
      <c r="D140" s="10"/>
      <c r="E140" s="11" t="s">
        <v>469</v>
      </c>
      <c r="F140" s="11" t="s">
        <v>470</v>
      </c>
      <c r="G140" s="10"/>
      <c r="H140" s="10"/>
      <c r="I140" s="10"/>
      <c r="J140" s="10"/>
      <c r="K140" s="10"/>
      <c r="L140" s="10"/>
      <c r="M140" s="10"/>
      <c r="N140" s="10"/>
      <c r="O140" s="10"/>
      <c r="P140" s="12"/>
      <c r="Q140" s="3"/>
      <c r="R140" s="12"/>
      <c r="S140" s="3"/>
      <c r="T140" s="3"/>
    </row>
    <row r="141">
      <c r="A141" s="9">
        <v>204.0</v>
      </c>
      <c r="B141" s="11" t="s">
        <v>471</v>
      </c>
      <c r="C141" s="11" t="s">
        <v>472</v>
      </c>
      <c r="D141" s="10"/>
      <c r="E141" s="10"/>
      <c r="F141" s="10"/>
      <c r="G141" s="11" t="s">
        <v>473</v>
      </c>
      <c r="H141" s="10"/>
      <c r="I141" s="10"/>
      <c r="J141" s="10"/>
      <c r="K141" s="10"/>
      <c r="L141" s="10"/>
      <c r="M141" s="10"/>
      <c r="N141" s="10"/>
      <c r="O141" s="10"/>
      <c r="P141" s="12"/>
      <c r="Q141" s="12"/>
      <c r="R141" s="3"/>
      <c r="S141" s="3"/>
      <c r="T141" s="3"/>
    </row>
    <row r="142">
      <c r="A142" s="9">
        <v>207.0</v>
      </c>
      <c r="B142" s="11" t="s">
        <v>228</v>
      </c>
      <c r="C142" s="11" t="s">
        <v>474</v>
      </c>
      <c r="D142" s="10"/>
      <c r="E142" s="11" t="s">
        <v>475</v>
      </c>
      <c r="F142" s="11" t="s">
        <v>476</v>
      </c>
      <c r="G142" s="10"/>
      <c r="H142" s="10"/>
      <c r="I142" s="10"/>
      <c r="J142" s="10"/>
      <c r="K142" s="10"/>
      <c r="L142" s="10"/>
      <c r="M142" s="10"/>
      <c r="N142" s="10"/>
      <c r="O142" s="10"/>
      <c r="P142" s="12"/>
      <c r="Q142" s="12"/>
      <c r="R142" s="3"/>
      <c r="S142" s="3"/>
      <c r="T142" s="3"/>
    </row>
    <row r="143">
      <c r="A143" s="9">
        <v>208.0</v>
      </c>
      <c r="B143" s="11" t="s">
        <v>477</v>
      </c>
      <c r="C143" s="11" t="s">
        <v>478</v>
      </c>
      <c r="D143" s="10"/>
      <c r="E143" s="10"/>
      <c r="F143" s="10"/>
      <c r="G143" s="11" t="s">
        <v>479</v>
      </c>
      <c r="H143" s="10"/>
      <c r="I143" s="10"/>
      <c r="J143" s="10"/>
      <c r="K143" s="10"/>
      <c r="L143" s="10"/>
      <c r="M143" s="10"/>
      <c r="N143" s="10"/>
      <c r="O143" s="10"/>
      <c r="P143" s="12"/>
      <c r="Q143" s="3"/>
      <c r="R143" s="12"/>
      <c r="S143" s="3"/>
      <c r="T143" s="3"/>
    </row>
    <row r="144">
      <c r="A144" s="9">
        <v>209.0</v>
      </c>
      <c r="B144" s="11" t="s">
        <v>480</v>
      </c>
      <c r="C144" s="11" t="s">
        <v>481</v>
      </c>
      <c r="D144" s="10"/>
      <c r="E144" s="11" t="s">
        <v>482</v>
      </c>
      <c r="F144" s="11" t="s">
        <v>483</v>
      </c>
      <c r="G144" s="10"/>
      <c r="H144" s="10"/>
      <c r="I144" s="10"/>
      <c r="J144" s="10"/>
      <c r="K144" s="10"/>
      <c r="L144" s="10"/>
      <c r="M144" s="10"/>
      <c r="N144" s="10"/>
      <c r="O144" s="10"/>
      <c r="P144" s="12"/>
      <c r="Q144" s="3"/>
      <c r="R144" s="12"/>
      <c r="S144" s="3"/>
      <c r="T144" s="3"/>
    </row>
    <row r="145">
      <c r="A145" s="9">
        <v>210.0</v>
      </c>
      <c r="B145" s="11" t="s">
        <v>484</v>
      </c>
      <c r="C145" s="11" t="s">
        <v>485</v>
      </c>
      <c r="D145" s="10"/>
      <c r="E145" s="11" t="s">
        <v>486</v>
      </c>
      <c r="F145" s="11" t="s">
        <v>487</v>
      </c>
      <c r="G145" s="10"/>
      <c r="H145" s="10"/>
      <c r="I145" s="10"/>
      <c r="J145" s="10"/>
      <c r="K145" s="10"/>
      <c r="L145" s="10"/>
      <c r="M145" s="10"/>
      <c r="N145" s="10"/>
      <c r="O145" s="10"/>
      <c r="P145" s="12"/>
      <c r="Q145" s="12"/>
      <c r="R145" s="3"/>
      <c r="S145" s="3"/>
      <c r="T145" s="3"/>
    </row>
    <row r="146">
      <c r="A146" s="9">
        <v>212.0</v>
      </c>
      <c r="B146" s="11" t="s">
        <v>488</v>
      </c>
      <c r="C146" s="11" t="s">
        <v>188</v>
      </c>
      <c r="D146" s="10"/>
      <c r="E146" s="11" t="s">
        <v>489</v>
      </c>
      <c r="F146" s="11" t="s">
        <v>227</v>
      </c>
      <c r="G146" s="10"/>
      <c r="H146" s="10"/>
      <c r="I146" s="10"/>
      <c r="J146" s="10"/>
      <c r="K146" s="10"/>
      <c r="L146" s="10"/>
      <c r="M146" s="10"/>
      <c r="N146" s="10"/>
      <c r="O146" s="10"/>
      <c r="P146" s="3"/>
      <c r="Q146" s="12"/>
      <c r="R146" s="12"/>
      <c r="S146" s="3"/>
      <c r="T146" s="3"/>
    </row>
    <row r="147">
      <c r="A147" s="9">
        <v>213.0</v>
      </c>
      <c r="B147" s="11" t="s">
        <v>490</v>
      </c>
      <c r="C147" s="11" t="s">
        <v>491</v>
      </c>
      <c r="D147" s="10"/>
      <c r="E147" s="11" t="s">
        <v>492</v>
      </c>
      <c r="F147" s="11" t="s">
        <v>493</v>
      </c>
      <c r="G147" s="10"/>
      <c r="H147" s="10"/>
      <c r="I147" s="10"/>
      <c r="J147" s="10"/>
      <c r="K147" s="10"/>
      <c r="L147" s="10"/>
      <c r="M147" s="10"/>
      <c r="N147" s="10"/>
      <c r="O147" s="10"/>
      <c r="P147" s="12"/>
      <c r="Q147" s="12"/>
      <c r="R147" s="3"/>
      <c r="S147" s="3"/>
      <c r="T147" s="3"/>
    </row>
    <row r="148">
      <c r="A148" s="9">
        <v>214.0</v>
      </c>
      <c r="B148" s="10"/>
      <c r="C148" s="10"/>
      <c r="D148" s="11" t="s">
        <v>494</v>
      </c>
      <c r="E148" s="10"/>
      <c r="F148" s="10"/>
      <c r="G148" s="11" t="s">
        <v>495</v>
      </c>
      <c r="H148" s="10"/>
      <c r="I148" s="10"/>
      <c r="J148" s="10"/>
      <c r="K148" s="10"/>
      <c r="L148" s="10"/>
      <c r="M148" s="10"/>
      <c r="N148" s="10"/>
      <c r="O148" s="10"/>
      <c r="P148" s="3"/>
      <c r="Q148" s="12"/>
      <c r="R148" s="12"/>
      <c r="S148" s="3"/>
      <c r="T148" s="3"/>
    </row>
    <row r="149">
      <c r="A149" s="9">
        <v>215.0</v>
      </c>
      <c r="B149" s="11" t="s">
        <v>496</v>
      </c>
      <c r="C149" s="11" t="s">
        <v>497</v>
      </c>
      <c r="D149" s="10"/>
      <c r="E149" s="10"/>
      <c r="F149" s="10"/>
      <c r="G149" s="11" t="s">
        <v>498</v>
      </c>
      <c r="H149" s="10"/>
      <c r="I149" s="10"/>
      <c r="J149" s="10"/>
      <c r="K149" s="10"/>
      <c r="L149" s="10"/>
      <c r="M149" s="10"/>
      <c r="N149" s="10"/>
      <c r="O149" s="10"/>
      <c r="P149" s="3"/>
      <c r="Q149" s="12"/>
      <c r="R149" s="12"/>
      <c r="S149" s="3"/>
      <c r="T149" s="3"/>
    </row>
    <row r="150">
      <c r="A150" s="9">
        <v>216.0</v>
      </c>
      <c r="B150" s="13" t="s">
        <v>499</v>
      </c>
      <c r="C150" s="11" t="s">
        <v>500</v>
      </c>
      <c r="D150" s="10"/>
      <c r="E150" s="10"/>
      <c r="F150" s="10"/>
      <c r="G150" s="11" t="s">
        <v>501</v>
      </c>
      <c r="H150" s="10"/>
      <c r="I150" s="10"/>
      <c r="J150" s="10"/>
      <c r="K150" s="10"/>
      <c r="L150" s="10"/>
      <c r="M150" s="10"/>
      <c r="N150" s="10"/>
      <c r="O150" s="10"/>
      <c r="P150" s="3"/>
      <c r="Q150" s="12"/>
      <c r="R150" s="12"/>
      <c r="S150" s="3"/>
      <c r="T150" s="3"/>
    </row>
    <row r="151">
      <c r="A151" s="9">
        <v>217.0</v>
      </c>
      <c r="B151" s="11" t="s">
        <v>502</v>
      </c>
      <c r="C151" s="11" t="s">
        <v>503</v>
      </c>
      <c r="D151" s="10"/>
      <c r="E151" s="10"/>
      <c r="F151" s="10"/>
      <c r="G151" s="11" t="s">
        <v>504</v>
      </c>
      <c r="H151" s="10"/>
      <c r="I151" s="10"/>
      <c r="J151" s="10"/>
      <c r="K151" s="10"/>
      <c r="L151" s="10"/>
      <c r="M151" s="10"/>
      <c r="N151" s="10"/>
      <c r="O151" s="10"/>
      <c r="P151" s="12"/>
      <c r="Q151" s="3"/>
      <c r="R151" s="12"/>
      <c r="S151" s="3"/>
      <c r="T151" s="3"/>
    </row>
    <row r="152">
      <c r="A152" s="9">
        <v>220.0</v>
      </c>
      <c r="B152" s="11" t="s">
        <v>505</v>
      </c>
      <c r="C152" s="11" t="s">
        <v>506</v>
      </c>
      <c r="D152" s="10"/>
      <c r="E152" s="11" t="s">
        <v>507</v>
      </c>
      <c r="F152" s="11" t="s">
        <v>508</v>
      </c>
      <c r="G152" s="10"/>
      <c r="H152" s="10"/>
      <c r="I152" s="10"/>
      <c r="J152" s="10"/>
      <c r="K152" s="10"/>
      <c r="L152" s="10"/>
      <c r="M152" s="10"/>
      <c r="N152" s="10"/>
      <c r="O152" s="10"/>
      <c r="P152" s="12"/>
      <c r="Q152" s="12"/>
      <c r="R152" s="3"/>
      <c r="S152" s="3"/>
      <c r="T152" s="3"/>
    </row>
    <row r="153">
      <c r="A153" s="9">
        <v>221.0</v>
      </c>
      <c r="B153" s="11" t="s">
        <v>509</v>
      </c>
      <c r="C153" s="11" t="s">
        <v>510</v>
      </c>
      <c r="D153" s="10"/>
      <c r="E153" s="11" t="s">
        <v>511</v>
      </c>
      <c r="F153" s="11" t="s">
        <v>512</v>
      </c>
      <c r="G153" s="10"/>
      <c r="H153" s="10"/>
      <c r="I153" s="10"/>
      <c r="J153" s="10"/>
      <c r="K153" s="10"/>
      <c r="L153" s="10"/>
      <c r="M153" s="10"/>
      <c r="N153" s="10"/>
      <c r="O153" s="10"/>
      <c r="P153" s="3"/>
      <c r="Q153" s="12"/>
      <c r="R153" s="12"/>
      <c r="S153" s="3"/>
      <c r="T153" s="3"/>
    </row>
    <row r="154">
      <c r="A154" s="9">
        <v>222.0</v>
      </c>
      <c r="B154" s="11" t="s">
        <v>260</v>
      </c>
      <c r="C154" s="11" t="s">
        <v>513</v>
      </c>
      <c r="D154" s="10"/>
      <c r="E154" s="11" t="s">
        <v>514</v>
      </c>
      <c r="F154" s="11" t="s">
        <v>515</v>
      </c>
      <c r="G154" s="10"/>
      <c r="H154" s="10"/>
      <c r="I154" s="10"/>
      <c r="J154" s="10"/>
      <c r="K154" s="10"/>
      <c r="L154" s="10"/>
      <c r="M154" s="10"/>
      <c r="N154" s="10"/>
      <c r="O154" s="10"/>
      <c r="P154" s="3"/>
      <c r="Q154" s="12"/>
      <c r="R154" s="12"/>
      <c r="S154" s="3"/>
      <c r="T154" s="3"/>
    </row>
    <row r="155">
      <c r="A155" s="9">
        <v>223.0</v>
      </c>
      <c r="B155" s="11" t="s">
        <v>516</v>
      </c>
      <c r="C155" s="11" t="s">
        <v>517</v>
      </c>
      <c r="D155" s="10"/>
      <c r="E155" s="10"/>
      <c r="F155" s="10"/>
      <c r="G155" s="11" t="s">
        <v>518</v>
      </c>
      <c r="H155" s="10"/>
      <c r="I155" s="10"/>
      <c r="J155" s="10"/>
      <c r="K155" s="10"/>
      <c r="L155" s="10"/>
      <c r="M155" s="10"/>
      <c r="N155" s="10"/>
      <c r="O155" s="10"/>
      <c r="P155" s="12"/>
      <c r="Q155" s="3"/>
      <c r="R155" s="12"/>
      <c r="S155" s="3"/>
      <c r="T155" s="3"/>
    </row>
    <row r="156">
      <c r="A156" s="9">
        <v>225.0</v>
      </c>
      <c r="B156" s="11" t="s">
        <v>519</v>
      </c>
      <c r="C156" s="11" t="s">
        <v>520</v>
      </c>
      <c r="D156" s="15"/>
      <c r="E156" s="10"/>
      <c r="F156" s="10"/>
      <c r="G156" s="11" t="s">
        <v>521</v>
      </c>
      <c r="H156" s="15"/>
      <c r="I156" s="15"/>
      <c r="J156" s="15"/>
      <c r="K156" s="15"/>
      <c r="L156" s="15"/>
      <c r="M156" s="15"/>
      <c r="N156" s="15"/>
      <c r="O156" s="15"/>
      <c r="P156" s="12"/>
      <c r="Q156" s="12"/>
      <c r="R156" s="12"/>
      <c r="S156" s="12"/>
      <c r="T156" s="12"/>
    </row>
    <row r="157">
      <c r="A157" s="9">
        <v>226.0</v>
      </c>
      <c r="B157" s="11" t="s">
        <v>522</v>
      </c>
      <c r="C157" s="11" t="s">
        <v>523</v>
      </c>
      <c r="D157" s="15"/>
      <c r="E157" s="11" t="s">
        <v>524</v>
      </c>
      <c r="F157" s="11" t="s">
        <v>525</v>
      </c>
      <c r="G157" s="15"/>
      <c r="H157" s="15"/>
      <c r="I157" s="15"/>
      <c r="J157" s="15"/>
      <c r="K157" s="15"/>
      <c r="L157" s="15"/>
      <c r="M157" s="15"/>
      <c r="N157" s="15"/>
      <c r="O157" s="15"/>
      <c r="P157" s="12"/>
      <c r="Q157" s="12"/>
      <c r="R157" s="12"/>
      <c r="S157" s="12"/>
      <c r="T157" s="12"/>
    </row>
    <row r="158">
      <c r="A158" s="9">
        <v>228.0</v>
      </c>
      <c r="B158" s="11" t="s">
        <v>526</v>
      </c>
      <c r="C158" s="11" t="s">
        <v>527</v>
      </c>
      <c r="D158" s="15"/>
      <c r="E158" s="11" t="s">
        <v>528</v>
      </c>
      <c r="F158" s="11" t="s">
        <v>529</v>
      </c>
      <c r="G158" s="15"/>
      <c r="H158" s="15"/>
      <c r="I158" s="15"/>
      <c r="J158" s="15"/>
      <c r="K158" s="15"/>
      <c r="L158" s="15"/>
      <c r="M158" s="15"/>
      <c r="N158" s="15"/>
      <c r="O158" s="15"/>
      <c r="P158" s="12"/>
      <c r="Q158" s="12"/>
      <c r="R158" s="12"/>
      <c r="S158" s="12"/>
      <c r="T158" s="12"/>
    </row>
    <row r="159">
      <c r="A159" s="9">
        <v>230.0</v>
      </c>
      <c r="B159" s="11" t="s">
        <v>530</v>
      </c>
      <c r="C159" s="11" t="s">
        <v>531</v>
      </c>
      <c r="D159" s="15"/>
      <c r="E159" s="15"/>
      <c r="F159" s="10"/>
      <c r="G159" s="11" t="s">
        <v>532</v>
      </c>
      <c r="H159" s="15"/>
      <c r="I159" s="15"/>
      <c r="J159" s="15"/>
      <c r="K159" s="15"/>
      <c r="L159" s="15"/>
      <c r="M159" s="15"/>
      <c r="N159" s="15"/>
      <c r="O159" s="15"/>
      <c r="P159" s="12"/>
      <c r="Q159" s="12"/>
      <c r="R159" s="12"/>
      <c r="S159" s="12"/>
      <c r="T159" s="12"/>
    </row>
    <row r="160">
      <c r="A160" s="9">
        <v>231.0</v>
      </c>
      <c r="B160" s="11" t="s">
        <v>533</v>
      </c>
      <c r="C160" s="11" t="s">
        <v>534</v>
      </c>
      <c r="D160" s="15"/>
      <c r="E160" s="11" t="s">
        <v>535</v>
      </c>
      <c r="F160" s="11" t="s">
        <v>536</v>
      </c>
      <c r="G160" s="15"/>
      <c r="H160" s="15"/>
      <c r="I160" s="15"/>
      <c r="J160" s="15"/>
      <c r="K160" s="15"/>
      <c r="L160" s="15"/>
      <c r="M160" s="15"/>
      <c r="N160" s="15"/>
      <c r="O160" s="15"/>
      <c r="P160" s="12"/>
      <c r="Q160" s="12"/>
      <c r="R160" s="12"/>
      <c r="S160" s="12"/>
      <c r="T160" s="12"/>
    </row>
    <row r="161">
      <c r="A161" s="9">
        <v>233.0</v>
      </c>
      <c r="B161" s="11" t="s">
        <v>537</v>
      </c>
      <c r="C161" s="11" t="s">
        <v>538</v>
      </c>
      <c r="D161" s="15"/>
      <c r="E161" s="11" t="s">
        <v>539</v>
      </c>
      <c r="F161" s="11" t="s">
        <v>540</v>
      </c>
      <c r="G161" s="15"/>
      <c r="H161" s="15"/>
      <c r="I161" s="15"/>
      <c r="J161" s="15"/>
      <c r="K161" s="15"/>
      <c r="L161" s="15"/>
      <c r="M161" s="15"/>
      <c r="N161" s="15"/>
      <c r="O161" s="15"/>
      <c r="P161" s="12"/>
      <c r="Q161" s="12"/>
      <c r="R161" s="12"/>
      <c r="S161" s="12"/>
      <c r="T161" s="12"/>
    </row>
    <row r="162">
      <c r="A162" s="9">
        <v>234.0</v>
      </c>
      <c r="B162" s="11" t="s">
        <v>541</v>
      </c>
      <c r="C162" s="11" t="s">
        <v>542</v>
      </c>
      <c r="D162" s="15"/>
      <c r="E162" s="11" t="s">
        <v>543</v>
      </c>
      <c r="F162" s="11" t="s">
        <v>544</v>
      </c>
      <c r="G162" s="15"/>
      <c r="H162" s="15"/>
      <c r="I162" s="15"/>
      <c r="J162" s="15"/>
      <c r="K162" s="15"/>
      <c r="L162" s="15"/>
      <c r="M162" s="15"/>
      <c r="N162" s="15"/>
      <c r="O162" s="15"/>
      <c r="P162" s="12"/>
      <c r="Q162" s="12"/>
      <c r="R162" s="12"/>
      <c r="S162" s="12"/>
      <c r="T162" s="12"/>
    </row>
    <row r="163">
      <c r="A163" s="9">
        <v>235.0</v>
      </c>
      <c r="B163" s="11" t="s">
        <v>545</v>
      </c>
      <c r="C163" s="11" t="s">
        <v>546</v>
      </c>
      <c r="D163" s="15"/>
      <c r="E163" s="11" t="s">
        <v>547</v>
      </c>
      <c r="F163" s="11" t="s">
        <v>548</v>
      </c>
      <c r="G163" s="15"/>
      <c r="H163" s="15"/>
      <c r="I163" s="15"/>
      <c r="J163" s="15"/>
      <c r="K163" s="15"/>
      <c r="L163" s="15"/>
      <c r="M163" s="15"/>
      <c r="N163" s="15"/>
      <c r="O163" s="15"/>
      <c r="P163" s="12"/>
      <c r="Q163" s="12"/>
      <c r="R163" s="12"/>
      <c r="S163" s="12"/>
      <c r="T163" s="12"/>
    </row>
    <row r="164">
      <c r="A164" s="9">
        <v>236.0</v>
      </c>
      <c r="B164" s="11" t="s">
        <v>549</v>
      </c>
      <c r="C164" s="11" t="s">
        <v>550</v>
      </c>
      <c r="D164" s="15"/>
      <c r="E164" s="11" t="s">
        <v>551</v>
      </c>
      <c r="F164" s="11" t="s">
        <v>552</v>
      </c>
      <c r="G164" s="15"/>
      <c r="H164" s="15"/>
      <c r="I164" s="15"/>
      <c r="J164" s="15"/>
      <c r="K164" s="15"/>
      <c r="L164" s="15"/>
      <c r="M164" s="15"/>
      <c r="N164" s="15"/>
      <c r="O164" s="15"/>
      <c r="P164" s="12"/>
      <c r="Q164" s="12"/>
      <c r="R164" s="12"/>
      <c r="S164" s="12"/>
      <c r="T164" s="12"/>
    </row>
    <row r="165">
      <c r="A165" s="9">
        <v>237.0</v>
      </c>
      <c r="B165" s="11" t="s">
        <v>553</v>
      </c>
      <c r="C165" s="11" t="s">
        <v>554</v>
      </c>
      <c r="D165" s="15"/>
      <c r="E165" s="11" t="s">
        <v>555</v>
      </c>
      <c r="F165" s="11" t="s">
        <v>556</v>
      </c>
      <c r="G165" s="15"/>
      <c r="H165" s="15"/>
      <c r="I165" s="15"/>
      <c r="J165" s="15"/>
      <c r="K165" s="15"/>
      <c r="L165" s="15"/>
      <c r="M165" s="15"/>
      <c r="N165" s="15"/>
      <c r="O165" s="15"/>
      <c r="P165" s="12"/>
      <c r="Q165" s="12"/>
      <c r="R165" s="12"/>
      <c r="S165" s="12"/>
      <c r="T165" s="12"/>
    </row>
    <row r="166">
      <c r="A166" s="9">
        <v>238.0</v>
      </c>
      <c r="B166" s="10"/>
      <c r="C166" s="10"/>
      <c r="D166" s="11" t="s">
        <v>384</v>
      </c>
      <c r="E166" s="10"/>
      <c r="F166" s="10"/>
      <c r="G166" s="11" t="s">
        <v>384</v>
      </c>
      <c r="H166" s="15"/>
      <c r="I166" s="15"/>
      <c r="J166" s="15"/>
      <c r="K166" s="15"/>
      <c r="L166" s="15"/>
      <c r="M166" s="15"/>
      <c r="N166" s="15"/>
      <c r="O166" s="15"/>
      <c r="P166" s="12"/>
      <c r="Q166" s="12"/>
      <c r="R166" s="12"/>
      <c r="S166" s="12"/>
      <c r="T166" s="12"/>
    </row>
    <row r="167">
      <c r="A167" s="9">
        <v>239.0</v>
      </c>
      <c r="B167" s="11" t="s">
        <v>557</v>
      </c>
      <c r="C167" s="11" t="s">
        <v>558</v>
      </c>
      <c r="D167" s="15"/>
      <c r="E167" s="11" t="s">
        <v>559</v>
      </c>
      <c r="F167" s="11" t="s">
        <v>560</v>
      </c>
      <c r="G167" s="15"/>
      <c r="H167" s="15"/>
      <c r="I167" s="15"/>
      <c r="J167" s="15"/>
      <c r="K167" s="15"/>
      <c r="L167" s="15"/>
      <c r="M167" s="15"/>
      <c r="N167" s="15"/>
      <c r="O167" s="15"/>
      <c r="P167" s="12"/>
      <c r="Q167" s="12"/>
      <c r="R167" s="12"/>
      <c r="S167" s="12"/>
      <c r="T167" s="12"/>
    </row>
    <row r="168">
      <c r="A168" s="9">
        <v>241.0</v>
      </c>
      <c r="B168" s="13" t="s">
        <v>561</v>
      </c>
      <c r="C168" s="11" t="s">
        <v>188</v>
      </c>
      <c r="D168" s="15"/>
      <c r="E168" s="11" t="s">
        <v>562</v>
      </c>
      <c r="F168" s="11" t="s">
        <v>563</v>
      </c>
      <c r="G168" s="15"/>
      <c r="H168" s="15"/>
      <c r="I168" s="15"/>
      <c r="J168" s="15"/>
      <c r="K168" s="15"/>
      <c r="L168" s="15"/>
      <c r="M168" s="15"/>
      <c r="N168" s="15"/>
      <c r="O168" s="15"/>
      <c r="P168" s="12"/>
      <c r="Q168" s="12"/>
      <c r="R168" s="12"/>
      <c r="S168" s="12"/>
      <c r="T168" s="12"/>
    </row>
    <row r="169">
      <c r="A169" s="9">
        <v>242.0</v>
      </c>
      <c r="B169" s="11" t="s">
        <v>564</v>
      </c>
      <c r="C169" s="11" t="s">
        <v>565</v>
      </c>
      <c r="D169" s="10"/>
      <c r="E169" s="11" t="s">
        <v>566</v>
      </c>
      <c r="F169" s="11" t="s">
        <v>567</v>
      </c>
      <c r="G169" s="10"/>
      <c r="H169" s="15"/>
      <c r="I169" s="15"/>
      <c r="J169" s="15"/>
      <c r="K169" s="15"/>
      <c r="L169" s="15"/>
      <c r="M169" s="15"/>
      <c r="N169" s="15"/>
      <c r="O169" s="15"/>
      <c r="P169" s="12"/>
      <c r="Q169" s="12"/>
      <c r="R169" s="12"/>
      <c r="S169" s="12"/>
      <c r="T169" s="12"/>
    </row>
    <row r="170">
      <c r="A170" s="9">
        <v>245.0</v>
      </c>
      <c r="B170" s="11" t="s">
        <v>568</v>
      </c>
      <c r="C170" s="11" t="s">
        <v>569</v>
      </c>
      <c r="D170" s="15"/>
      <c r="E170" s="11" t="s">
        <v>570</v>
      </c>
      <c r="F170" s="11" t="s">
        <v>571</v>
      </c>
      <c r="G170" s="15"/>
      <c r="H170" s="15"/>
      <c r="I170" s="15"/>
      <c r="J170" s="15"/>
      <c r="K170" s="15"/>
      <c r="L170" s="15"/>
      <c r="M170" s="15"/>
      <c r="N170" s="15"/>
      <c r="O170" s="15"/>
      <c r="P170" s="12"/>
      <c r="Q170" s="12"/>
      <c r="R170" s="12"/>
      <c r="S170" s="12"/>
      <c r="T170" s="12"/>
    </row>
    <row r="171">
      <c r="A171" s="9">
        <v>246.0</v>
      </c>
      <c r="B171" s="11" t="s">
        <v>572</v>
      </c>
      <c r="C171" s="11" t="s">
        <v>573</v>
      </c>
      <c r="D171" s="15"/>
      <c r="E171" s="10"/>
      <c r="F171" s="10"/>
      <c r="G171" s="11" t="s">
        <v>574</v>
      </c>
      <c r="H171" s="15"/>
      <c r="I171" s="15"/>
      <c r="J171" s="15"/>
      <c r="K171" s="15"/>
      <c r="L171" s="15"/>
      <c r="M171" s="15"/>
      <c r="N171" s="15"/>
      <c r="O171" s="15"/>
      <c r="P171" s="12"/>
      <c r="Q171" s="12"/>
      <c r="R171" s="12"/>
      <c r="S171" s="12"/>
      <c r="T171" s="12"/>
    </row>
    <row r="172">
      <c r="A172" s="9">
        <v>248.0</v>
      </c>
      <c r="B172" s="11" t="s">
        <v>575</v>
      </c>
      <c r="C172" s="11" t="s">
        <v>576</v>
      </c>
      <c r="D172" s="15"/>
      <c r="E172" s="10"/>
      <c r="F172" s="10"/>
      <c r="G172" s="11" t="s">
        <v>577</v>
      </c>
      <c r="H172" s="15"/>
      <c r="I172" s="15"/>
      <c r="J172" s="15"/>
      <c r="K172" s="15"/>
      <c r="L172" s="15"/>
      <c r="M172" s="15"/>
      <c r="N172" s="15"/>
      <c r="O172" s="15"/>
      <c r="P172" s="12"/>
      <c r="Q172" s="12"/>
      <c r="R172" s="12"/>
      <c r="S172" s="12"/>
      <c r="T172" s="12"/>
    </row>
    <row r="173">
      <c r="A173" s="9">
        <v>249.0</v>
      </c>
      <c r="B173" s="11" t="s">
        <v>578</v>
      </c>
      <c r="C173" s="11" t="s">
        <v>579</v>
      </c>
      <c r="D173" s="15"/>
      <c r="E173" s="10"/>
      <c r="F173" s="10"/>
      <c r="G173" s="11" t="s">
        <v>580</v>
      </c>
      <c r="H173" s="15"/>
      <c r="I173" s="15"/>
      <c r="J173" s="15"/>
      <c r="K173" s="15"/>
      <c r="L173" s="15"/>
      <c r="M173" s="15"/>
      <c r="N173" s="15"/>
      <c r="O173" s="15"/>
      <c r="P173" s="12"/>
      <c r="Q173" s="12"/>
      <c r="R173" s="12"/>
      <c r="S173" s="12"/>
      <c r="T173" s="12"/>
    </row>
    <row r="174">
      <c r="A174" s="9">
        <v>250.0</v>
      </c>
      <c r="B174" s="10"/>
      <c r="C174" s="10"/>
      <c r="D174" s="15"/>
      <c r="E174" s="15"/>
      <c r="F174" s="10"/>
      <c r="G174" s="15"/>
      <c r="H174" s="15"/>
      <c r="I174" s="15"/>
      <c r="J174" s="15"/>
      <c r="K174" s="11" t="s">
        <v>581</v>
      </c>
      <c r="L174" s="11" t="s">
        <v>581</v>
      </c>
      <c r="M174" s="15"/>
      <c r="N174" s="15"/>
      <c r="O174" s="11" t="s">
        <v>582</v>
      </c>
      <c r="P174" s="12"/>
      <c r="Q174" s="12"/>
      <c r="R174" s="12"/>
      <c r="S174" s="12"/>
      <c r="T174" s="12"/>
    </row>
    <row r="175">
      <c r="A175" s="9">
        <v>251.0</v>
      </c>
      <c r="B175" s="10"/>
      <c r="C175" s="10"/>
      <c r="D175" s="15"/>
      <c r="E175" s="15"/>
      <c r="F175" s="10"/>
      <c r="G175" s="15"/>
      <c r="H175" s="15"/>
      <c r="I175" s="15"/>
      <c r="J175" s="15"/>
      <c r="K175" s="11" t="s">
        <v>583</v>
      </c>
      <c r="L175" s="11" t="s">
        <v>584</v>
      </c>
      <c r="M175" s="15"/>
      <c r="N175" s="15"/>
      <c r="O175" s="11" t="s">
        <v>584</v>
      </c>
      <c r="P175" s="12"/>
      <c r="Q175" s="12"/>
      <c r="R175" s="12"/>
      <c r="S175" s="12"/>
      <c r="T175" s="12"/>
    </row>
    <row r="176">
      <c r="A176" s="9">
        <v>253.0</v>
      </c>
      <c r="B176" s="10"/>
      <c r="C176" s="10"/>
      <c r="D176" s="11" t="s">
        <v>585</v>
      </c>
      <c r="E176" s="11" t="s">
        <v>586</v>
      </c>
      <c r="F176" s="11" t="s">
        <v>587</v>
      </c>
      <c r="G176" s="15"/>
      <c r="H176" s="15"/>
      <c r="I176" s="15"/>
      <c r="J176" s="15"/>
      <c r="K176" s="15"/>
      <c r="L176" s="15"/>
      <c r="M176" s="15"/>
      <c r="N176" s="15"/>
      <c r="O176" s="15"/>
      <c r="P176" s="12"/>
      <c r="Q176" s="12"/>
      <c r="R176" s="12"/>
      <c r="S176" s="12"/>
      <c r="T176" s="12"/>
    </row>
    <row r="177">
      <c r="A177" s="9">
        <v>255.0</v>
      </c>
      <c r="B177" s="11" t="s">
        <v>588</v>
      </c>
      <c r="C177" s="11" t="s">
        <v>589</v>
      </c>
      <c r="D177" s="15"/>
      <c r="E177" s="15"/>
      <c r="F177" s="15"/>
      <c r="G177" s="11" t="s">
        <v>590</v>
      </c>
      <c r="H177" s="15"/>
      <c r="I177" s="15"/>
      <c r="J177" s="15"/>
      <c r="K177" s="10"/>
      <c r="L177" s="10"/>
      <c r="M177" s="15"/>
      <c r="N177" s="15"/>
      <c r="O177" s="10"/>
      <c r="P177" s="12"/>
      <c r="Q177" s="12"/>
      <c r="R177" s="12"/>
      <c r="S177" s="12"/>
      <c r="T177" s="12"/>
    </row>
    <row r="178">
      <c r="A178" s="9">
        <v>256.0</v>
      </c>
      <c r="B178" s="11" t="s">
        <v>591</v>
      </c>
      <c r="C178" s="11" t="s">
        <v>592</v>
      </c>
      <c r="D178" s="15"/>
      <c r="E178" s="15"/>
      <c r="F178" s="15"/>
      <c r="G178" s="11" t="s">
        <v>593</v>
      </c>
      <c r="H178" s="15"/>
      <c r="I178" s="15"/>
      <c r="J178" s="15"/>
      <c r="K178" s="10"/>
      <c r="L178" s="10"/>
      <c r="M178" s="15"/>
      <c r="N178" s="15"/>
      <c r="O178" s="10"/>
      <c r="P178" s="12"/>
      <c r="Q178" s="12"/>
      <c r="R178" s="12"/>
      <c r="S178" s="12"/>
      <c r="T178" s="12"/>
    </row>
    <row r="179">
      <c r="A179" s="9">
        <v>257.0</v>
      </c>
      <c r="B179" s="13" t="s">
        <v>594</v>
      </c>
      <c r="C179" s="11" t="s">
        <v>595</v>
      </c>
      <c r="D179" s="10"/>
      <c r="E179" s="10"/>
      <c r="F179" s="15"/>
      <c r="G179" s="11" t="s">
        <v>596</v>
      </c>
      <c r="H179" s="15"/>
      <c r="I179" s="15"/>
      <c r="J179" s="15"/>
      <c r="K179" s="15"/>
      <c r="L179" s="15"/>
      <c r="M179" s="15"/>
      <c r="N179" s="15"/>
      <c r="O179" s="15"/>
      <c r="P179" s="12"/>
      <c r="Q179" s="12"/>
      <c r="R179" s="12"/>
      <c r="S179" s="12"/>
      <c r="T179" s="12"/>
    </row>
    <row r="180">
      <c r="A180" s="9">
        <v>258.0</v>
      </c>
      <c r="B180" s="11" t="s">
        <v>597</v>
      </c>
      <c r="C180" s="11" t="s">
        <v>598</v>
      </c>
      <c r="D180" s="15"/>
      <c r="E180" s="11" t="s">
        <v>599</v>
      </c>
      <c r="F180" s="11" t="s">
        <v>600</v>
      </c>
      <c r="G180" s="15"/>
      <c r="H180" s="15"/>
      <c r="I180" s="15"/>
      <c r="J180" s="15"/>
      <c r="K180" s="15"/>
      <c r="L180" s="15"/>
      <c r="M180" s="15"/>
      <c r="N180" s="15"/>
      <c r="O180" s="15"/>
      <c r="P180" s="12"/>
      <c r="Q180" s="12"/>
      <c r="R180" s="12"/>
      <c r="S180" s="12"/>
      <c r="T180" s="12"/>
    </row>
    <row r="181">
      <c r="A181" s="9">
        <v>259.0</v>
      </c>
      <c r="B181" s="11" t="s">
        <v>601</v>
      </c>
      <c r="C181" s="11" t="s">
        <v>602</v>
      </c>
      <c r="D181" s="15"/>
      <c r="E181" s="11" t="s">
        <v>603</v>
      </c>
      <c r="F181" s="11" t="s">
        <v>604</v>
      </c>
      <c r="G181" s="15"/>
      <c r="H181" s="15"/>
      <c r="I181" s="15"/>
      <c r="J181" s="15"/>
      <c r="K181" s="15"/>
      <c r="L181" s="15"/>
      <c r="M181" s="15"/>
      <c r="N181" s="15"/>
      <c r="O181" s="15"/>
      <c r="P181" s="12"/>
      <c r="Q181" s="12"/>
      <c r="R181" s="12"/>
      <c r="S181" s="12"/>
      <c r="T181" s="12"/>
    </row>
    <row r="182">
      <c r="A182" s="9">
        <v>260.0</v>
      </c>
      <c r="B182" s="11" t="s">
        <v>605</v>
      </c>
      <c r="C182" s="11" t="s">
        <v>606</v>
      </c>
      <c r="D182" s="15"/>
      <c r="E182" s="15"/>
      <c r="F182" s="10"/>
      <c r="G182" s="11" t="s">
        <v>607</v>
      </c>
      <c r="H182" s="15"/>
      <c r="I182" s="15"/>
      <c r="J182" s="15"/>
      <c r="K182" s="15"/>
      <c r="L182" s="15"/>
      <c r="M182" s="15"/>
      <c r="N182" s="15"/>
      <c r="O182" s="15"/>
      <c r="P182" s="12"/>
      <c r="Q182" s="12"/>
      <c r="R182" s="12"/>
      <c r="S182" s="12"/>
      <c r="T182" s="12"/>
    </row>
    <row r="183">
      <c r="A183" s="9">
        <v>261.0</v>
      </c>
      <c r="B183" s="11" t="s">
        <v>608</v>
      </c>
      <c r="C183" s="11" t="s">
        <v>609</v>
      </c>
      <c r="D183" s="15"/>
      <c r="E183" s="10"/>
      <c r="F183" s="10"/>
      <c r="G183" s="11" t="s">
        <v>610</v>
      </c>
      <c r="H183" s="15"/>
      <c r="I183" s="15"/>
      <c r="J183" s="15"/>
      <c r="K183" s="15"/>
      <c r="L183" s="15"/>
      <c r="M183" s="15"/>
      <c r="N183" s="15"/>
      <c r="O183" s="15"/>
      <c r="P183" s="12"/>
      <c r="Q183" s="12"/>
      <c r="R183" s="12"/>
      <c r="S183" s="12"/>
      <c r="T183" s="12"/>
    </row>
    <row r="184">
      <c r="A184" s="9">
        <v>262.0</v>
      </c>
      <c r="B184" s="11" t="s">
        <v>611</v>
      </c>
      <c r="C184" s="11" t="s">
        <v>612</v>
      </c>
      <c r="D184" s="15"/>
      <c r="E184" s="11" t="s">
        <v>613</v>
      </c>
      <c r="F184" s="11" t="s">
        <v>614</v>
      </c>
      <c r="G184" s="15"/>
      <c r="H184" s="15"/>
      <c r="I184" s="15"/>
      <c r="J184" s="15"/>
      <c r="K184" s="15"/>
      <c r="L184" s="15"/>
      <c r="M184" s="15"/>
      <c r="N184" s="15"/>
      <c r="O184" s="15"/>
      <c r="P184" s="12"/>
      <c r="Q184" s="12"/>
      <c r="R184" s="12"/>
      <c r="S184" s="12"/>
      <c r="T184" s="12"/>
    </row>
    <row r="185">
      <c r="A185" s="9">
        <v>263.0</v>
      </c>
      <c r="B185" s="11" t="s">
        <v>615</v>
      </c>
      <c r="C185" s="11" t="s">
        <v>616</v>
      </c>
      <c r="D185" s="15"/>
      <c r="E185" s="15"/>
      <c r="F185" s="10"/>
      <c r="G185" s="11" t="s">
        <v>617</v>
      </c>
      <c r="H185" s="15"/>
      <c r="I185" s="15"/>
      <c r="J185" s="15"/>
      <c r="K185" s="15"/>
      <c r="L185" s="15"/>
      <c r="M185" s="15"/>
      <c r="N185" s="15"/>
      <c r="O185" s="15"/>
      <c r="P185" s="12"/>
      <c r="Q185" s="12"/>
      <c r="R185" s="12"/>
      <c r="S185" s="12"/>
      <c r="T185" s="12"/>
    </row>
    <row r="186">
      <c r="A186" s="9">
        <v>264.0</v>
      </c>
      <c r="B186" s="11" t="s">
        <v>618</v>
      </c>
      <c r="C186" s="11" t="s">
        <v>619</v>
      </c>
      <c r="D186" s="15"/>
      <c r="E186" s="11" t="s">
        <v>620</v>
      </c>
      <c r="F186" s="11" t="s">
        <v>621</v>
      </c>
      <c r="G186" s="15"/>
      <c r="H186" s="15"/>
      <c r="I186" s="15"/>
      <c r="J186" s="15"/>
      <c r="K186" s="15"/>
      <c r="L186" s="15"/>
      <c r="M186" s="15"/>
      <c r="N186" s="15"/>
      <c r="O186" s="15"/>
      <c r="P186" s="12"/>
      <c r="Q186" s="12"/>
      <c r="R186" s="12"/>
      <c r="S186" s="12"/>
      <c r="T186" s="12"/>
    </row>
    <row r="187">
      <c r="A187" s="9">
        <v>266.0</v>
      </c>
      <c r="B187" s="11" t="s">
        <v>380</v>
      </c>
      <c r="C187" s="11" t="s">
        <v>622</v>
      </c>
      <c r="D187" s="15"/>
      <c r="E187" s="10"/>
      <c r="F187" s="10"/>
      <c r="G187" s="11" t="s">
        <v>623</v>
      </c>
      <c r="H187" s="15"/>
      <c r="I187" s="15"/>
      <c r="J187" s="15"/>
      <c r="K187" s="15"/>
      <c r="L187" s="15"/>
      <c r="M187" s="15"/>
      <c r="N187" s="15"/>
      <c r="O187" s="15"/>
      <c r="P187" s="12"/>
      <c r="Q187" s="12"/>
      <c r="R187" s="12"/>
      <c r="S187" s="12"/>
      <c r="T187" s="12"/>
    </row>
    <row r="188">
      <c r="A188" s="9">
        <v>268.0</v>
      </c>
      <c r="B188" s="11" t="s">
        <v>624</v>
      </c>
      <c r="C188" s="11" t="s">
        <v>625</v>
      </c>
      <c r="D188" s="15"/>
      <c r="E188" s="15"/>
      <c r="F188" s="10"/>
      <c r="G188" s="11" t="s">
        <v>626</v>
      </c>
      <c r="H188" s="15"/>
      <c r="I188" s="15"/>
      <c r="J188" s="15"/>
      <c r="K188" s="15"/>
      <c r="L188" s="15"/>
      <c r="M188" s="15"/>
      <c r="N188" s="15"/>
      <c r="O188" s="15"/>
      <c r="P188" s="12"/>
      <c r="Q188" s="12"/>
      <c r="R188" s="12"/>
      <c r="S188" s="12"/>
      <c r="T188" s="12"/>
    </row>
    <row r="189">
      <c r="A189" s="9">
        <v>270.0</v>
      </c>
      <c r="B189" s="11" t="s">
        <v>627</v>
      </c>
      <c r="C189" s="11" t="s">
        <v>628</v>
      </c>
      <c r="D189" s="15"/>
      <c r="E189" s="11" t="s">
        <v>629</v>
      </c>
      <c r="F189" s="11" t="s">
        <v>630</v>
      </c>
      <c r="G189" s="15"/>
      <c r="H189" s="15"/>
      <c r="I189" s="15"/>
      <c r="J189" s="15"/>
      <c r="K189" s="15"/>
      <c r="L189" s="15"/>
      <c r="M189" s="15"/>
      <c r="N189" s="15"/>
      <c r="O189" s="15"/>
      <c r="P189" s="12"/>
      <c r="Q189" s="12"/>
      <c r="R189" s="12"/>
      <c r="S189" s="12"/>
      <c r="T189" s="12"/>
    </row>
    <row r="190">
      <c r="A190" s="9">
        <v>271.0</v>
      </c>
      <c r="B190" s="11" t="s">
        <v>631</v>
      </c>
      <c r="C190" s="11" t="s">
        <v>632</v>
      </c>
      <c r="D190" s="15"/>
      <c r="E190" s="15"/>
      <c r="F190" s="10"/>
      <c r="G190" s="11" t="s">
        <v>633</v>
      </c>
      <c r="H190" s="15"/>
      <c r="I190" s="15"/>
      <c r="J190" s="15"/>
      <c r="K190" s="15"/>
      <c r="L190" s="15"/>
      <c r="M190" s="15"/>
      <c r="N190" s="15"/>
      <c r="O190" s="15"/>
      <c r="P190" s="12"/>
      <c r="Q190" s="12"/>
      <c r="R190" s="12"/>
      <c r="S190" s="12"/>
      <c r="T190" s="12"/>
    </row>
    <row r="191">
      <c r="A191" s="9">
        <v>273.0</v>
      </c>
      <c r="B191" s="11" t="s">
        <v>634</v>
      </c>
      <c r="C191" s="11" t="s">
        <v>425</v>
      </c>
      <c r="D191" s="15"/>
      <c r="E191" s="11" t="s">
        <v>635</v>
      </c>
      <c r="F191" s="11" t="s">
        <v>425</v>
      </c>
      <c r="G191" s="15"/>
      <c r="H191" s="15"/>
      <c r="I191" s="15"/>
      <c r="J191" s="15"/>
      <c r="K191" s="15"/>
      <c r="L191" s="15"/>
      <c r="M191" s="15"/>
      <c r="N191" s="15"/>
      <c r="O191" s="15"/>
      <c r="P191" s="12"/>
      <c r="Q191" s="12"/>
      <c r="R191" s="12"/>
      <c r="S191" s="12"/>
      <c r="T191" s="12"/>
    </row>
    <row r="192">
      <c r="A192" s="9">
        <v>275.0</v>
      </c>
      <c r="B192" s="11" t="s">
        <v>636</v>
      </c>
      <c r="C192" s="11" t="s">
        <v>637</v>
      </c>
      <c r="D192" s="15"/>
      <c r="E192" s="10"/>
      <c r="F192" s="10"/>
      <c r="G192" s="11" t="s">
        <v>638</v>
      </c>
      <c r="H192" s="15"/>
      <c r="I192" s="15"/>
      <c r="J192" s="15"/>
      <c r="K192" s="15"/>
      <c r="L192" s="15"/>
      <c r="M192" s="15"/>
      <c r="N192" s="15"/>
      <c r="O192" s="15"/>
      <c r="P192" s="12"/>
      <c r="Q192" s="12"/>
      <c r="R192" s="12"/>
      <c r="S192" s="12"/>
      <c r="T192" s="12"/>
    </row>
    <row r="193">
      <c r="A193" s="9">
        <v>276.0</v>
      </c>
      <c r="B193" s="11" t="s">
        <v>639</v>
      </c>
      <c r="C193" s="11" t="s">
        <v>640</v>
      </c>
      <c r="D193" s="15"/>
      <c r="E193" s="11" t="s">
        <v>641</v>
      </c>
      <c r="F193" s="11" t="s">
        <v>227</v>
      </c>
      <c r="G193" s="15"/>
      <c r="H193" s="15"/>
      <c r="I193" s="15"/>
      <c r="J193" s="15"/>
      <c r="K193" s="15"/>
      <c r="L193" s="15"/>
      <c r="M193" s="15"/>
      <c r="N193" s="15"/>
      <c r="O193" s="15"/>
      <c r="P193" s="12"/>
      <c r="Q193" s="12"/>
      <c r="R193" s="12"/>
      <c r="S193" s="12"/>
      <c r="T193" s="12"/>
    </row>
    <row r="194">
      <c r="A194" s="9">
        <v>277.0</v>
      </c>
      <c r="B194" s="11" t="s">
        <v>642</v>
      </c>
      <c r="C194" s="11" t="s">
        <v>643</v>
      </c>
      <c r="D194" s="15"/>
      <c r="E194" s="10"/>
      <c r="F194" s="10"/>
      <c r="G194" s="11" t="s">
        <v>644</v>
      </c>
      <c r="H194" s="15"/>
      <c r="I194" s="15"/>
      <c r="J194" s="15"/>
      <c r="K194" s="15"/>
      <c r="L194" s="15"/>
      <c r="M194" s="15"/>
      <c r="N194" s="15"/>
      <c r="O194" s="15"/>
      <c r="P194" s="12"/>
      <c r="Q194" s="12"/>
      <c r="R194" s="12"/>
      <c r="S194" s="12"/>
      <c r="T194" s="12"/>
    </row>
    <row r="195">
      <c r="A195" s="9">
        <v>278.0</v>
      </c>
      <c r="B195" s="11" t="s">
        <v>645</v>
      </c>
      <c r="C195" s="11" t="s">
        <v>646</v>
      </c>
      <c r="D195" s="15"/>
      <c r="E195" s="11" t="s">
        <v>645</v>
      </c>
      <c r="F195" s="11" t="s">
        <v>647</v>
      </c>
      <c r="G195" s="15"/>
      <c r="H195" s="15"/>
      <c r="I195" s="15"/>
      <c r="J195" s="15"/>
      <c r="K195" s="15"/>
      <c r="L195" s="15"/>
      <c r="M195" s="15"/>
      <c r="N195" s="15"/>
      <c r="O195" s="15"/>
      <c r="P195" s="12"/>
      <c r="Q195" s="12"/>
      <c r="R195" s="12"/>
      <c r="S195" s="12"/>
      <c r="T195" s="12"/>
    </row>
    <row r="196">
      <c r="A196" s="9">
        <v>279.0</v>
      </c>
      <c r="B196" s="11" t="s">
        <v>648</v>
      </c>
      <c r="C196" s="11" t="s">
        <v>649</v>
      </c>
      <c r="D196" s="15"/>
      <c r="E196" s="11" t="s">
        <v>650</v>
      </c>
      <c r="F196" s="11" t="s">
        <v>651</v>
      </c>
      <c r="G196" s="15"/>
      <c r="H196" s="15"/>
      <c r="I196" s="15"/>
      <c r="J196" s="15"/>
      <c r="K196" s="15"/>
      <c r="L196" s="15"/>
      <c r="M196" s="15"/>
      <c r="N196" s="15"/>
      <c r="O196" s="15"/>
      <c r="P196" s="12"/>
      <c r="Q196" s="12"/>
      <c r="R196" s="12"/>
      <c r="S196" s="12"/>
      <c r="T196" s="12"/>
    </row>
    <row r="197">
      <c r="A197" s="9">
        <v>284.0</v>
      </c>
      <c r="B197" s="11" t="s">
        <v>652</v>
      </c>
      <c r="C197" s="11" t="s">
        <v>227</v>
      </c>
      <c r="D197" s="15"/>
      <c r="E197" s="15"/>
      <c r="F197" s="10"/>
      <c r="G197" s="11" t="s">
        <v>653</v>
      </c>
      <c r="H197" s="15"/>
      <c r="I197" s="15"/>
      <c r="J197" s="15"/>
      <c r="K197" s="15"/>
      <c r="L197" s="15"/>
      <c r="M197" s="15"/>
      <c r="N197" s="15"/>
      <c r="O197" s="15"/>
      <c r="P197" s="12"/>
      <c r="Q197" s="12"/>
      <c r="R197" s="12"/>
      <c r="S197" s="12"/>
      <c r="T197" s="12"/>
    </row>
    <row r="198">
      <c r="A198" s="9">
        <v>285.0</v>
      </c>
      <c r="B198" s="11" t="s">
        <v>654</v>
      </c>
      <c r="C198" s="11" t="s">
        <v>655</v>
      </c>
      <c r="D198" s="15"/>
      <c r="E198" s="11" t="s">
        <v>654</v>
      </c>
      <c r="F198" s="11" t="s">
        <v>656</v>
      </c>
      <c r="G198" s="15"/>
      <c r="H198" s="15"/>
      <c r="I198" s="15"/>
      <c r="J198" s="15"/>
      <c r="K198" s="15"/>
      <c r="L198" s="15"/>
      <c r="M198" s="15"/>
      <c r="N198" s="15"/>
      <c r="O198" s="15"/>
      <c r="P198" s="12"/>
      <c r="Q198" s="12"/>
      <c r="R198" s="12"/>
      <c r="S198" s="12"/>
      <c r="T198" s="12"/>
    </row>
    <row r="199">
      <c r="A199" s="9">
        <v>288.0</v>
      </c>
      <c r="B199" s="10"/>
      <c r="C199" s="10"/>
      <c r="D199" s="11" t="s">
        <v>657</v>
      </c>
      <c r="E199" s="10"/>
      <c r="F199" s="10"/>
      <c r="G199" s="11" t="s">
        <v>658</v>
      </c>
      <c r="H199" s="15"/>
      <c r="I199" s="15"/>
      <c r="J199" s="15"/>
      <c r="K199" s="15"/>
      <c r="L199" s="15"/>
      <c r="M199" s="15"/>
      <c r="N199" s="15"/>
      <c r="O199" s="15"/>
      <c r="P199" s="12"/>
      <c r="Q199" s="12"/>
      <c r="R199" s="12"/>
      <c r="S199" s="12"/>
      <c r="T199" s="12"/>
    </row>
    <row r="200">
      <c r="A200" s="9">
        <v>289.0</v>
      </c>
      <c r="B200" s="11" t="s">
        <v>347</v>
      </c>
      <c r="C200" s="11" t="s">
        <v>659</v>
      </c>
      <c r="D200" s="15"/>
      <c r="E200" s="15"/>
      <c r="F200" s="10"/>
      <c r="G200" s="11" t="s">
        <v>660</v>
      </c>
      <c r="H200" s="15"/>
      <c r="I200" s="15"/>
      <c r="J200" s="15"/>
      <c r="K200" s="15"/>
      <c r="L200" s="15"/>
      <c r="M200" s="15"/>
      <c r="N200" s="15"/>
      <c r="O200" s="15"/>
      <c r="P200" s="12"/>
      <c r="Q200" s="12"/>
      <c r="R200" s="12"/>
      <c r="S200" s="12"/>
      <c r="T200" s="12"/>
    </row>
    <row r="201">
      <c r="A201" s="9">
        <v>291.0</v>
      </c>
      <c r="B201" s="13" t="s">
        <v>661</v>
      </c>
      <c r="C201" s="11" t="s">
        <v>662</v>
      </c>
      <c r="D201" s="15"/>
      <c r="E201" s="11" t="s">
        <v>663</v>
      </c>
      <c r="F201" s="11" t="s">
        <v>664</v>
      </c>
      <c r="G201" s="15"/>
      <c r="H201" s="15"/>
      <c r="I201" s="15"/>
      <c r="J201" s="15"/>
      <c r="K201" s="15"/>
      <c r="L201" s="15"/>
      <c r="M201" s="15"/>
      <c r="N201" s="15"/>
      <c r="O201" s="15"/>
      <c r="P201" s="12"/>
      <c r="Q201" s="12"/>
      <c r="R201" s="12"/>
      <c r="S201" s="12"/>
      <c r="T201" s="12"/>
    </row>
    <row r="202">
      <c r="A202" s="9">
        <v>292.0</v>
      </c>
      <c r="B202" s="11" t="s">
        <v>159</v>
      </c>
      <c r="C202" s="11" t="s">
        <v>665</v>
      </c>
      <c r="D202" s="10"/>
      <c r="E202" s="11" t="s">
        <v>666</v>
      </c>
      <c r="F202" s="11" t="s">
        <v>667</v>
      </c>
      <c r="G202" s="10"/>
      <c r="H202" s="15"/>
      <c r="I202" s="15"/>
      <c r="J202" s="15"/>
      <c r="K202" s="15"/>
      <c r="L202" s="15"/>
      <c r="M202" s="15"/>
      <c r="N202" s="15"/>
      <c r="O202" s="15"/>
      <c r="P202" s="12"/>
      <c r="Q202" s="12"/>
      <c r="R202" s="12"/>
      <c r="S202" s="12"/>
      <c r="T202" s="12"/>
    </row>
    <row r="203">
      <c r="A203" s="9">
        <v>295.0</v>
      </c>
      <c r="B203" s="11" t="s">
        <v>668</v>
      </c>
      <c r="C203" s="11" t="s">
        <v>669</v>
      </c>
      <c r="D203" s="15"/>
      <c r="E203" s="15"/>
      <c r="F203" s="10"/>
      <c r="G203" s="11" t="s">
        <v>670</v>
      </c>
      <c r="H203" s="15"/>
      <c r="I203" s="15"/>
      <c r="J203" s="15"/>
      <c r="K203" s="15"/>
      <c r="L203" s="15"/>
      <c r="M203" s="15"/>
      <c r="N203" s="15"/>
      <c r="O203" s="15"/>
      <c r="P203" s="12"/>
      <c r="Q203" s="12"/>
      <c r="R203" s="12"/>
      <c r="S203" s="12"/>
      <c r="T203" s="12"/>
    </row>
    <row r="204">
      <c r="A204" s="9">
        <v>296.0</v>
      </c>
      <c r="B204" s="11" t="s">
        <v>671</v>
      </c>
      <c r="C204" s="11" t="s">
        <v>672</v>
      </c>
      <c r="D204" s="15"/>
      <c r="E204" s="11" t="s">
        <v>673</v>
      </c>
      <c r="F204" s="11" t="s">
        <v>674</v>
      </c>
      <c r="G204" s="15"/>
      <c r="H204" s="15"/>
      <c r="I204" s="15"/>
      <c r="J204" s="15"/>
      <c r="K204" s="15"/>
      <c r="L204" s="15"/>
      <c r="M204" s="15"/>
      <c r="N204" s="15"/>
      <c r="O204" s="15"/>
      <c r="P204" s="12"/>
      <c r="Q204" s="12"/>
      <c r="R204" s="12"/>
      <c r="S204" s="12"/>
      <c r="T204" s="12"/>
    </row>
    <row r="205">
      <c r="A205" s="9">
        <v>297.0</v>
      </c>
      <c r="B205" s="10"/>
      <c r="C205" s="10"/>
      <c r="D205" s="11" t="s">
        <v>675</v>
      </c>
      <c r="E205" s="10"/>
      <c r="F205" s="10"/>
      <c r="G205" s="11" t="s">
        <v>676</v>
      </c>
      <c r="H205" s="15"/>
      <c r="I205" s="15"/>
      <c r="J205" s="15"/>
      <c r="K205" s="15"/>
      <c r="L205" s="15"/>
      <c r="M205" s="15"/>
      <c r="N205" s="15"/>
      <c r="O205" s="15"/>
      <c r="P205" s="12"/>
      <c r="Q205" s="12"/>
      <c r="R205" s="12"/>
      <c r="S205" s="12"/>
      <c r="T205" s="12"/>
    </row>
    <row r="206">
      <c r="A206" s="9">
        <v>298.0</v>
      </c>
      <c r="B206" s="11" t="s">
        <v>677</v>
      </c>
      <c r="C206" s="11" t="s">
        <v>678</v>
      </c>
      <c r="D206" s="15"/>
      <c r="E206" s="15"/>
      <c r="F206" s="10"/>
      <c r="G206" s="11" t="s">
        <v>679</v>
      </c>
      <c r="H206" s="15"/>
      <c r="I206" s="15"/>
      <c r="J206" s="15"/>
      <c r="K206" s="15"/>
      <c r="L206" s="15"/>
      <c r="M206" s="15"/>
      <c r="N206" s="15"/>
      <c r="O206" s="15"/>
      <c r="P206" s="12"/>
      <c r="Q206" s="12"/>
      <c r="R206" s="12"/>
      <c r="S206" s="12"/>
      <c r="T206" s="12"/>
    </row>
    <row r="207">
      <c r="A207" s="9">
        <v>299.0</v>
      </c>
      <c r="B207" s="11" t="s">
        <v>680</v>
      </c>
      <c r="C207" s="11" t="s">
        <v>681</v>
      </c>
      <c r="D207" s="15"/>
      <c r="E207" s="11" t="s">
        <v>682</v>
      </c>
      <c r="F207" s="11" t="s">
        <v>683</v>
      </c>
      <c r="G207" s="15"/>
      <c r="H207" s="15"/>
      <c r="I207" s="15"/>
      <c r="J207" s="15"/>
      <c r="K207" s="15"/>
      <c r="L207" s="15"/>
      <c r="M207" s="15"/>
      <c r="N207" s="15"/>
      <c r="O207" s="15"/>
      <c r="P207" s="12"/>
      <c r="Q207" s="12"/>
      <c r="R207" s="12"/>
      <c r="S207" s="12"/>
      <c r="T207" s="12"/>
    </row>
    <row r="208">
      <c r="A208" s="9">
        <v>300.0</v>
      </c>
      <c r="B208" s="11" t="s">
        <v>684</v>
      </c>
      <c r="C208" s="11" t="s">
        <v>685</v>
      </c>
      <c r="D208" s="10"/>
      <c r="E208" s="11" t="s">
        <v>686</v>
      </c>
      <c r="F208" s="11" t="s">
        <v>687</v>
      </c>
      <c r="G208" s="10"/>
      <c r="H208" s="15"/>
      <c r="I208" s="15"/>
      <c r="J208" s="15"/>
      <c r="K208" s="15"/>
      <c r="L208" s="15"/>
      <c r="M208" s="15"/>
      <c r="N208" s="15"/>
      <c r="O208" s="15"/>
      <c r="P208" s="12"/>
      <c r="Q208" s="12"/>
      <c r="R208" s="12"/>
      <c r="S208" s="12"/>
      <c r="T208" s="12"/>
    </row>
    <row r="209">
      <c r="A209" s="9">
        <v>301.0</v>
      </c>
      <c r="B209" s="11" t="s">
        <v>688</v>
      </c>
      <c r="C209" s="11" t="s">
        <v>384</v>
      </c>
      <c r="D209" s="15"/>
      <c r="E209" s="15"/>
      <c r="F209" s="10"/>
      <c r="G209" s="11" t="s">
        <v>689</v>
      </c>
      <c r="H209" s="15"/>
      <c r="I209" s="15"/>
      <c r="J209" s="15"/>
      <c r="K209" s="15"/>
      <c r="L209" s="15"/>
      <c r="M209" s="15"/>
      <c r="N209" s="15"/>
      <c r="O209" s="15"/>
      <c r="P209" s="12"/>
      <c r="Q209" s="12"/>
      <c r="R209" s="12"/>
      <c r="S209" s="12"/>
      <c r="T209" s="12"/>
    </row>
    <row r="210">
      <c r="A210" s="9">
        <v>302.0</v>
      </c>
      <c r="B210" s="11" t="s">
        <v>235</v>
      </c>
      <c r="C210" s="11" t="s">
        <v>690</v>
      </c>
      <c r="D210" s="15"/>
      <c r="E210" s="11" t="s">
        <v>691</v>
      </c>
      <c r="F210" s="11" t="s">
        <v>692</v>
      </c>
      <c r="G210" s="15"/>
      <c r="H210" s="15"/>
      <c r="I210" s="15"/>
      <c r="J210" s="15"/>
      <c r="K210" s="15"/>
      <c r="L210" s="15"/>
      <c r="M210" s="15"/>
      <c r="N210" s="15"/>
      <c r="O210" s="15"/>
      <c r="P210" s="12"/>
      <c r="Q210" s="12"/>
      <c r="R210" s="12"/>
      <c r="S210" s="12"/>
      <c r="T210" s="12"/>
    </row>
    <row r="211">
      <c r="A211" s="9">
        <v>303.0</v>
      </c>
      <c r="B211" s="11" t="s">
        <v>693</v>
      </c>
      <c r="C211" s="11" t="s">
        <v>694</v>
      </c>
      <c r="D211" s="15"/>
      <c r="E211" s="10"/>
      <c r="F211" s="10"/>
      <c r="G211" s="11" t="s">
        <v>695</v>
      </c>
      <c r="H211" s="15"/>
      <c r="I211" s="15"/>
      <c r="J211" s="15"/>
      <c r="K211" s="15"/>
      <c r="L211" s="15"/>
      <c r="M211" s="15"/>
      <c r="N211" s="15"/>
      <c r="O211" s="15"/>
      <c r="P211" s="12"/>
      <c r="Q211" s="12"/>
      <c r="R211" s="12"/>
      <c r="S211" s="12"/>
      <c r="T211" s="12"/>
    </row>
    <row r="212">
      <c r="A212" s="9">
        <v>305.0</v>
      </c>
      <c r="B212" s="11" t="s">
        <v>696</v>
      </c>
      <c r="C212" s="11" t="s">
        <v>697</v>
      </c>
      <c r="D212" s="15"/>
      <c r="E212" s="11" t="s">
        <v>698</v>
      </c>
      <c r="F212" s="11" t="s">
        <v>699</v>
      </c>
      <c r="G212" s="15"/>
      <c r="H212" s="15"/>
      <c r="I212" s="15"/>
      <c r="J212" s="15"/>
      <c r="K212" s="15"/>
      <c r="L212" s="15"/>
      <c r="M212" s="15"/>
      <c r="N212" s="15"/>
      <c r="O212" s="15"/>
      <c r="P212" s="12"/>
      <c r="Q212" s="12"/>
      <c r="R212" s="12"/>
      <c r="S212" s="12"/>
      <c r="T212" s="12"/>
    </row>
    <row r="213">
      <c r="A213" s="9">
        <v>306.0</v>
      </c>
      <c r="B213" s="11" t="s">
        <v>700</v>
      </c>
      <c r="C213" s="11" t="s">
        <v>701</v>
      </c>
      <c r="D213" s="15"/>
      <c r="E213" s="10"/>
      <c r="F213" s="10"/>
      <c r="G213" s="11" t="s">
        <v>702</v>
      </c>
      <c r="H213" s="15"/>
      <c r="I213" s="15"/>
      <c r="J213" s="15"/>
      <c r="K213" s="15"/>
      <c r="L213" s="15"/>
      <c r="M213" s="15"/>
      <c r="N213" s="15"/>
      <c r="O213" s="15"/>
      <c r="P213" s="12"/>
      <c r="Q213" s="12"/>
      <c r="R213" s="12"/>
      <c r="S213" s="12"/>
      <c r="T213" s="12"/>
    </row>
    <row r="214">
      <c r="A214" s="9">
        <v>307.0</v>
      </c>
      <c r="B214" s="11" t="s">
        <v>703</v>
      </c>
      <c r="C214" s="11" t="s">
        <v>704</v>
      </c>
      <c r="D214" s="15"/>
      <c r="E214" s="11" t="s">
        <v>705</v>
      </c>
      <c r="F214" s="11" t="s">
        <v>704</v>
      </c>
      <c r="G214" s="15"/>
      <c r="H214" s="15"/>
      <c r="I214" s="15"/>
      <c r="J214" s="15"/>
      <c r="K214" s="15"/>
      <c r="L214" s="15"/>
      <c r="M214" s="15"/>
      <c r="N214" s="15"/>
      <c r="O214" s="15"/>
      <c r="P214" s="12"/>
      <c r="Q214" s="12"/>
      <c r="R214" s="12"/>
      <c r="S214" s="12"/>
      <c r="T214" s="12"/>
    </row>
    <row r="215">
      <c r="A215" s="9">
        <v>308.0</v>
      </c>
      <c r="B215" s="11" t="s">
        <v>706</v>
      </c>
      <c r="C215" s="11" t="s">
        <v>707</v>
      </c>
      <c r="D215" s="15"/>
      <c r="E215" s="10"/>
      <c r="F215" s="10"/>
      <c r="G215" s="11" t="s">
        <v>708</v>
      </c>
      <c r="H215" s="15"/>
      <c r="I215" s="15"/>
      <c r="J215" s="15"/>
      <c r="K215" s="15"/>
      <c r="L215" s="15"/>
      <c r="M215" s="15"/>
      <c r="N215" s="15"/>
      <c r="O215" s="15"/>
      <c r="P215" s="12"/>
      <c r="Q215" s="12"/>
      <c r="R215" s="12"/>
      <c r="S215" s="12"/>
      <c r="T215" s="12"/>
    </row>
    <row r="216">
      <c r="A216" s="9">
        <v>309.0</v>
      </c>
      <c r="B216" s="11" t="s">
        <v>709</v>
      </c>
      <c r="C216" s="11" t="s">
        <v>710</v>
      </c>
      <c r="D216" s="15"/>
      <c r="E216" s="11" t="s">
        <v>711</v>
      </c>
      <c r="F216" s="11" t="s">
        <v>712</v>
      </c>
      <c r="G216" s="15"/>
      <c r="H216" s="15"/>
      <c r="I216" s="15"/>
      <c r="J216" s="15"/>
      <c r="K216" s="15"/>
      <c r="L216" s="15"/>
      <c r="M216" s="15"/>
      <c r="N216" s="15"/>
      <c r="O216" s="15"/>
      <c r="P216" s="12"/>
      <c r="Q216" s="12"/>
      <c r="R216" s="12"/>
      <c r="S216" s="12"/>
      <c r="T216" s="12"/>
    </row>
    <row r="217">
      <c r="A217" s="9">
        <v>310.0</v>
      </c>
      <c r="B217" s="10"/>
      <c r="C217" s="10"/>
      <c r="D217" s="11" t="s">
        <v>713</v>
      </c>
      <c r="E217" s="10"/>
      <c r="F217" s="10"/>
      <c r="G217" s="11" t="s">
        <v>714</v>
      </c>
      <c r="H217" s="15"/>
      <c r="I217" s="15"/>
      <c r="J217" s="15"/>
      <c r="K217" s="15"/>
      <c r="L217" s="15"/>
      <c r="M217" s="15"/>
      <c r="N217" s="15"/>
      <c r="O217" s="15"/>
      <c r="P217" s="12"/>
      <c r="Q217" s="12"/>
      <c r="R217" s="12"/>
      <c r="S217" s="12"/>
      <c r="T217" s="12"/>
    </row>
    <row r="218">
      <c r="A218" s="9">
        <v>311.0</v>
      </c>
      <c r="B218" s="11" t="s">
        <v>715</v>
      </c>
      <c r="C218" s="11" t="s">
        <v>716</v>
      </c>
      <c r="D218" s="15"/>
      <c r="E218" s="15"/>
      <c r="F218" s="10"/>
      <c r="G218" s="11" t="s">
        <v>717</v>
      </c>
      <c r="H218" s="15"/>
      <c r="I218" s="15"/>
      <c r="J218" s="15"/>
      <c r="K218" s="15"/>
      <c r="L218" s="15"/>
      <c r="M218" s="15"/>
      <c r="N218" s="15"/>
      <c r="O218" s="15"/>
      <c r="P218" s="12"/>
      <c r="Q218" s="12"/>
      <c r="R218" s="12"/>
      <c r="S218" s="12"/>
      <c r="T218" s="12"/>
    </row>
    <row r="219">
      <c r="A219" s="9">
        <v>312.0</v>
      </c>
      <c r="B219" s="11" t="s">
        <v>718</v>
      </c>
      <c r="C219" s="11" t="s">
        <v>719</v>
      </c>
      <c r="D219" s="15"/>
      <c r="E219" s="10"/>
      <c r="F219" s="10"/>
      <c r="G219" s="11" t="s">
        <v>720</v>
      </c>
      <c r="H219" s="15"/>
      <c r="I219" s="15"/>
      <c r="J219" s="15"/>
      <c r="K219" s="15"/>
      <c r="L219" s="15"/>
      <c r="M219" s="15"/>
      <c r="N219" s="15"/>
      <c r="O219" s="15"/>
      <c r="P219" s="12"/>
      <c r="Q219" s="12"/>
      <c r="R219" s="12"/>
      <c r="S219" s="12"/>
      <c r="T219" s="12"/>
    </row>
    <row r="220">
      <c r="A220" s="9">
        <v>313.0</v>
      </c>
      <c r="B220" s="11" t="s">
        <v>721</v>
      </c>
      <c r="C220" s="11" t="s">
        <v>722</v>
      </c>
      <c r="D220" s="10"/>
      <c r="E220" s="11" t="s">
        <v>723</v>
      </c>
      <c r="F220" s="11" t="s">
        <v>724</v>
      </c>
      <c r="G220" s="10"/>
      <c r="H220" s="15"/>
      <c r="I220" s="15"/>
      <c r="J220" s="15"/>
      <c r="K220" s="15"/>
      <c r="L220" s="15"/>
      <c r="M220" s="15"/>
      <c r="N220" s="15"/>
      <c r="O220" s="15"/>
      <c r="P220" s="12"/>
      <c r="Q220" s="12"/>
      <c r="R220" s="12"/>
      <c r="S220" s="12"/>
      <c r="T220" s="12"/>
    </row>
    <row r="221">
      <c r="A221" s="9">
        <v>314.0</v>
      </c>
      <c r="B221" s="11" t="s">
        <v>725</v>
      </c>
      <c r="C221" s="11" t="s">
        <v>159</v>
      </c>
      <c r="D221" s="15"/>
      <c r="E221" s="15"/>
      <c r="F221" s="10"/>
      <c r="G221" s="11" t="s">
        <v>726</v>
      </c>
      <c r="H221" s="15"/>
      <c r="I221" s="15"/>
      <c r="J221" s="15"/>
      <c r="K221" s="15"/>
      <c r="L221" s="15"/>
      <c r="M221" s="15"/>
      <c r="N221" s="15"/>
      <c r="O221" s="15"/>
      <c r="P221" s="12"/>
      <c r="Q221" s="12"/>
      <c r="R221" s="12"/>
      <c r="S221" s="12"/>
      <c r="T221" s="12"/>
    </row>
    <row r="222">
      <c r="A222" s="9">
        <v>315.0</v>
      </c>
      <c r="B222" s="11" t="s">
        <v>727</v>
      </c>
      <c r="C222" s="11" t="s">
        <v>728</v>
      </c>
      <c r="D222" s="15"/>
      <c r="E222" s="11" t="s">
        <v>729</v>
      </c>
      <c r="F222" s="11" t="s">
        <v>730</v>
      </c>
      <c r="G222" s="15"/>
      <c r="H222" s="15"/>
      <c r="I222" s="15"/>
      <c r="J222" s="15"/>
      <c r="K222" s="15"/>
      <c r="L222" s="15"/>
      <c r="M222" s="15"/>
      <c r="N222" s="15"/>
      <c r="O222" s="15"/>
      <c r="P222" s="12"/>
      <c r="Q222" s="12"/>
      <c r="R222" s="12"/>
      <c r="S222" s="12"/>
      <c r="T222" s="12"/>
    </row>
    <row r="223">
      <c r="A223" s="9">
        <v>317.0</v>
      </c>
      <c r="B223" s="11" t="s">
        <v>731</v>
      </c>
      <c r="C223" s="11" t="s">
        <v>732</v>
      </c>
      <c r="D223" s="15"/>
      <c r="E223" s="10"/>
      <c r="F223" s="10"/>
      <c r="G223" s="11" t="s">
        <v>733</v>
      </c>
      <c r="H223" s="15"/>
      <c r="I223" s="15"/>
      <c r="J223" s="15"/>
      <c r="K223" s="15"/>
      <c r="L223" s="15"/>
      <c r="M223" s="15"/>
      <c r="N223" s="15"/>
      <c r="O223" s="15"/>
      <c r="P223" s="12"/>
      <c r="Q223" s="12"/>
      <c r="R223" s="12"/>
      <c r="S223" s="12"/>
      <c r="T223" s="12"/>
    </row>
    <row r="224">
      <c r="A224" s="9">
        <v>318.0</v>
      </c>
      <c r="B224" s="11" t="s">
        <v>734</v>
      </c>
      <c r="C224" s="11" t="s">
        <v>735</v>
      </c>
      <c r="D224" s="15"/>
      <c r="E224" s="11" t="s">
        <v>736</v>
      </c>
      <c r="F224" s="11" t="s">
        <v>737</v>
      </c>
      <c r="G224" s="15"/>
      <c r="H224" s="15"/>
      <c r="I224" s="15"/>
      <c r="J224" s="15"/>
      <c r="K224" s="15"/>
      <c r="L224" s="15"/>
      <c r="M224" s="15"/>
      <c r="N224" s="15"/>
      <c r="O224" s="15"/>
      <c r="P224" s="12"/>
      <c r="Q224" s="12"/>
      <c r="R224" s="12"/>
      <c r="S224" s="12"/>
      <c r="T224" s="12"/>
    </row>
    <row r="225">
      <c r="A225" s="9">
        <v>319.0</v>
      </c>
      <c r="B225" s="11" t="s">
        <v>738</v>
      </c>
      <c r="C225" s="11" t="s">
        <v>739</v>
      </c>
      <c r="D225" s="15"/>
      <c r="E225" s="11" t="s">
        <v>740</v>
      </c>
      <c r="F225" s="11" t="s">
        <v>741</v>
      </c>
      <c r="G225" s="15"/>
      <c r="H225" s="15"/>
      <c r="I225" s="15"/>
      <c r="J225" s="15"/>
      <c r="K225" s="15"/>
      <c r="L225" s="15"/>
      <c r="M225" s="15"/>
      <c r="N225" s="15"/>
      <c r="O225" s="15"/>
      <c r="P225" s="12"/>
      <c r="Q225" s="12"/>
      <c r="R225" s="12"/>
      <c r="S225" s="12"/>
      <c r="T225" s="12"/>
    </row>
    <row r="226">
      <c r="A226" s="9">
        <v>321.0</v>
      </c>
      <c r="B226" s="11" t="s">
        <v>54</v>
      </c>
      <c r="C226" s="11" t="s">
        <v>227</v>
      </c>
      <c r="D226" s="15"/>
      <c r="E226" s="11" t="s">
        <v>742</v>
      </c>
      <c r="F226" s="11" t="s">
        <v>227</v>
      </c>
      <c r="G226" s="15"/>
      <c r="H226" s="15"/>
      <c r="I226" s="15"/>
      <c r="J226" s="15"/>
      <c r="K226" s="15"/>
      <c r="L226" s="15"/>
      <c r="M226" s="15"/>
      <c r="N226" s="15"/>
      <c r="O226" s="15"/>
      <c r="P226" s="12"/>
      <c r="Q226" s="12"/>
      <c r="R226" s="12"/>
      <c r="S226" s="12"/>
      <c r="T226" s="12"/>
    </row>
    <row r="227">
      <c r="A227" s="9">
        <v>322.0</v>
      </c>
      <c r="B227" s="11" t="s">
        <v>743</v>
      </c>
      <c r="C227" s="11" t="s">
        <v>744</v>
      </c>
      <c r="D227" s="15"/>
      <c r="E227" s="10"/>
      <c r="F227" s="10"/>
      <c r="G227" s="11" t="s">
        <v>745</v>
      </c>
      <c r="H227" s="15"/>
      <c r="I227" s="15"/>
      <c r="J227" s="15"/>
      <c r="K227" s="15"/>
      <c r="L227" s="15"/>
      <c r="M227" s="15"/>
      <c r="N227" s="15"/>
      <c r="O227" s="15"/>
      <c r="P227" s="12"/>
      <c r="Q227" s="12"/>
      <c r="R227" s="12"/>
      <c r="S227" s="12"/>
      <c r="T227" s="12"/>
    </row>
    <row r="228">
      <c r="A228" s="9">
        <v>323.0</v>
      </c>
      <c r="B228" s="11" t="s">
        <v>639</v>
      </c>
      <c r="C228" s="11" t="s">
        <v>746</v>
      </c>
      <c r="D228" s="15"/>
      <c r="E228" s="10"/>
      <c r="F228" s="10"/>
      <c r="G228" s="11" t="s">
        <v>747</v>
      </c>
      <c r="H228" s="15"/>
      <c r="I228" s="15"/>
      <c r="J228" s="15"/>
      <c r="K228" s="15"/>
      <c r="L228" s="15"/>
      <c r="M228" s="15"/>
      <c r="N228" s="15"/>
      <c r="O228" s="15"/>
      <c r="P228" s="12"/>
      <c r="Q228" s="12"/>
      <c r="R228" s="12"/>
      <c r="S228" s="12"/>
      <c r="T228" s="12"/>
    </row>
    <row r="229">
      <c r="A229" s="9">
        <v>325.0</v>
      </c>
      <c r="B229" s="11" t="s">
        <v>748</v>
      </c>
      <c r="C229" s="11" t="s">
        <v>749</v>
      </c>
      <c r="D229" s="15"/>
      <c r="E229" s="11" t="s">
        <v>750</v>
      </c>
      <c r="F229" s="11" t="s">
        <v>751</v>
      </c>
      <c r="G229" s="15"/>
      <c r="H229" s="15"/>
      <c r="I229" s="15"/>
      <c r="J229" s="15"/>
      <c r="K229" s="15"/>
      <c r="L229" s="15"/>
      <c r="M229" s="15"/>
      <c r="N229" s="15"/>
      <c r="O229" s="15"/>
      <c r="P229" s="12"/>
      <c r="Q229" s="12"/>
      <c r="R229" s="12"/>
      <c r="S229" s="12"/>
      <c r="T229" s="12"/>
    </row>
    <row r="230">
      <c r="A230" s="9">
        <v>326.0</v>
      </c>
      <c r="B230" s="11" t="s">
        <v>752</v>
      </c>
      <c r="C230" s="11" t="s">
        <v>753</v>
      </c>
      <c r="D230" s="15"/>
      <c r="E230" s="15"/>
      <c r="F230" s="10"/>
      <c r="G230" s="11" t="s">
        <v>754</v>
      </c>
      <c r="H230" s="15"/>
      <c r="I230" s="15"/>
      <c r="J230" s="15"/>
      <c r="K230" s="15"/>
      <c r="L230" s="15"/>
      <c r="M230" s="15"/>
      <c r="N230" s="15"/>
      <c r="O230" s="15"/>
      <c r="P230" s="12"/>
      <c r="Q230" s="12"/>
      <c r="R230" s="12"/>
      <c r="S230" s="12"/>
      <c r="T230" s="12"/>
    </row>
    <row r="231">
      <c r="A231" s="9">
        <v>327.0</v>
      </c>
      <c r="B231" s="11" t="s">
        <v>755</v>
      </c>
      <c r="C231" s="11" t="s">
        <v>756</v>
      </c>
      <c r="D231" s="15"/>
      <c r="E231" s="11" t="s">
        <v>757</v>
      </c>
      <c r="F231" s="11" t="s">
        <v>758</v>
      </c>
      <c r="G231" s="15"/>
      <c r="H231" s="15"/>
      <c r="I231" s="15"/>
      <c r="J231" s="15"/>
      <c r="K231" s="15"/>
      <c r="L231" s="15"/>
      <c r="M231" s="15"/>
      <c r="N231" s="15"/>
      <c r="O231" s="15"/>
      <c r="P231" s="12"/>
      <c r="Q231" s="12"/>
      <c r="R231" s="12"/>
      <c r="S231" s="12"/>
      <c r="T231" s="12"/>
    </row>
    <row r="232">
      <c r="A232" s="9">
        <v>328.0</v>
      </c>
      <c r="B232" s="11" t="s">
        <v>759</v>
      </c>
      <c r="C232" s="11" t="s">
        <v>760</v>
      </c>
      <c r="D232" s="15"/>
      <c r="E232" s="11" t="s">
        <v>761</v>
      </c>
      <c r="F232" s="11" t="s">
        <v>762</v>
      </c>
      <c r="G232" s="15"/>
      <c r="H232" s="15"/>
      <c r="I232" s="15"/>
      <c r="J232" s="15"/>
      <c r="K232" s="15"/>
      <c r="L232" s="15"/>
      <c r="M232" s="15"/>
      <c r="N232" s="15"/>
      <c r="O232" s="15"/>
      <c r="P232" s="12"/>
      <c r="Q232" s="12"/>
      <c r="R232" s="12"/>
      <c r="S232" s="12"/>
      <c r="T232" s="12"/>
    </row>
    <row r="233">
      <c r="A233" s="9">
        <v>329.0</v>
      </c>
      <c r="B233" s="11" t="s">
        <v>763</v>
      </c>
      <c r="C233" s="11" t="s">
        <v>764</v>
      </c>
      <c r="D233" s="15"/>
      <c r="E233" s="15"/>
      <c r="F233" s="10"/>
      <c r="G233" s="11" t="s">
        <v>765</v>
      </c>
      <c r="H233" s="15"/>
      <c r="I233" s="15"/>
      <c r="J233" s="15"/>
      <c r="K233" s="15"/>
      <c r="L233" s="15"/>
      <c r="M233" s="15"/>
      <c r="N233" s="15"/>
      <c r="O233" s="15"/>
      <c r="P233" s="12"/>
      <c r="Q233" s="12"/>
      <c r="R233" s="12"/>
      <c r="S233" s="12"/>
      <c r="T233" s="12"/>
    </row>
    <row r="234">
      <c r="A234" s="9">
        <v>330.0</v>
      </c>
      <c r="B234" s="10"/>
      <c r="C234" s="10"/>
      <c r="D234" s="11" t="s">
        <v>766</v>
      </c>
      <c r="E234" s="10"/>
      <c r="F234" s="10"/>
      <c r="G234" s="11" t="s">
        <v>767</v>
      </c>
      <c r="H234" s="15"/>
      <c r="I234" s="15"/>
      <c r="J234" s="15"/>
      <c r="K234" s="15"/>
      <c r="L234" s="15"/>
      <c r="M234" s="15"/>
      <c r="N234" s="15"/>
      <c r="O234" s="15"/>
      <c r="P234" s="12"/>
      <c r="Q234" s="12"/>
      <c r="R234" s="12"/>
      <c r="S234" s="12"/>
      <c r="T234" s="12"/>
    </row>
    <row r="235">
      <c r="A235" s="9">
        <v>331.0</v>
      </c>
      <c r="B235" s="11" t="s">
        <v>768</v>
      </c>
      <c r="C235" s="11" t="s">
        <v>769</v>
      </c>
      <c r="D235" s="15"/>
      <c r="E235" s="10"/>
      <c r="F235" s="10"/>
      <c r="G235" s="11" t="s">
        <v>770</v>
      </c>
      <c r="H235" s="15"/>
      <c r="I235" s="15"/>
      <c r="J235" s="15"/>
      <c r="K235" s="15"/>
      <c r="L235" s="15"/>
      <c r="M235" s="15"/>
      <c r="N235" s="15"/>
      <c r="O235" s="15"/>
      <c r="P235" s="12"/>
      <c r="Q235" s="12"/>
      <c r="R235" s="12"/>
      <c r="S235" s="12"/>
      <c r="T235" s="12"/>
    </row>
    <row r="236">
      <c r="A236" s="9">
        <v>332.0</v>
      </c>
      <c r="B236" s="11" t="s">
        <v>771</v>
      </c>
      <c r="C236" s="11" t="s">
        <v>772</v>
      </c>
      <c r="D236" s="15"/>
      <c r="E236" s="15"/>
      <c r="F236" s="10"/>
      <c r="G236" s="11" t="s">
        <v>773</v>
      </c>
      <c r="H236" s="15"/>
      <c r="I236" s="15"/>
      <c r="J236" s="15"/>
      <c r="K236" s="15"/>
      <c r="L236" s="15"/>
      <c r="M236" s="15"/>
      <c r="N236" s="15"/>
      <c r="O236" s="15"/>
      <c r="P236" s="12"/>
      <c r="Q236" s="12"/>
      <c r="R236" s="12"/>
      <c r="S236" s="12"/>
      <c r="T236" s="12"/>
    </row>
    <row r="237">
      <c r="A237" s="9">
        <v>333.0</v>
      </c>
      <c r="B237" s="11" t="s">
        <v>774</v>
      </c>
      <c r="C237" s="11" t="s">
        <v>775</v>
      </c>
      <c r="D237" s="10"/>
      <c r="E237" s="11" t="s">
        <v>776</v>
      </c>
      <c r="F237" s="11" t="s">
        <v>777</v>
      </c>
      <c r="G237" s="10"/>
      <c r="H237" s="15"/>
      <c r="I237" s="15"/>
      <c r="J237" s="15"/>
      <c r="K237" s="15"/>
      <c r="L237" s="15"/>
      <c r="M237" s="15"/>
      <c r="N237" s="15"/>
      <c r="O237" s="15"/>
      <c r="P237" s="12"/>
      <c r="Q237" s="12"/>
      <c r="R237" s="12"/>
      <c r="S237" s="12"/>
      <c r="T237" s="12"/>
    </row>
    <row r="238">
      <c r="A238" s="9">
        <v>335.0</v>
      </c>
      <c r="B238" s="11" t="s">
        <v>778</v>
      </c>
      <c r="C238" s="11" t="s">
        <v>779</v>
      </c>
      <c r="D238" s="15"/>
      <c r="E238" s="11" t="s">
        <v>780</v>
      </c>
      <c r="F238" s="11" t="s">
        <v>781</v>
      </c>
      <c r="G238" s="15"/>
      <c r="H238" s="15"/>
      <c r="I238" s="15"/>
      <c r="J238" s="15"/>
      <c r="K238" s="15"/>
      <c r="L238" s="15"/>
      <c r="M238" s="15"/>
      <c r="N238" s="15"/>
      <c r="O238" s="15"/>
      <c r="P238" s="12"/>
      <c r="Q238" s="12"/>
      <c r="R238" s="12"/>
      <c r="S238" s="12"/>
      <c r="T238" s="12"/>
    </row>
    <row r="239">
      <c r="A239" s="9">
        <v>336.0</v>
      </c>
      <c r="B239" s="10"/>
      <c r="C239" s="10"/>
      <c r="D239" s="15"/>
      <c r="E239" s="15"/>
      <c r="F239" s="10"/>
      <c r="G239" s="15"/>
      <c r="H239" s="15"/>
      <c r="I239" s="15"/>
      <c r="J239" s="15"/>
      <c r="K239" s="11" t="s">
        <v>519</v>
      </c>
      <c r="L239" s="11" t="s">
        <v>782</v>
      </c>
      <c r="M239" s="15"/>
      <c r="N239" s="15"/>
      <c r="O239" s="11" t="s">
        <v>783</v>
      </c>
      <c r="P239" s="12"/>
      <c r="Q239" s="12"/>
      <c r="R239" s="12"/>
      <c r="S239" s="12"/>
      <c r="T239" s="12"/>
    </row>
    <row r="240">
      <c r="A240" s="9">
        <v>337.0</v>
      </c>
      <c r="B240" s="11" t="s">
        <v>784</v>
      </c>
      <c r="C240" s="11" t="s">
        <v>785</v>
      </c>
      <c r="D240" s="15"/>
      <c r="E240" s="10"/>
      <c r="F240" s="10"/>
      <c r="G240" s="11" t="s">
        <v>786</v>
      </c>
      <c r="H240" s="15"/>
      <c r="I240" s="15"/>
      <c r="J240" s="15"/>
      <c r="K240" s="15"/>
      <c r="L240" s="15"/>
      <c r="M240" s="15"/>
      <c r="N240" s="15"/>
      <c r="O240" s="15"/>
      <c r="P240" s="12"/>
      <c r="Q240" s="12"/>
      <c r="R240" s="12"/>
      <c r="S240" s="12"/>
      <c r="T240" s="12"/>
    </row>
    <row r="241">
      <c r="A241" s="9">
        <v>338.0</v>
      </c>
      <c r="B241" s="11" t="s">
        <v>787</v>
      </c>
      <c r="C241" s="11" t="s">
        <v>788</v>
      </c>
      <c r="D241" s="15"/>
      <c r="E241" s="11" t="s">
        <v>789</v>
      </c>
      <c r="F241" s="11" t="s">
        <v>790</v>
      </c>
      <c r="G241" s="15"/>
      <c r="H241" s="15"/>
      <c r="I241" s="15"/>
      <c r="J241" s="15"/>
      <c r="K241" s="15"/>
      <c r="L241" s="15"/>
      <c r="M241" s="15"/>
      <c r="N241" s="15"/>
      <c r="O241" s="15"/>
      <c r="P241" s="12"/>
      <c r="Q241" s="12"/>
      <c r="R241" s="12"/>
      <c r="S241" s="12"/>
      <c r="T241" s="12"/>
    </row>
    <row r="242">
      <c r="A242" s="9">
        <v>339.0</v>
      </c>
      <c r="B242" s="11" t="s">
        <v>791</v>
      </c>
      <c r="C242" s="11" t="s">
        <v>792</v>
      </c>
      <c r="D242" s="15"/>
      <c r="E242" s="11" t="s">
        <v>793</v>
      </c>
      <c r="F242" s="11" t="s">
        <v>794</v>
      </c>
      <c r="G242" s="15"/>
      <c r="H242" s="15"/>
      <c r="I242" s="15"/>
      <c r="J242" s="15"/>
      <c r="K242" s="10"/>
      <c r="L242" s="10"/>
      <c r="M242" s="15"/>
      <c r="N242" s="15"/>
      <c r="O242" s="10"/>
      <c r="P242" s="12"/>
      <c r="Q242" s="12"/>
      <c r="R242" s="12"/>
      <c r="S242" s="12"/>
      <c r="T242" s="12"/>
    </row>
    <row r="243">
      <c r="A243" s="9">
        <v>340.0</v>
      </c>
      <c r="B243" s="11" t="s">
        <v>795</v>
      </c>
      <c r="C243" s="11" t="s">
        <v>796</v>
      </c>
      <c r="D243" s="15"/>
      <c r="E243" s="11" t="s">
        <v>797</v>
      </c>
      <c r="F243" s="11" t="s">
        <v>798</v>
      </c>
      <c r="G243" s="15"/>
      <c r="H243" s="15"/>
      <c r="I243" s="15"/>
      <c r="J243" s="15"/>
      <c r="K243" s="15"/>
      <c r="L243" s="15"/>
      <c r="M243" s="15"/>
      <c r="N243" s="15"/>
      <c r="O243" s="15"/>
      <c r="P243" s="12"/>
      <c r="Q243" s="12"/>
      <c r="R243" s="12"/>
      <c r="S243" s="12"/>
      <c r="T243" s="12"/>
    </row>
    <row r="244">
      <c r="A244" s="9">
        <v>341.0</v>
      </c>
      <c r="B244" s="11" t="s">
        <v>47</v>
      </c>
      <c r="C244" s="11" t="s">
        <v>227</v>
      </c>
      <c r="D244" s="15"/>
      <c r="E244" s="11" t="s">
        <v>799</v>
      </c>
      <c r="F244" s="11" t="s">
        <v>800</v>
      </c>
      <c r="G244" s="15"/>
      <c r="H244" s="15"/>
      <c r="I244" s="15"/>
      <c r="J244" s="15"/>
      <c r="K244" s="15"/>
      <c r="L244" s="15"/>
      <c r="M244" s="15"/>
      <c r="N244" s="15"/>
      <c r="O244" s="15"/>
      <c r="P244" s="12"/>
      <c r="Q244" s="12"/>
      <c r="R244" s="12"/>
      <c r="S244" s="12"/>
      <c r="T244" s="12"/>
    </row>
    <row r="245">
      <c r="A245" s="9">
        <v>342.0</v>
      </c>
      <c r="B245" s="11" t="s">
        <v>801</v>
      </c>
      <c r="C245" s="11" t="s">
        <v>802</v>
      </c>
      <c r="D245" s="15"/>
      <c r="E245" s="11" t="s">
        <v>803</v>
      </c>
      <c r="F245" s="11" t="s">
        <v>188</v>
      </c>
      <c r="G245" s="15"/>
      <c r="H245" s="15"/>
      <c r="I245" s="15"/>
      <c r="J245" s="15"/>
      <c r="K245" s="15"/>
      <c r="L245" s="15"/>
      <c r="M245" s="15"/>
      <c r="N245" s="15"/>
      <c r="O245" s="15"/>
      <c r="P245" s="12"/>
      <c r="Q245" s="12"/>
      <c r="R245" s="12"/>
      <c r="S245" s="12"/>
      <c r="T245" s="12"/>
    </row>
    <row r="246">
      <c r="A246" s="9">
        <v>345.0</v>
      </c>
      <c r="B246" s="11" t="s">
        <v>804</v>
      </c>
      <c r="C246" s="11" t="s">
        <v>805</v>
      </c>
      <c r="D246" s="15"/>
      <c r="E246" s="11" t="s">
        <v>806</v>
      </c>
      <c r="F246" s="11" t="s">
        <v>807</v>
      </c>
      <c r="G246" s="15"/>
      <c r="H246" s="15"/>
      <c r="I246" s="15"/>
      <c r="J246" s="15"/>
      <c r="K246" s="15"/>
      <c r="L246" s="15"/>
      <c r="M246" s="15"/>
      <c r="N246" s="15"/>
      <c r="O246" s="15"/>
      <c r="P246" s="12"/>
      <c r="Q246" s="12"/>
      <c r="R246" s="12"/>
      <c r="S246" s="12"/>
      <c r="T246" s="12"/>
    </row>
    <row r="247">
      <c r="A247" s="9">
        <v>347.0</v>
      </c>
      <c r="B247" s="10"/>
      <c r="C247" s="10"/>
      <c r="D247" s="11" t="s">
        <v>808</v>
      </c>
      <c r="E247" s="10"/>
      <c r="F247" s="10"/>
      <c r="G247" s="11" t="s">
        <v>809</v>
      </c>
      <c r="H247" s="15"/>
      <c r="I247" s="15"/>
      <c r="J247" s="15"/>
      <c r="K247" s="15"/>
      <c r="L247" s="15"/>
      <c r="M247" s="15"/>
      <c r="N247" s="15"/>
      <c r="O247" s="15"/>
      <c r="P247" s="12"/>
      <c r="Q247" s="12"/>
      <c r="R247" s="12"/>
      <c r="S247" s="12"/>
      <c r="T247" s="12"/>
    </row>
    <row r="248">
      <c r="A248" s="9">
        <v>349.0</v>
      </c>
      <c r="B248" s="11" t="s">
        <v>810</v>
      </c>
      <c r="C248" s="11" t="s">
        <v>811</v>
      </c>
      <c r="D248" s="15"/>
      <c r="E248" s="11" t="s">
        <v>812</v>
      </c>
      <c r="F248" s="11" t="s">
        <v>813</v>
      </c>
      <c r="G248" s="15"/>
      <c r="H248" s="15"/>
      <c r="I248" s="15"/>
      <c r="J248" s="15"/>
      <c r="K248" s="15"/>
      <c r="L248" s="15"/>
      <c r="M248" s="15"/>
      <c r="N248" s="15"/>
      <c r="O248" s="15"/>
      <c r="P248" s="12"/>
      <c r="Q248" s="12"/>
      <c r="R248" s="12"/>
      <c r="S248" s="12"/>
      <c r="T248" s="12"/>
    </row>
    <row r="249">
      <c r="A249" s="9">
        <v>351.0</v>
      </c>
      <c r="B249" s="11" t="s">
        <v>814</v>
      </c>
      <c r="C249" s="11" t="s">
        <v>815</v>
      </c>
      <c r="D249" s="15"/>
      <c r="E249" s="10"/>
      <c r="F249" s="10"/>
      <c r="G249" s="11" t="s">
        <v>816</v>
      </c>
      <c r="H249" s="15"/>
      <c r="I249" s="15"/>
      <c r="J249" s="15"/>
      <c r="K249" s="15"/>
      <c r="L249" s="15"/>
      <c r="M249" s="15"/>
      <c r="N249" s="15"/>
      <c r="O249" s="15"/>
      <c r="P249" s="12"/>
      <c r="Q249" s="12"/>
      <c r="R249" s="12"/>
      <c r="S249" s="12"/>
      <c r="T249" s="12"/>
    </row>
    <row r="250">
      <c r="A250" s="9">
        <v>352.0</v>
      </c>
      <c r="B250" s="11" t="s">
        <v>817</v>
      </c>
      <c r="C250" s="11" t="s">
        <v>818</v>
      </c>
      <c r="D250" s="10"/>
      <c r="E250" s="11" t="s">
        <v>819</v>
      </c>
      <c r="F250" s="11" t="s">
        <v>820</v>
      </c>
      <c r="G250" s="10"/>
      <c r="H250" s="15"/>
      <c r="I250" s="15"/>
      <c r="J250" s="15"/>
      <c r="K250" s="15"/>
      <c r="L250" s="15"/>
      <c r="M250" s="15"/>
      <c r="N250" s="15"/>
      <c r="O250" s="15"/>
      <c r="P250" s="12"/>
      <c r="Q250" s="12"/>
      <c r="R250" s="12"/>
      <c r="S250" s="12"/>
      <c r="T250" s="12"/>
    </row>
    <row r="251">
      <c r="A251" s="9">
        <v>354.0</v>
      </c>
      <c r="B251" s="11" t="s">
        <v>821</v>
      </c>
      <c r="C251" s="11" t="s">
        <v>822</v>
      </c>
      <c r="D251" s="15"/>
      <c r="E251" s="11" t="s">
        <v>823</v>
      </c>
      <c r="F251" s="11" t="s">
        <v>824</v>
      </c>
      <c r="G251" s="15"/>
      <c r="H251" s="15"/>
      <c r="I251" s="15"/>
      <c r="J251" s="15"/>
      <c r="K251" s="15"/>
      <c r="L251" s="15"/>
      <c r="M251" s="15"/>
      <c r="N251" s="15"/>
      <c r="O251" s="15"/>
      <c r="P251" s="12"/>
      <c r="Q251" s="12"/>
      <c r="R251" s="12"/>
      <c r="S251" s="12"/>
      <c r="T251" s="12"/>
    </row>
    <row r="252">
      <c r="A252" s="9">
        <v>355.0</v>
      </c>
      <c r="B252" s="11" t="s">
        <v>825</v>
      </c>
      <c r="C252" s="11" t="s">
        <v>826</v>
      </c>
      <c r="D252" s="15"/>
      <c r="E252" s="15"/>
      <c r="F252" s="10"/>
      <c r="G252" s="11" t="s">
        <v>827</v>
      </c>
      <c r="H252" s="15"/>
      <c r="I252" s="15"/>
      <c r="J252" s="15"/>
      <c r="K252" s="15"/>
      <c r="L252" s="15"/>
      <c r="M252" s="15"/>
      <c r="N252" s="15"/>
      <c r="O252" s="15"/>
      <c r="P252" s="12"/>
      <c r="Q252" s="12"/>
      <c r="R252" s="12"/>
      <c r="S252" s="12"/>
      <c r="T252" s="12"/>
    </row>
    <row r="253">
      <c r="A253" s="9">
        <v>357.0</v>
      </c>
      <c r="B253" s="11" t="s">
        <v>126</v>
      </c>
      <c r="C253" s="11" t="s">
        <v>828</v>
      </c>
      <c r="D253" s="15"/>
      <c r="E253" s="11" t="s">
        <v>829</v>
      </c>
      <c r="F253" s="11" t="s">
        <v>830</v>
      </c>
      <c r="G253" s="15"/>
      <c r="H253" s="15"/>
      <c r="I253" s="15"/>
      <c r="J253" s="15"/>
      <c r="K253" s="15"/>
      <c r="L253" s="15"/>
      <c r="M253" s="15"/>
      <c r="N253" s="15"/>
      <c r="O253" s="15"/>
      <c r="P253" s="12"/>
      <c r="Q253" s="12"/>
      <c r="R253" s="12"/>
      <c r="S253" s="12"/>
      <c r="T253" s="12"/>
    </row>
    <row r="254">
      <c r="A254" s="9">
        <v>358.0</v>
      </c>
      <c r="B254" s="11" t="s">
        <v>831</v>
      </c>
      <c r="C254" s="11" t="s">
        <v>832</v>
      </c>
      <c r="D254" s="15"/>
      <c r="E254" s="11" t="s">
        <v>833</v>
      </c>
      <c r="F254" s="11" t="s">
        <v>834</v>
      </c>
      <c r="G254" s="15"/>
      <c r="H254" s="15"/>
      <c r="I254" s="15"/>
      <c r="J254" s="15"/>
      <c r="K254" s="15"/>
      <c r="L254" s="15"/>
      <c r="M254" s="15"/>
      <c r="N254" s="15"/>
      <c r="O254" s="15"/>
      <c r="P254" s="12"/>
      <c r="Q254" s="12"/>
      <c r="R254" s="12"/>
      <c r="S254" s="12"/>
      <c r="T254" s="12"/>
    </row>
    <row r="255">
      <c r="A255" s="9">
        <v>360.0</v>
      </c>
      <c r="B255" s="11" t="s">
        <v>715</v>
      </c>
      <c r="C255" s="11" t="s">
        <v>835</v>
      </c>
      <c r="D255" s="15"/>
      <c r="E255" s="11" t="s">
        <v>836</v>
      </c>
      <c r="F255" s="11" t="s">
        <v>837</v>
      </c>
      <c r="G255" s="15"/>
      <c r="H255" s="15"/>
      <c r="I255" s="15"/>
      <c r="J255" s="15"/>
      <c r="K255" s="15"/>
      <c r="L255" s="15"/>
      <c r="M255" s="15"/>
      <c r="N255" s="15"/>
      <c r="O255" s="15"/>
      <c r="P255" s="12"/>
      <c r="Q255" s="12"/>
      <c r="R255" s="12"/>
      <c r="S255" s="12"/>
      <c r="T255" s="12"/>
    </row>
    <row r="256">
      <c r="A256" s="9">
        <v>361.0</v>
      </c>
      <c r="B256" s="11" t="s">
        <v>838</v>
      </c>
      <c r="C256" s="11" t="s">
        <v>839</v>
      </c>
      <c r="D256" s="15"/>
      <c r="E256" s="11" t="s">
        <v>840</v>
      </c>
      <c r="F256" s="11" t="s">
        <v>841</v>
      </c>
      <c r="G256" s="15"/>
      <c r="H256" s="15"/>
      <c r="I256" s="15"/>
      <c r="J256" s="15"/>
      <c r="K256" s="15"/>
      <c r="L256" s="15"/>
      <c r="M256" s="15"/>
      <c r="N256" s="15"/>
      <c r="O256" s="15"/>
      <c r="P256" s="12"/>
      <c r="Q256" s="12"/>
      <c r="R256" s="12"/>
      <c r="S256" s="12"/>
      <c r="T256" s="12"/>
    </row>
    <row r="257">
      <c r="A257" s="9">
        <v>362.0</v>
      </c>
      <c r="B257" s="10"/>
      <c r="C257" s="10"/>
      <c r="D257" s="11" t="s">
        <v>384</v>
      </c>
      <c r="E257" s="10"/>
      <c r="F257" s="10"/>
      <c r="G257" s="11" t="s">
        <v>842</v>
      </c>
      <c r="H257" s="15"/>
      <c r="I257" s="15"/>
      <c r="J257" s="15"/>
      <c r="K257" s="15"/>
      <c r="L257" s="15"/>
      <c r="M257" s="15"/>
      <c r="N257" s="15"/>
      <c r="O257" s="15"/>
      <c r="P257" s="12"/>
      <c r="Q257" s="12"/>
      <c r="R257" s="12"/>
      <c r="S257" s="12"/>
      <c r="T257" s="12"/>
    </row>
    <row r="258">
      <c r="A258" s="9">
        <v>363.0</v>
      </c>
      <c r="B258" s="11" t="s">
        <v>843</v>
      </c>
      <c r="C258" s="11" t="s">
        <v>844</v>
      </c>
      <c r="D258" s="15"/>
      <c r="E258" s="10"/>
      <c r="F258" s="10"/>
      <c r="G258" s="11" t="s">
        <v>845</v>
      </c>
      <c r="H258" s="15"/>
      <c r="I258" s="15"/>
      <c r="J258" s="15"/>
      <c r="K258" s="15"/>
      <c r="L258" s="15"/>
      <c r="M258" s="15"/>
      <c r="N258" s="15"/>
      <c r="O258" s="15"/>
      <c r="P258" s="12"/>
      <c r="Q258" s="12"/>
      <c r="R258" s="12"/>
      <c r="S258" s="12"/>
      <c r="T258" s="12"/>
    </row>
    <row r="259">
      <c r="A259" s="9">
        <v>364.0</v>
      </c>
      <c r="B259" s="11" t="s">
        <v>846</v>
      </c>
      <c r="C259" s="11" t="s">
        <v>93</v>
      </c>
      <c r="D259" s="15"/>
      <c r="E259" s="11" t="s">
        <v>847</v>
      </c>
      <c r="F259" s="11" t="s">
        <v>848</v>
      </c>
      <c r="G259" s="15"/>
      <c r="H259" s="15"/>
      <c r="I259" s="15"/>
      <c r="J259" s="15"/>
      <c r="K259" s="15"/>
      <c r="L259" s="15"/>
      <c r="M259" s="15"/>
      <c r="N259" s="15"/>
      <c r="O259" s="15"/>
      <c r="P259" s="12"/>
      <c r="Q259" s="12"/>
      <c r="R259" s="12"/>
      <c r="S259" s="12"/>
      <c r="T259" s="12"/>
    </row>
    <row r="260">
      <c r="A260" s="9">
        <v>365.0</v>
      </c>
      <c r="B260" s="11" t="s">
        <v>849</v>
      </c>
      <c r="C260" s="11" t="s">
        <v>850</v>
      </c>
      <c r="D260" s="10"/>
      <c r="E260" s="15"/>
      <c r="F260" s="15"/>
      <c r="G260" s="11" t="s">
        <v>851</v>
      </c>
      <c r="H260" s="15"/>
      <c r="I260" s="15"/>
      <c r="J260" s="15"/>
      <c r="K260" s="15"/>
      <c r="L260" s="15"/>
      <c r="M260" s="15"/>
      <c r="N260" s="15"/>
      <c r="O260" s="15"/>
      <c r="P260" s="12"/>
      <c r="Q260" s="12"/>
      <c r="R260" s="12"/>
      <c r="S260" s="12"/>
      <c r="T260" s="12"/>
    </row>
    <row r="261">
      <c r="A261" s="9">
        <v>366.0</v>
      </c>
      <c r="B261" s="10"/>
      <c r="C261" s="10"/>
      <c r="D261" s="11" t="s">
        <v>852</v>
      </c>
      <c r="E261" s="15"/>
      <c r="F261" s="10"/>
      <c r="G261" s="11" t="s">
        <v>853</v>
      </c>
      <c r="H261" s="15"/>
      <c r="I261" s="15"/>
      <c r="J261" s="15"/>
      <c r="K261" s="15"/>
      <c r="L261" s="15"/>
      <c r="M261" s="15"/>
      <c r="N261" s="15"/>
      <c r="O261" s="15"/>
      <c r="P261" s="12"/>
      <c r="Q261" s="12"/>
      <c r="R261" s="12"/>
      <c r="S261" s="12"/>
      <c r="T261" s="12"/>
    </row>
    <row r="262">
      <c r="A262" s="9">
        <v>367.0</v>
      </c>
      <c r="B262" s="11" t="s">
        <v>235</v>
      </c>
      <c r="C262" s="11" t="s">
        <v>854</v>
      </c>
      <c r="D262" s="15"/>
      <c r="E262" s="10"/>
      <c r="F262" s="10"/>
      <c r="G262" s="11" t="s">
        <v>855</v>
      </c>
      <c r="H262" s="15"/>
      <c r="I262" s="15"/>
      <c r="J262" s="15"/>
      <c r="K262" s="15"/>
      <c r="L262" s="15"/>
      <c r="M262" s="15"/>
      <c r="N262" s="15"/>
      <c r="O262" s="15"/>
      <c r="P262" s="12"/>
      <c r="Q262" s="12"/>
      <c r="R262" s="12"/>
      <c r="S262" s="12"/>
      <c r="T262" s="12"/>
    </row>
    <row r="263">
      <c r="A263" s="9">
        <v>368.0</v>
      </c>
      <c r="B263" s="11" t="s">
        <v>856</v>
      </c>
      <c r="C263" s="11" t="s">
        <v>857</v>
      </c>
      <c r="D263" s="15"/>
      <c r="E263" s="11" t="s">
        <v>858</v>
      </c>
      <c r="F263" s="11" t="s">
        <v>859</v>
      </c>
      <c r="G263" s="15"/>
      <c r="H263" s="15"/>
      <c r="I263" s="15"/>
      <c r="J263" s="15"/>
      <c r="K263" s="15"/>
      <c r="L263" s="15"/>
      <c r="M263" s="15"/>
      <c r="N263" s="15"/>
      <c r="O263" s="15"/>
      <c r="P263" s="12"/>
      <c r="Q263" s="12"/>
      <c r="R263" s="12"/>
      <c r="S263" s="12"/>
      <c r="T263" s="12"/>
    </row>
    <row r="264">
      <c r="A264" s="9">
        <v>372.0</v>
      </c>
      <c r="B264" s="11" t="s">
        <v>860</v>
      </c>
      <c r="C264" s="11" t="s">
        <v>861</v>
      </c>
      <c r="D264" s="10"/>
      <c r="E264" s="11" t="s">
        <v>862</v>
      </c>
      <c r="F264" s="11" t="s">
        <v>863</v>
      </c>
      <c r="G264" s="10"/>
      <c r="H264" s="15"/>
      <c r="I264" s="15"/>
      <c r="J264" s="15"/>
      <c r="K264" s="15"/>
      <c r="L264" s="15"/>
      <c r="M264" s="15"/>
      <c r="N264" s="15"/>
      <c r="O264" s="15"/>
      <c r="P264" s="12"/>
      <c r="Q264" s="12"/>
      <c r="R264" s="12"/>
      <c r="S264" s="12"/>
      <c r="T264" s="12"/>
    </row>
    <row r="265">
      <c r="A265" s="9">
        <v>373.0</v>
      </c>
      <c r="B265" s="11" t="s">
        <v>864</v>
      </c>
      <c r="C265" s="11" t="s">
        <v>865</v>
      </c>
      <c r="D265" s="15"/>
      <c r="E265" s="11" t="s">
        <v>866</v>
      </c>
      <c r="F265" s="11" t="s">
        <v>867</v>
      </c>
      <c r="G265" s="15"/>
      <c r="H265" s="15"/>
      <c r="I265" s="15"/>
      <c r="J265" s="15"/>
      <c r="K265" s="15"/>
      <c r="L265" s="15"/>
      <c r="M265" s="15"/>
      <c r="N265" s="15"/>
      <c r="O265" s="15"/>
      <c r="P265" s="12"/>
      <c r="Q265" s="12"/>
      <c r="R265" s="12"/>
      <c r="S265" s="12"/>
      <c r="T265" s="12"/>
    </row>
    <row r="266">
      <c r="A266" s="9">
        <v>374.0</v>
      </c>
      <c r="B266" s="10"/>
      <c r="C266" s="10"/>
      <c r="D266" s="11" t="s">
        <v>868</v>
      </c>
      <c r="E266" s="10"/>
      <c r="F266" s="10"/>
      <c r="G266" s="11" t="s">
        <v>869</v>
      </c>
      <c r="H266" s="15"/>
      <c r="I266" s="15"/>
      <c r="J266" s="15"/>
      <c r="K266" s="15"/>
      <c r="L266" s="15"/>
      <c r="M266" s="15"/>
      <c r="N266" s="15"/>
      <c r="O266" s="15"/>
      <c r="P266" s="12"/>
      <c r="Q266" s="12"/>
      <c r="R266" s="12"/>
      <c r="S266" s="12"/>
      <c r="T266" s="12"/>
    </row>
    <row r="267">
      <c r="A267" s="9">
        <v>376.0</v>
      </c>
      <c r="B267" s="13" t="s">
        <v>870</v>
      </c>
      <c r="C267" s="11" t="s">
        <v>871</v>
      </c>
      <c r="D267" s="15"/>
      <c r="E267" s="10"/>
      <c r="F267" s="10"/>
      <c r="G267" s="11" t="s">
        <v>872</v>
      </c>
      <c r="H267" s="15"/>
      <c r="I267" s="15"/>
      <c r="J267" s="15"/>
      <c r="K267" s="15"/>
      <c r="L267" s="15"/>
      <c r="M267" s="15"/>
      <c r="N267" s="15"/>
      <c r="O267" s="15"/>
      <c r="P267" s="12"/>
      <c r="Q267" s="12"/>
      <c r="R267" s="12"/>
      <c r="S267" s="12"/>
      <c r="T267" s="12"/>
    </row>
    <row r="268">
      <c r="A268" s="9">
        <v>377.0</v>
      </c>
      <c r="B268" s="11" t="s">
        <v>873</v>
      </c>
      <c r="C268" s="11" t="s">
        <v>874</v>
      </c>
      <c r="D268" s="15"/>
      <c r="E268" s="11" t="s">
        <v>875</v>
      </c>
      <c r="F268" s="11" t="s">
        <v>876</v>
      </c>
      <c r="G268" s="15"/>
      <c r="H268" s="15"/>
      <c r="I268" s="15"/>
      <c r="J268" s="15"/>
      <c r="K268" s="15"/>
      <c r="L268" s="15"/>
      <c r="M268" s="15"/>
      <c r="N268" s="15"/>
      <c r="O268" s="15"/>
      <c r="P268" s="12"/>
      <c r="Q268" s="12"/>
      <c r="R268" s="12"/>
      <c r="S268" s="12"/>
      <c r="T268" s="12"/>
    </row>
    <row r="269">
      <c r="A269" s="9">
        <v>379.0</v>
      </c>
      <c r="B269" s="11" t="s">
        <v>877</v>
      </c>
      <c r="C269" s="11" t="s">
        <v>878</v>
      </c>
      <c r="D269" s="10"/>
      <c r="E269" s="15"/>
      <c r="F269" s="15"/>
      <c r="G269" s="11" t="s">
        <v>879</v>
      </c>
      <c r="H269" s="15"/>
      <c r="I269" s="15"/>
      <c r="J269" s="15"/>
      <c r="K269" s="15"/>
      <c r="L269" s="15"/>
      <c r="M269" s="15"/>
      <c r="N269" s="15"/>
      <c r="O269" s="15"/>
      <c r="P269" s="12"/>
      <c r="Q269" s="12"/>
      <c r="R269" s="12"/>
      <c r="S269" s="12"/>
      <c r="T269" s="12"/>
    </row>
    <row r="270">
      <c r="A270" s="9">
        <v>381.0</v>
      </c>
      <c r="B270" s="11" t="s">
        <v>880</v>
      </c>
      <c r="C270" s="11" t="s">
        <v>881</v>
      </c>
      <c r="D270" s="15"/>
      <c r="E270" s="15"/>
      <c r="F270" s="10"/>
      <c r="G270" s="11" t="s">
        <v>882</v>
      </c>
      <c r="H270" s="15"/>
      <c r="I270" s="15"/>
      <c r="J270" s="15"/>
      <c r="K270" s="15"/>
      <c r="L270" s="15"/>
      <c r="M270" s="15"/>
      <c r="N270" s="15"/>
      <c r="O270" s="15"/>
      <c r="P270" s="12"/>
      <c r="Q270" s="12"/>
      <c r="R270" s="12"/>
      <c r="S270" s="12"/>
      <c r="T270" s="12"/>
    </row>
    <row r="271">
      <c r="A271" s="9">
        <v>382.0</v>
      </c>
      <c r="B271" s="11" t="s">
        <v>883</v>
      </c>
      <c r="C271" s="11" t="s">
        <v>884</v>
      </c>
      <c r="D271" s="15"/>
      <c r="E271" s="11" t="s">
        <v>885</v>
      </c>
      <c r="F271" s="11" t="s">
        <v>886</v>
      </c>
      <c r="G271" s="15"/>
      <c r="H271" s="15"/>
      <c r="I271" s="15"/>
      <c r="J271" s="15"/>
      <c r="K271" s="15"/>
      <c r="L271" s="15"/>
      <c r="M271" s="15"/>
      <c r="N271" s="15"/>
      <c r="O271" s="15"/>
      <c r="P271" s="12"/>
      <c r="Q271" s="12"/>
      <c r="R271" s="12"/>
      <c r="S271" s="12"/>
      <c r="T271" s="12"/>
    </row>
    <row r="272">
      <c r="A272" s="9">
        <v>383.0</v>
      </c>
      <c r="B272" s="11" t="s">
        <v>887</v>
      </c>
      <c r="C272" s="11" t="s">
        <v>888</v>
      </c>
      <c r="D272" s="15"/>
      <c r="E272" s="11" t="s">
        <v>889</v>
      </c>
      <c r="F272" s="11" t="s">
        <v>890</v>
      </c>
      <c r="G272" s="15"/>
      <c r="H272" s="15"/>
      <c r="I272" s="15"/>
      <c r="J272" s="15"/>
      <c r="K272" s="15"/>
      <c r="L272" s="15"/>
      <c r="M272" s="15"/>
      <c r="N272" s="15"/>
      <c r="O272" s="15"/>
      <c r="P272" s="12"/>
      <c r="Q272" s="12"/>
      <c r="R272" s="12"/>
      <c r="S272" s="12"/>
      <c r="T272" s="12"/>
    </row>
    <row r="273">
      <c r="A273" s="9">
        <v>384.0</v>
      </c>
      <c r="B273" s="11" t="s">
        <v>891</v>
      </c>
      <c r="C273" s="11" t="s">
        <v>892</v>
      </c>
      <c r="D273" s="15"/>
      <c r="E273" s="15"/>
      <c r="F273" s="10"/>
      <c r="G273" s="11" t="s">
        <v>893</v>
      </c>
      <c r="H273" s="15"/>
      <c r="I273" s="15"/>
      <c r="J273" s="15"/>
      <c r="K273" s="15"/>
      <c r="L273" s="15"/>
      <c r="M273" s="15"/>
      <c r="N273" s="15"/>
      <c r="O273" s="15"/>
      <c r="P273" s="12"/>
      <c r="Q273" s="12"/>
      <c r="R273" s="12"/>
      <c r="S273" s="12"/>
      <c r="T273" s="12"/>
    </row>
    <row r="274">
      <c r="A274" s="9">
        <v>385.0</v>
      </c>
      <c r="B274" s="11" t="s">
        <v>894</v>
      </c>
      <c r="C274" s="11" t="s">
        <v>895</v>
      </c>
      <c r="D274" s="15"/>
      <c r="E274" s="10"/>
      <c r="F274" s="10"/>
      <c r="G274" s="11" t="s">
        <v>896</v>
      </c>
      <c r="H274" s="15"/>
      <c r="I274" s="15"/>
      <c r="J274" s="15"/>
      <c r="K274" s="15"/>
      <c r="L274" s="15"/>
      <c r="M274" s="15"/>
      <c r="N274" s="15"/>
      <c r="O274" s="15"/>
      <c r="P274" s="12"/>
      <c r="Q274" s="12"/>
      <c r="R274" s="12"/>
      <c r="S274" s="12"/>
      <c r="T274" s="12"/>
    </row>
    <row r="275">
      <c r="A275" s="9">
        <v>386.0</v>
      </c>
      <c r="B275" s="11" t="s">
        <v>897</v>
      </c>
      <c r="C275" s="11" t="s">
        <v>898</v>
      </c>
      <c r="D275" s="15"/>
      <c r="E275" s="10"/>
      <c r="F275" s="10"/>
      <c r="G275" s="11" t="s">
        <v>899</v>
      </c>
      <c r="H275" s="15"/>
      <c r="I275" s="15"/>
      <c r="J275" s="15"/>
      <c r="K275" s="15"/>
      <c r="L275" s="15"/>
      <c r="M275" s="15"/>
      <c r="N275" s="15"/>
      <c r="O275" s="15"/>
      <c r="P275" s="12"/>
      <c r="Q275" s="12"/>
      <c r="R275" s="12"/>
      <c r="S275" s="12"/>
      <c r="T275" s="12"/>
    </row>
    <row r="276">
      <c r="A276" s="9">
        <v>387.0</v>
      </c>
      <c r="B276" s="11" t="s">
        <v>900</v>
      </c>
      <c r="C276" s="11" t="s">
        <v>901</v>
      </c>
      <c r="D276" s="15"/>
      <c r="E276" s="15"/>
      <c r="F276" s="10"/>
      <c r="G276" s="11" t="s">
        <v>902</v>
      </c>
      <c r="H276" s="15"/>
      <c r="I276" s="15"/>
      <c r="J276" s="15"/>
      <c r="K276" s="15"/>
      <c r="L276" s="15"/>
      <c r="M276" s="15"/>
      <c r="N276" s="15"/>
      <c r="O276" s="15"/>
      <c r="P276" s="12"/>
      <c r="Q276" s="12"/>
      <c r="R276" s="12"/>
      <c r="S276" s="12"/>
      <c r="T276" s="12"/>
    </row>
    <row r="277">
      <c r="A277" s="9">
        <v>388.0</v>
      </c>
      <c r="B277" s="11" t="s">
        <v>903</v>
      </c>
      <c r="C277" s="11" t="s">
        <v>904</v>
      </c>
      <c r="D277" s="15"/>
      <c r="E277" s="11" t="s">
        <v>905</v>
      </c>
      <c r="F277" s="11" t="s">
        <v>906</v>
      </c>
      <c r="G277" s="15"/>
      <c r="H277" s="15"/>
      <c r="I277" s="15"/>
      <c r="J277" s="15"/>
      <c r="K277" s="15"/>
      <c r="L277" s="15"/>
      <c r="M277" s="15"/>
      <c r="N277" s="15"/>
      <c r="O277" s="15"/>
      <c r="P277" s="12"/>
      <c r="Q277" s="12"/>
      <c r="R277" s="12"/>
      <c r="S277" s="12"/>
      <c r="T277" s="12"/>
    </row>
    <row r="278">
      <c r="A278" s="9">
        <v>389.0</v>
      </c>
      <c r="B278" s="11" t="s">
        <v>907</v>
      </c>
      <c r="C278" s="11" t="s">
        <v>908</v>
      </c>
      <c r="D278" s="15"/>
      <c r="E278" s="11" t="s">
        <v>909</v>
      </c>
      <c r="F278" s="11" t="s">
        <v>910</v>
      </c>
      <c r="G278" s="15"/>
      <c r="H278" s="15"/>
      <c r="I278" s="15"/>
      <c r="J278" s="15"/>
      <c r="K278" s="15"/>
      <c r="L278" s="15"/>
      <c r="M278" s="15"/>
      <c r="N278" s="15"/>
      <c r="O278" s="15"/>
      <c r="P278" s="12"/>
      <c r="Q278" s="12"/>
      <c r="R278" s="12"/>
      <c r="S278" s="12"/>
      <c r="T278" s="12"/>
    </row>
    <row r="279">
      <c r="A279" s="9">
        <v>391.0</v>
      </c>
      <c r="B279" s="11" t="s">
        <v>911</v>
      </c>
      <c r="C279" s="11" t="s">
        <v>912</v>
      </c>
      <c r="D279" s="15"/>
      <c r="E279" s="15"/>
      <c r="F279" s="10"/>
      <c r="G279" s="11" t="s">
        <v>913</v>
      </c>
      <c r="H279" s="15"/>
      <c r="I279" s="15"/>
      <c r="J279" s="15"/>
      <c r="K279" s="15"/>
      <c r="L279" s="15"/>
      <c r="M279" s="15"/>
      <c r="N279" s="15"/>
      <c r="O279" s="15"/>
      <c r="P279" s="12"/>
      <c r="Q279" s="12"/>
      <c r="R279" s="12"/>
      <c r="S279" s="12"/>
      <c r="T279" s="12"/>
    </row>
    <row r="280">
      <c r="A280" s="9">
        <v>392.0</v>
      </c>
      <c r="B280" s="10"/>
      <c r="C280" s="10"/>
      <c r="D280" s="11" t="s">
        <v>914</v>
      </c>
      <c r="E280" s="10"/>
      <c r="F280" s="10"/>
      <c r="G280" s="11" t="s">
        <v>915</v>
      </c>
      <c r="H280" s="15"/>
      <c r="I280" s="15"/>
      <c r="J280" s="15"/>
      <c r="K280" s="15"/>
      <c r="L280" s="15"/>
      <c r="M280" s="15"/>
      <c r="N280" s="15"/>
      <c r="O280" s="15"/>
      <c r="P280" s="12"/>
      <c r="Q280" s="12"/>
      <c r="R280" s="12"/>
      <c r="S280" s="12"/>
      <c r="T280" s="12"/>
    </row>
    <row r="281">
      <c r="A281" s="9">
        <v>393.0</v>
      </c>
      <c r="B281" s="13" t="s">
        <v>916</v>
      </c>
      <c r="C281" s="11" t="s">
        <v>917</v>
      </c>
      <c r="D281" s="15"/>
      <c r="E281" s="13" t="s">
        <v>918</v>
      </c>
      <c r="F281" s="11" t="s">
        <v>919</v>
      </c>
      <c r="G281" s="15"/>
      <c r="H281" s="15"/>
      <c r="I281" s="15"/>
      <c r="J281" s="15"/>
      <c r="K281" s="15"/>
      <c r="L281" s="15"/>
      <c r="M281" s="15"/>
      <c r="N281" s="15"/>
      <c r="O281" s="15"/>
      <c r="P281" s="12"/>
      <c r="Q281" s="12"/>
      <c r="R281" s="12"/>
      <c r="S281" s="12"/>
      <c r="T281" s="12"/>
    </row>
    <row r="282">
      <c r="A282" s="9">
        <v>394.0</v>
      </c>
      <c r="B282" s="11" t="s">
        <v>920</v>
      </c>
      <c r="C282" s="11" t="s">
        <v>921</v>
      </c>
      <c r="D282" s="15"/>
      <c r="E282" s="15"/>
      <c r="F282" s="10"/>
      <c r="G282" s="11" t="s">
        <v>922</v>
      </c>
      <c r="H282" s="15"/>
      <c r="I282" s="15"/>
      <c r="J282" s="15"/>
      <c r="K282" s="15"/>
      <c r="L282" s="15"/>
      <c r="M282" s="15"/>
      <c r="N282" s="15"/>
      <c r="O282" s="15"/>
      <c r="P282" s="12"/>
      <c r="Q282" s="12"/>
      <c r="R282" s="12"/>
      <c r="S282" s="12"/>
      <c r="T282" s="12"/>
    </row>
    <row r="283">
      <c r="A283" s="9">
        <v>395.0</v>
      </c>
      <c r="B283" s="13" t="s">
        <v>923</v>
      </c>
      <c r="C283" s="11" t="s">
        <v>924</v>
      </c>
      <c r="D283" s="10"/>
      <c r="E283" s="11" t="s">
        <v>925</v>
      </c>
      <c r="F283" s="11" t="s">
        <v>926</v>
      </c>
      <c r="G283" s="10"/>
      <c r="H283" s="15"/>
      <c r="I283" s="15"/>
      <c r="J283" s="15"/>
      <c r="K283" s="15"/>
      <c r="L283" s="15"/>
      <c r="M283" s="15"/>
      <c r="N283" s="15"/>
      <c r="O283" s="15"/>
      <c r="P283" s="12"/>
      <c r="Q283" s="12"/>
      <c r="R283" s="12"/>
      <c r="S283" s="12"/>
      <c r="T283" s="12"/>
    </row>
    <row r="284">
      <c r="A284" s="9">
        <v>396.0</v>
      </c>
      <c r="B284" s="11" t="s">
        <v>927</v>
      </c>
      <c r="C284" s="11" t="s">
        <v>928</v>
      </c>
      <c r="D284" s="15"/>
      <c r="E284" s="10"/>
      <c r="F284" s="10"/>
      <c r="G284" s="11" t="s">
        <v>929</v>
      </c>
      <c r="H284" s="15"/>
      <c r="I284" s="15"/>
      <c r="J284" s="15"/>
      <c r="K284" s="15"/>
      <c r="L284" s="15"/>
      <c r="M284" s="15"/>
      <c r="N284" s="15"/>
      <c r="O284" s="15"/>
      <c r="P284" s="12"/>
      <c r="Q284" s="12"/>
      <c r="R284" s="12"/>
      <c r="S284" s="12"/>
      <c r="T284" s="12"/>
    </row>
    <row r="285">
      <c r="A285" s="9">
        <v>397.0</v>
      </c>
      <c r="B285" s="11" t="s">
        <v>930</v>
      </c>
      <c r="C285" s="11" t="s">
        <v>931</v>
      </c>
      <c r="D285" s="15"/>
      <c r="E285" s="11" t="s">
        <v>932</v>
      </c>
      <c r="F285" s="11" t="s">
        <v>933</v>
      </c>
      <c r="G285" s="15"/>
      <c r="H285" s="15"/>
      <c r="I285" s="15"/>
      <c r="J285" s="15"/>
      <c r="K285" s="15"/>
      <c r="L285" s="15"/>
      <c r="M285" s="15"/>
      <c r="N285" s="15"/>
      <c r="O285" s="15"/>
      <c r="P285" s="12"/>
      <c r="Q285" s="12"/>
      <c r="R285" s="12"/>
      <c r="S285" s="12"/>
      <c r="T285" s="12"/>
    </row>
    <row r="286">
      <c r="A286" s="9">
        <v>398.0</v>
      </c>
      <c r="B286" s="10"/>
      <c r="C286" s="10"/>
      <c r="D286" s="11" t="s">
        <v>934</v>
      </c>
      <c r="E286" s="10"/>
      <c r="F286" s="10"/>
      <c r="G286" s="11" t="s">
        <v>935</v>
      </c>
      <c r="H286" s="15"/>
      <c r="I286" s="15"/>
      <c r="J286" s="15"/>
      <c r="K286" s="15"/>
      <c r="L286" s="15"/>
      <c r="M286" s="15"/>
      <c r="N286" s="15"/>
      <c r="O286" s="15"/>
      <c r="P286" s="12"/>
      <c r="Q286" s="12"/>
      <c r="R286" s="12"/>
      <c r="S286" s="12"/>
      <c r="T286" s="12"/>
    </row>
    <row r="287">
      <c r="A287" s="9">
        <v>399.0</v>
      </c>
      <c r="B287" s="11" t="s">
        <v>159</v>
      </c>
      <c r="C287" s="11" t="s">
        <v>936</v>
      </c>
      <c r="D287" s="15"/>
      <c r="E287" s="15"/>
      <c r="F287" s="10"/>
      <c r="G287" s="11" t="s">
        <v>937</v>
      </c>
      <c r="H287" s="15"/>
      <c r="I287" s="15"/>
      <c r="J287" s="15"/>
      <c r="K287" s="15"/>
      <c r="L287" s="15"/>
      <c r="M287" s="15"/>
      <c r="N287" s="15"/>
      <c r="O287" s="15"/>
      <c r="P287" s="12"/>
      <c r="Q287" s="12"/>
      <c r="R287" s="12"/>
      <c r="S287" s="12"/>
      <c r="T287" s="12"/>
    </row>
    <row r="288">
      <c r="A288" s="9">
        <v>400.0</v>
      </c>
      <c r="B288" s="11" t="s">
        <v>938</v>
      </c>
      <c r="C288" s="11" t="s">
        <v>939</v>
      </c>
      <c r="D288" s="15"/>
      <c r="E288" s="10"/>
      <c r="F288" s="10"/>
      <c r="G288" s="11" t="s">
        <v>940</v>
      </c>
      <c r="H288" s="15"/>
      <c r="I288" s="15"/>
      <c r="J288" s="15"/>
      <c r="K288" s="15"/>
      <c r="L288" s="15"/>
      <c r="M288" s="15"/>
      <c r="N288" s="15"/>
      <c r="O288" s="15"/>
      <c r="P288" s="12"/>
      <c r="Q288" s="12"/>
      <c r="R288" s="12"/>
      <c r="S288" s="12"/>
      <c r="T288" s="12"/>
    </row>
    <row r="289">
      <c r="A289" s="9">
        <v>401.0</v>
      </c>
      <c r="B289" s="11" t="s">
        <v>941</v>
      </c>
      <c r="C289" s="11" t="s">
        <v>942</v>
      </c>
      <c r="D289" s="10"/>
      <c r="E289" s="15"/>
      <c r="F289" s="15"/>
      <c r="G289" s="11" t="s">
        <v>943</v>
      </c>
      <c r="H289" s="15"/>
      <c r="I289" s="15"/>
      <c r="J289" s="15"/>
      <c r="K289" s="15"/>
      <c r="L289" s="15"/>
      <c r="M289" s="15"/>
      <c r="N289" s="15"/>
      <c r="O289" s="15"/>
      <c r="P289" s="12"/>
      <c r="Q289" s="12"/>
      <c r="R289" s="12"/>
      <c r="S289" s="12"/>
      <c r="T289" s="12"/>
    </row>
    <row r="290">
      <c r="A290" s="9">
        <v>402.0</v>
      </c>
      <c r="B290" s="11" t="s">
        <v>944</v>
      </c>
      <c r="C290" s="11" t="s">
        <v>945</v>
      </c>
      <c r="D290" s="15"/>
      <c r="E290" s="15"/>
      <c r="F290" s="10"/>
      <c r="G290" s="11" t="s">
        <v>384</v>
      </c>
      <c r="H290" s="15"/>
      <c r="I290" s="15"/>
      <c r="J290" s="15"/>
      <c r="K290" s="15"/>
      <c r="L290" s="15"/>
      <c r="M290" s="15"/>
      <c r="N290" s="15"/>
      <c r="O290" s="15"/>
      <c r="P290" s="12"/>
      <c r="Q290" s="12"/>
      <c r="R290" s="12"/>
      <c r="S290" s="12"/>
      <c r="T290" s="12"/>
    </row>
    <row r="291">
      <c r="A291" s="9">
        <v>403.0</v>
      </c>
      <c r="B291" s="10"/>
      <c r="C291" s="10"/>
      <c r="D291" s="11" t="s">
        <v>946</v>
      </c>
      <c r="E291" s="15"/>
      <c r="F291" s="10"/>
      <c r="G291" s="11" t="s">
        <v>189</v>
      </c>
      <c r="H291" s="15"/>
      <c r="I291" s="15"/>
      <c r="J291" s="15"/>
      <c r="K291" s="15"/>
      <c r="L291" s="15"/>
      <c r="M291" s="15"/>
      <c r="N291" s="15"/>
      <c r="O291" s="15"/>
      <c r="P291" s="12"/>
      <c r="Q291" s="12"/>
      <c r="R291" s="12"/>
      <c r="S291" s="12"/>
      <c r="T291" s="12"/>
    </row>
    <row r="292">
      <c r="A292" s="9">
        <v>404.0</v>
      </c>
      <c r="B292" s="11" t="s">
        <v>768</v>
      </c>
      <c r="C292" s="11" t="s">
        <v>947</v>
      </c>
      <c r="D292" s="15"/>
      <c r="E292" s="15"/>
      <c r="F292" s="10"/>
      <c r="G292" s="11" t="s">
        <v>948</v>
      </c>
      <c r="H292" s="15"/>
      <c r="I292" s="15"/>
      <c r="J292" s="15"/>
      <c r="K292" s="15"/>
      <c r="L292" s="15"/>
      <c r="M292" s="15"/>
      <c r="N292" s="15"/>
      <c r="O292" s="15"/>
      <c r="P292" s="12"/>
      <c r="Q292" s="12"/>
      <c r="R292" s="12"/>
      <c r="S292" s="12"/>
      <c r="T292" s="12"/>
    </row>
    <row r="293">
      <c r="A293" s="9">
        <v>405.0</v>
      </c>
      <c r="B293" s="11" t="s">
        <v>949</v>
      </c>
      <c r="C293" s="11" t="s">
        <v>950</v>
      </c>
      <c r="D293" s="15"/>
      <c r="E293" s="15"/>
      <c r="F293" s="10"/>
      <c r="G293" s="11" t="s">
        <v>951</v>
      </c>
      <c r="H293" s="15"/>
      <c r="I293" s="15"/>
      <c r="J293" s="15"/>
      <c r="K293" s="15"/>
      <c r="L293" s="15"/>
      <c r="M293" s="15"/>
      <c r="N293" s="15"/>
      <c r="O293" s="15"/>
      <c r="P293" s="12"/>
      <c r="Q293" s="12"/>
      <c r="R293" s="12"/>
      <c r="S293" s="12"/>
      <c r="T293" s="12"/>
    </row>
    <row r="294">
      <c r="A294" s="9">
        <v>406.0</v>
      </c>
      <c r="B294" s="13" t="s">
        <v>952</v>
      </c>
      <c r="C294" s="11" t="s">
        <v>953</v>
      </c>
      <c r="D294" s="10"/>
      <c r="E294" s="11" t="s">
        <v>954</v>
      </c>
      <c r="F294" s="11" t="s">
        <v>955</v>
      </c>
      <c r="G294" s="10"/>
      <c r="H294" s="15"/>
      <c r="I294" s="15"/>
      <c r="J294" s="15"/>
      <c r="K294" s="15"/>
      <c r="L294" s="15"/>
      <c r="M294" s="15"/>
      <c r="N294" s="15"/>
      <c r="O294" s="15"/>
      <c r="P294" s="12"/>
      <c r="Q294" s="12"/>
      <c r="R294" s="12"/>
      <c r="S294" s="12"/>
      <c r="T294" s="12"/>
    </row>
    <row r="295">
      <c r="A295" s="9">
        <v>407.0</v>
      </c>
      <c r="B295" s="11" t="s">
        <v>956</v>
      </c>
      <c r="C295" s="11" t="s">
        <v>957</v>
      </c>
      <c r="D295" s="15"/>
      <c r="E295" s="15"/>
      <c r="F295" s="10"/>
      <c r="G295" s="11" t="s">
        <v>958</v>
      </c>
      <c r="H295" s="15"/>
      <c r="I295" s="15"/>
      <c r="J295" s="15"/>
      <c r="K295" s="15"/>
      <c r="L295" s="15"/>
      <c r="M295" s="15"/>
      <c r="N295" s="15"/>
      <c r="O295" s="15"/>
      <c r="P295" s="12"/>
      <c r="Q295" s="12"/>
      <c r="R295" s="12"/>
      <c r="S295" s="12"/>
      <c r="T295" s="12"/>
    </row>
    <row r="296">
      <c r="A296" s="9">
        <v>408.0</v>
      </c>
      <c r="B296" s="10"/>
      <c r="C296" s="10"/>
      <c r="D296" s="11" t="s">
        <v>959</v>
      </c>
      <c r="E296" s="15"/>
      <c r="F296" s="10"/>
      <c r="G296" s="11" t="s">
        <v>960</v>
      </c>
      <c r="H296" s="15"/>
      <c r="I296" s="15"/>
      <c r="J296" s="15"/>
      <c r="K296" s="15"/>
      <c r="L296" s="15"/>
      <c r="M296" s="15"/>
      <c r="N296" s="15"/>
      <c r="O296" s="15"/>
      <c r="P296" s="12"/>
      <c r="Q296" s="12"/>
      <c r="R296" s="12"/>
      <c r="S296" s="12"/>
      <c r="T296" s="12"/>
    </row>
    <row r="297">
      <c r="A297" s="9">
        <v>410.0</v>
      </c>
      <c r="B297" s="11" t="s">
        <v>961</v>
      </c>
      <c r="C297" s="11" t="s">
        <v>962</v>
      </c>
      <c r="D297" s="15"/>
      <c r="E297" s="11" t="s">
        <v>963</v>
      </c>
      <c r="F297" s="11" t="s">
        <v>964</v>
      </c>
      <c r="G297" s="15"/>
      <c r="H297" s="15"/>
      <c r="I297" s="15"/>
      <c r="J297" s="15"/>
      <c r="K297" s="15"/>
      <c r="L297" s="15"/>
      <c r="M297" s="15"/>
      <c r="N297" s="15"/>
      <c r="O297" s="15"/>
      <c r="P297" s="12"/>
      <c r="Q297" s="12"/>
      <c r="R297" s="12"/>
      <c r="S297" s="12"/>
      <c r="T297" s="12"/>
    </row>
    <row r="298">
      <c r="A298" s="9">
        <v>411.0</v>
      </c>
      <c r="B298" s="11" t="s">
        <v>965</v>
      </c>
      <c r="C298" s="11" t="s">
        <v>966</v>
      </c>
      <c r="D298" s="15"/>
      <c r="E298" s="15"/>
      <c r="F298" s="10"/>
      <c r="G298" s="11" t="s">
        <v>967</v>
      </c>
      <c r="H298" s="15"/>
      <c r="I298" s="15"/>
      <c r="J298" s="15"/>
      <c r="K298" s="15"/>
      <c r="L298" s="15"/>
      <c r="M298" s="15"/>
      <c r="N298" s="15"/>
      <c r="O298" s="15"/>
      <c r="P298" s="12"/>
      <c r="Q298" s="12"/>
      <c r="R298" s="12"/>
      <c r="S298" s="12"/>
      <c r="T298" s="12"/>
    </row>
    <row r="299">
      <c r="A299" s="9">
        <v>413.0</v>
      </c>
      <c r="B299" s="15"/>
      <c r="C299" s="15"/>
      <c r="D299" s="11" t="s">
        <v>968</v>
      </c>
      <c r="E299" s="15"/>
      <c r="F299" s="15"/>
      <c r="G299" s="11" t="s">
        <v>968</v>
      </c>
      <c r="H299" s="15"/>
      <c r="I299" s="15"/>
      <c r="J299" s="15"/>
      <c r="K299" s="15"/>
      <c r="L299" s="15"/>
      <c r="M299" s="15"/>
      <c r="N299" s="15"/>
      <c r="O299" s="15"/>
      <c r="P299" s="12"/>
      <c r="Q299" s="12"/>
      <c r="R299" s="12"/>
      <c r="S299" s="12"/>
      <c r="T299" s="12"/>
    </row>
    <row r="300">
      <c r="A300" s="9">
        <v>415.0</v>
      </c>
      <c r="B300" s="11" t="s">
        <v>969</v>
      </c>
      <c r="C300" s="11" t="s">
        <v>970</v>
      </c>
      <c r="D300" s="15"/>
      <c r="E300" s="11" t="s">
        <v>971</v>
      </c>
      <c r="F300" s="11" t="s">
        <v>972</v>
      </c>
      <c r="G300" s="15"/>
      <c r="H300" s="15"/>
      <c r="I300" s="15"/>
      <c r="J300" s="15"/>
      <c r="K300" s="15"/>
      <c r="L300" s="15"/>
      <c r="M300" s="15"/>
      <c r="N300" s="15"/>
      <c r="O300" s="15"/>
      <c r="P300" s="12"/>
      <c r="Q300" s="12"/>
      <c r="R300" s="12"/>
      <c r="S300" s="12"/>
      <c r="T300" s="12"/>
    </row>
    <row r="301">
      <c r="A301" s="9">
        <v>416.0</v>
      </c>
      <c r="B301" s="11" t="s">
        <v>973</v>
      </c>
      <c r="C301" s="11" t="s">
        <v>974</v>
      </c>
      <c r="D301" s="15"/>
      <c r="E301" s="11" t="s">
        <v>975</v>
      </c>
      <c r="F301" s="11" t="s">
        <v>976</v>
      </c>
      <c r="G301" s="15"/>
      <c r="H301" s="15"/>
      <c r="I301" s="15"/>
      <c r="J301" s="15"/>
      <c r="K301" s="15"/>
      <c r="L301" s="15"/>
      <c r="M301" s="15"/>
      <c r="N301" s="15"/>
      <c r="O301" s="15"/>
      <c r="P301" s="12"/>
      <c r="Q301" s="12"/>
      <c r="R301" s="12"/>
      <c r="S301" s="12"/>
      <c r="T301" s="12"/>
    </row>
    <row r="302">
      <c r="A302" s="9">
        <v>417.0</v>
      </c>
      <c r="B302" s="11" t="s">
        <v>977</v>
      </c>
      <c r="C302" s="11" t="s">
        <v>65</v>
      </c>
      <c r="D302" s="10"/>
      <c r="E302" s="11" t="s">
        <v>978</v>
      </c>
      <c r="F302" s="11" t="s">
        <v>65</v>
      </c>
      <c r="G302" s="10"/>
      <c r="H302" s="15"/>
      <c r="I302" s="15"/>
      <c r="J302" s="15"/>
      <c r="K302" s="15"/>
      <c r="L302" s="15"/>
      <c r="M302" s="15"/>
      <c r="N302" s="15"/>
      <c r="O302" s="15"/>
      <c r="P302" s="12"/>
      <c r="Q302" s="12"/>
      <c r="R302" s="12"/>
      <c r="S302" s="12"/>
      <c r="T302" s="12"/>
    </row>
    <row r="303">
      <c r="A303" s="9">
        <v>418.0</v>
      </c>
      <c r="B303" s="11" t="s">
        <v>883</v>
      </c>
      <c r="C303" s="11" t="s">
        <v>979</v>
      </c>
      <c r="D303" s="15"/>
      <c r="E303" s="10"/>
      <c r="F303" s="10"/>
      <c r="G303" s="11" t="s">
        <v>980</v>
      </c>
      <c r="H303" s="15"/>
      <c r="I303" s="15"/>
      <c r="J303" s="15"/>
      <c r="K303" s="15"/>
      <c r="L303" s="15"/>
      <c r="M303" s="15"/>
      <c r="N303" s="15"/>
      <c r="O303" s="15"/>
      <c r="P303" s="12"/>
      <c r="Q303" s="12"/>
      <c r="R303" s="12"/>
      <c r="S303" s="12"/>
      <c r="T303" s="12"/>
    </row>
    <row r="304">
      <c r="A304" s="9">
        <v>419.0</v>
      </c>
      <c r="B304" s="11" t="s">
        <v>981</v>
      </c>
      <c r="C304" s="11" t="s">
        <v>982</v>
      </c>
      <c r="D304" s="15"/>
      <c r="E304" s="10"/>
      <c r="F304" s="10"/>
      <c r="G304" s="11" t="s">
        <v>983</v>
      </c>
      <c r="H304" s="15"/>
      <c r="I304" s="15"/>
      <c r="J304" s="15"/>
      <c r="K304" s="15"/>
      <c r="L304" s="15"/>
      <c r="M304" s="15"/>
      <c r="N304" s="15"/>
      <c r="O304" s="15"/>
      <c r="P304" s="12"/>
      <c r="Q304" s="12"/>
      <c r="R304" s="12"/>
      <c r="S304" s="12"/>
      <c r="T304" s="12"/>
    </row>
    <row r="305">
      <c r="A305" s="9">
        <v>420.0</v>
      </c>
      <c r="B305" s="11" t="s">
        <v>984</v>
      </c>
      <c r="C305" s="11" t="s">
        <v>985</v>
      </c>
      <c r="D305" s="15"/>
      <c r="E305" s="11" t="s">
        <v>986</v>
      </c>
      <c r="F305" s="11" t="s">
        <v>987</v>
      </c>
      <c r="G305" s="15"/>
      <c r="H305" s="15"/>
      <c r="I305" s="15"/>
      <c r="J305" s="15"/>
      <c r="K305" s="15"/>
      <c r="L305" s="15"/>
      <c r="M305" s="15"/>
      <c r="N305" s="15"/>
      <c r="O305" s="15"/>
      <c r="P305" s="12"/>
      <c r="Q305" s="12"/>
      <c r="R305" s="12"/>
      <c r="S305" s="12"/>
      <c r="T305" s="12"/>
    </row>
    <row r="306">
      <c r="A306" s="9">
        <v>422.0</v>
      </c>
      <c r="B306" s="11" t="s">
        <v>212</v>
      </c>
      <c r="C306" s="11" t="s">
        <v>988</v>
      </c>
      <c r="D306" s="15"/>
      <c r="E306" s="11" t="s">
        <v>989</v>
      </c>
      <c r="F306" s="11" t="s">
        <v>548</v>
      </c>
      <c r="G306" s="15"/>
      <c r="H306" s="15"/>
      <c r="I306" s="15"/>
      <c r="J306" s="15"/>
      <c r="K306" s="15"/>
      <c r="L306" s="15"/>
      <c r="M306" s="15"/>
      <c r="N306" s="15"/>
      <c r="O306" s="15"/>
      <c r="P306" s="12"/>
      <c r="Q306" s="12"/>
      <c r="R306" s="12"/>
      <c r="S306" s="12"/>
      <c r="T306" s="12"/>
    </row>
    <row r="307">
      <c r="A307" s="9">
        <v>423.0</v>
      </c>
      <c r="B307" s="10"/>
      <c r="C307" s="10"/>
      <c r="D307" s="11" t="s">
        <v>990</v>
      </c>
      <c r="E307" s="15"/>
      <c r="F307" s="10"/>
      <c r="G307" s="11" t="s">
        <v>991</v>
      </c>
      <c r="H307" s="15"/>
      <c r="I307" s="15"/>
      <c r="J307" s="15"/>
      <c r="K307" s="15"/>
      <c r="L307" s="15"/>
      <c r="M307" s="15"/>
      <c r="N307" s="15"/>
      <c r="O307" s="15"/>
      <c r="P307" s="12"/>
      <c r="Q307" s="12"/>
      <c r="R307" s="12"/>
      <c r="S307" s="12"/>
      <c r="T307" s="12"/>
    </row>
    <row r="308">
      <c r="A308" s="9">
        <v>425.0</v>
      </c>
      <c r="B308" s="11" t="s">
        <v>992</v>
      </c>
      <c r="C308" s="11" t="s">
        <v>188</v>
      </c>
      <c r="D308" s="15"/>
      <c r="E308" s="11" t="s">
        <v>993</v>
      </c>
      <c r="F308" s="11" t="s">
        <v>994</v>
      </c>
      <c r="G308" s="15"/>
      <c r="H308" s="15"/>
      <c r="I308" s="15"/>
      <c r="J308" s="15"/>
      <c r="K308" s="15"/>
      <c r="L308" s="15"/>
      <c r="M308" s="15"/>
      <c r="N308" s="15"/>
      <c r="O308" s="15"/>
      <c r="P308" s="12"/>
      <c r="Q308" s="12"/>
      <c r="R308" s="12"/>
      <c r="S308" s="12"/>
      <c r="T308" s="12"/>
    </row>
    <row r="309">
      <c r="A309" s="9">
        <v>426.0</v>
      </c>
      <c r="B309" s="11" t="s">
        <v>995</v>
      </c>
      <c r="C309" s="11" t="s">
        <v>996</v>
      </c>
      <c r="D309" s="15"/>
      <c r="E309" s="10"/>
      <c r="F309" s="10"/>
      <c r="G309" s="11" t="s">
        <v>997</v>
      </c>
      <c r="H309" s="15"/>
      <c r="I309" s="15"/>
      <c r="J309" s="15"/>
      <c r="K309" s="15"/>
      <c r="L309" s="15"/>
      <c r="M309" s="15"/>
      <c r="N309" s="15"/>
      <c r="O309" s="15"/>
      <c r="P309" s="12"/>
      <c r="Q309" s="12"/>
      <c r="R309" s="12"/>
      <c r="S309" s="12"/>
      <c r="T309" s="12"/>
    </row>
    <row r="310">
      <c r="A310" s="9">
        <v>427.0</v>
      </c>
      <c r="B310" s="11" t="s">
        <v>187</v>
      </c>
      <c r="C310" s="11" t="s">
        <v>188</v>
      </c>
      <c r="D310" s="10"/>
      <c r="E310" s="11" t="s">
        <v>998</v>
      </c>
      <c r="F310" s="11" t="s">
        <v>188</v>
      </c>
      <c r="G310" s="10"/>
      <c r="H310" s="15"/>
      <c r="I310" s="15"/>
      <c r="J310" s="15"/>
      <c r="K310" s="15"/>
      <c r="L310" s="15"/>
      <c r="M310" s="15"/>
      <c r="N310" s="15"/>
      <c r="O310" s="15"/>
      <c r="P310" s="12"/>
      <c r="Q310" s="12"/>
      <c r="R310" s="12"/>
      <c r="S310" s="12"/>
      <c r="T310" s="12"/>
    </row>
    <row r="311">
      <c r="A311" s="9">
        <v>428.0</v>
      </c>
      <c r="B311" s="10"/>
      <c r="C311" s="10"/>
      <c r="D311" s="11" t="s">
        <v>189</v>
      </c>
      <c r="E311" s="10"/>
      <c r="F311" s="10"/>
      <c r="G311" s="11" t="s">
        <v>999</v>
      </c>
      <c r="H311" s="15"/>
      <c r="I311" s="15"/>
      <c r="J311" s="15"/>
      <c r="K311" s="15"/>
      <c r="L311" s="15"/>
      <c r="M311" s="15"/>
      <c r="N311" s="15"/>
      <c r="O311" s="15"/>
      <c r="P311" s="12"/>
      <c r="Q311" s="12"/>
      <c r="R311" s="12"/>
      <c r="S311" s="12"/>
      <c r="T311" s="12"/>
    </row>
    <row r="312">
      <c r="A312" s="9">
        <v>431.0</v>
      </c>
      <c r="B312" s="11" t="s">
        <v>533</v>
      </c>
      <c r="C312" s="11" t="s">
        <v>1000</v>
      </c>
      <c r="D312" s="15"/>
      <c r="E312" s="11" t="s">
        <v>1001</v>
      </c>
      <c r="F312" s="11" t="s">
        <v>1002</v>
      </c>
      <c r="G312" s="15"/>
      <c r="H312" s="15"/>
      <c r="I312" s="15"/>
      <c r="J312" s="15"/>
      <c r="K312" s="15"/>
      <c r="L312" s="15"/>
      <c r="M312" s="15"/>
      <c r="N312" s="15"/>
      <c r="O312" s="15"/>
      <c r="P312" s="12"/>
      <c r="Q312" s="12"/>
      <c r="R312" s="12"/>
      <c r="S312" s="12"/>
      <c r="T312" s="12"/>
    </row>
    <row r="313">
      <c r="A313" s="9">
        <v>432.0</v>
      </c>
      <c r="B313" s="10"/>
      <c r="C313" s="10"/>
      <c r="D313" s="11" t="s">
        <v>1003</v>
      </c>
      <c r="E313" s="11" t="s">
        <v>1004</v>
      </c>
      <c r="F313" s="11" t="s">
        <v>1005</v>
      </c>
      <c r="G313" s="15"/>
      <c r="H313" s="15"/>
      <c r="I313" s="15"/>
      <c r="J313" s="15"/>
      <c r="K313" s="15"/>
      <c r="L313" s="15"/>
      <c r="M313" s="15"/>
      <c r="N313" s="15"/>
      <c r="O313" s="15"/>
      <c r="P313" s="12"/>
      <c r="Q313" s="12"/>
      <c r="R313" s="12"/>
      <c r="S313" s="12"/>
      <c r="T313" s="12"/>
    </row>
    <row r="314">
      <c r="A314" s="9">
        <v>433.0</v>
      </c>
      <c r="B314" s="11" t="s">
        <v>235</v>
      </c>
      <c r="C314" s="11" t="s">
        <v>1006</v>
      </c>
      <c r="D314" s="10"/>
      <c r="E314" s="11" t="s">
        <v>1007</v>
      </c>
      <c r="F314" s="11" t="s">
        <v>1008</v>
      </c>
      <c r="G314" s="10"/>
      <c r="H314" s="15"/>
      <c r="I314" s="15"/>
      <c r="J314" s="15"/>
      <c r="K314" s="15"/>
      <c r="L314" s="15"/>
      <c r="M314" s="15"/>
      <c r="N314" s="15"/>
      <c r="O314" s="15"/>
      <c r="P314" s="12"/>
      <c r="Q314" s="12"/>
      <c r="R314" s="12"/>
      <c r="S314" s="12"/>
      <c r="T314" s="12"/>
    </row>
    <row r="315">
      <c r="A315" s="9">
        <v>434.0</v>
      </c>
      <c r="B315" s="11" t="s">
        <v>1009</v>
      </c>
      <c r="C315" s="11" t="s">
        <v>1010</v>
      </c>
      <c r="D315" s="15"/>
      <c r="E315" s="11" t="s">
        <v>1011</v>
      </c>
      <c r="F315" s="11" t="s">
        <v>1012</v>
      </c>
      <c r="G315" s="15"/>
      <c r="H315" s="15"/>
      <c r="I315" s="15"/>
      <c r="J315" s="15"/>
      <c r="K315" s="15"/>
      <c r="L315" s="15"/>
      <c r="M315" s="15"/>
      <c r="N315" s="15"/>
      <c r="O315" s="15"/>
      <c r="P315" s="12"/>
      <c r="Q315" s="12"/>
      <c r="R315" s="12"/>
      <c r="S315" s="12"/>
      <c r="T315" s="12"/>
    </row>
    <row r="316">
      <c r="A316" s="9">
        <v>435.0</v>
      </c>
      <c r="B316" s="11" t="s">
        <v>1013</v>
      </c>
      <c r="C316" s="11" t="s">
        <v>1014</v>
      </c>
      <c r="D316" s="10"/>
      <c r="E316" s="11" t="s">
        <v>1015</v>
      </c>
      <c r="F316" s="11" t="s">
        <v>1016</v>
      </c>
      <c r="G316" s="10"/>
      <c r="H316" s="15"/>
      <c r="I316" s="15"/>
      <c r="J316" s="15"/>
      <c r="K316" s="15"/>
      <c r="L316" s="15"/>
      <c r="M316" s="15"/>
      <c r="N316" s="15"/>
      <c r="O316" s="15"/>
      <c r="P316" s="12"/>
      <c r="Q316" s="12"/>
      <c r="R316" s="12"/>
      <c r="S316" s="12"/>
      <c r="T316" s="12"/>
    </row>
    <row r="317">
      <c r="A317" s="9">
        <v>436.0</v>
      </c>
      <c r="B317" s="11" t="s">
        <v>1017</v>
      </c>
      <c r="C317" s="11" t="s">
        <v>1018</v>
      </c>
      <c r="D317" s="15"/>
      <c r="E317" s="11" t="s">
        <v>1017</v>
      </c>
      <c r="F317" s="11" t="s">
        <v>1019</v>
      </c>
      <c r="G317" s="15"/>
      <c r="H317" s="15"/>
      <c r="I317" s="15"/>
      <c r="J317" s="15"/>
      <c r="K317" s="15"/>
      <c r="L317" s="15"/>
      <c r="M317" s="15"/>
      <c r="N317" s="15"/>
      <c r="O317" s="15"/>
      <c r="P317" s="12"/>
      <c r="Q317" s="12"/>
      <c r="R317" s="12"/>
      <c r="S317" s="12"/>
      <c r="T317" s="12"/>
    </row>
    <row r="318">
      <c r="A318" s="9">
        <v>437.0</v>
      </c>
      <c r="B318" s="11" t="s">
        <v>1020</v>
      </c>
      <c r="C318" s="11" t="s">
        <v>1021</v>
      </c>
      <c r="D318" s="15"/>
      <c r="E318" s="11" t="s">
        <v>1022</v>
      </c>
      <c r="F318" s="11" t="s">
        <v>1023</v>
      </c>
      <c r="G318" s="15"/>
      <c r="H318" s="15"/>
      <c r="I318" s="15"/>
      <c r="J318" s="15"/>
      <c r="K318" s="15"/>
      <c r="L318" s="15"/>
      <c r="M318" s="15"/>
      <c r="N318" s="15"/>
      <c r="O318" s="15"/>
      <c r="P318" s="12"/>
      <c r="Q318" s="12"/>
      <c r="R318" s="12"/>
      <c r="S318" s="12"/>
      <c r="T318" s="12"/>
    </row>
    <row r="319">
      <c r="A319" s="9">
        <v>439.0</v>
      </c>
      <c r="B319" s="11" t="s">
        <v>1024</v>
      </c>
      <c r="C319" s="11" t="s">
        <v>1025</v>
      </c>
      <c r="D319" s="15"/>
      <c r="E319" s="11" t="s">
        <v>1026</v>
      </c>
      <c r="F319" s="11" t="s">
        <v>1027</v>
      </c>
      <c r="G319" s="15"/>
      <c r="H319" s="15"/>
      <c r="I319" s="15"/>
      <c r="J319" s="15"/>
      <c r="K319" s="15"/>
      <c r="L319" s="15"/>
      <c r="M319" s="15"/>
      <c r="N319" s="15"/>
      <c r="O319" s="15"/>
      <c r="P319" s="12"/>
      <c r="Q319" s="12"/>
      <c r="R319" s="12"/>
      <c r="S319" s="12"/>
      <c r="T319" s="12"/>
    </row>
    <row r="320">
      <c r="A320" s="9">
        <v>440.0</v>
      </c>
      <c r="B320" s="11" t="s">
        <v>1028</v>
      </c>
      <c r="C320" s="11" t="s">
        <v>1029</v>
      </c>
      <c r="D320" s="15"/>
      <c r="E320" s="11" t="s">
        <v>1030</v>
      </c>
      <c r="F320" s="11" t="s">
        <v>1031</v>
      </c>
      <c r="G320" s="15"/>
      <c r="H320" s="15"/>
      <c r="I320" s="15"/>
      <c r="J320" s="15"/>
      <c r="K320" s="15"/>
      <c r="L320" s="15"/>
      <c r="M320" s="15"/>
      <c r="N320" s="15"/>
      <c r="O320" s="15"/>
      <c r="P320" s="12"/>
      <c r="Q320" s="12"/>
      <c r="R320" s="12"/>
      <c r="S320" s="12"/>
      <c r="T320" s="12"/>
    </row>
    <row r="321">
      <c r="A321" s="9">
        <v>442.0</v>
      </c>
      <c r="B321" s="11" t="s">
        <v>1032</v>
      </c>
      <c r="C321" s="11" t="s">
        <v>1033</v>
      </c>
      <c r="D321" s="15"/>
      <c r="E321" s="11" t="s">
        <v>1034</v>
      </c>
      <c r="F321" s="11" t="s">
        <v>1035</v>
      </c>
      <c r="G321" s="15"/>
      <c r="H321" s="15"/>
      <c r="I321" s="15"/>
      <c r="J321" s="15"/>
      <c r="K321" s="15"/>
      <c r="L321" s="15"/>
      <c r="M321" s="15"/>
      <c r="N321" s="15"/>
      <c r="O321" s="15"/>
      <c r="P321" s="12"/>
      <c r="Q321" s="12"/>
      <c r="R321" s="12"/>
      <c r="S321" s="12"/>
      <c r="T321" s="12"/>
    </row>
    <row r="322">
      <c r="A322" s="9">
        <v>443.0</v>
      </c>
      <c r="B322" s="11" t="s">
        <v>1036</v>
      </c>
      <c r="C322" s="11" t="s">
        <v>1037</v>
      </c>
      <c r="D322" s="15"/>
      <c r="E322" s="10"/>
      <c r="F322" s="10"/>
      <c r="G322" s="11" t="s">
        <v>1038</v>
      </c>
      <c r="H322" s="15"/>
      <c r="I322" s="15"/>
      <c r="J322" s="15"/>
      <c r="K322" s="15"/>
      <c r="L322" s="15"/>
      <c r="M322" s="15"/>
      <c r="N322" s="15"/>
      <c r="O322" s="15"/>
      <c r="P322" s="12"/>
      <c r="Q322" s="12"/>
      <c r="R322" s="12"/>
      <c r="S322" s="12"/>
      <c r="T322" s="12"/>
    </row>
    <row r="323">
      <c r="A323" s="9">
        <v>444.0</v>
      </c>
      <c r="B323" s="13" t="s">
        <v>1039</v>
      </c>
      <c r="C323" s="11" t="s">
        <v>1040</v>
      </c>
      <c r="D323" s="15"/>
      <c r="E323" s="11" t="s">
        <v>1041</v>
      </c>
      <c r="F323" s="11" t="s">
        <v>1042</v>
      </c>
      <c r="G323" s="15"/>
      <c r="H323" s="15"/>
      <c r="I323" s="15"/>
      <c r="J323" s="15"/>
      <c r="K323" s="15"/>
      <c r="L323" s="15"/>
      <c r="M323" s="15"/>
      <c r="N323" s="15"/>
      <c r="O323" s="15"/>
      <c r="P323" s="12"/>
      <c r="Q323" s="12"/>
      <c r="R323" s="12"/>
      <c r="S323" s="12"/>
      <c r="T323" s="12"/>
    </row>
    <row r="324">
      <c r="A324" s="9">
        <v>445.0</v>
      </c>
      <c r="B324" s="13" t="s">
        <v>1043</v>
      </c>
      <c r="C324" s="11" t="s">
        <v>1044</v>
      </c>
      <c r="D324" s="15"/>
      <c r="E324" s="10"/>
      <c r="F324" s="10"/>
      <c r="G324" s="11" t="s">
        <v>1045</v>
      </c>
      <c r="H324" s="15"/>
      <c r="I324" s="15"/>
      <c r="J324" s="15"/>
      <c r="K324" s="15"/>
      <c r="L324" s="15"/>
      <c r="M324" s="15"/>
      <c r="N324" s="15"/>
      <c r="O324" s="15"/>
      <c r="P324" s="12"/>
      <c r="Q324" s="12"/>
      <c r="R324" s="12"/>
      <c r="S324" s="12"/>
      <c r="T324" s="12"/>
    </row>
    <row r="325">
      <c r="A325" s="9">
        <v>449.0</v>
      </c>
      <c r="B325" s="13" t="s">
        <v>1046</v>
      </c>
      <c r="C325" s="11" t="s">
        <v>1047</v>
      </c>
      <c r="D325" s="15"/>
      <c r="E325" s="15"/>
      <c r="F325" s="10"/>
      <c r="G325" s="11" t="s">
        <v>1048</v>
      </c>
      <c r="H325" s="15"/>
      <c r="I325" s="15"/>
      <c r="J325" s="15"/>
      <c r="K325" s="15"/>
      <c r="L325" s="15"/>
      <c r="M325" s="15"/>
      <c r="N325" s="15"/>
      <c r="O325" s="15"/>
      <c r="P325" s="12"/>
      <c r="Q325" s="12"/>
      <c r="R325" s="12"/>
      <c r="S325" s="12"/>
      <c r="T325" s="12"/>
    </row>
    <row r="326">
      <c r="A326" s="9">
        <v>450.0</v>
      </c>
      <c r="B326" s="11" t="s">
        <v>1049</v>
      </c>
      <c r="C326" s="11" t="s">
        <v>1050</v>
      </c>
      <c r="D326" s="15"/>
      <c r="E326" s="10"/>
      <c r="F326" s="10"/>
      <c r="G326" s="11" t="s">
        <v>1051</v>
      </c>
      <c r="H326" s="15"/>
      <c r="I326" s="15"/>
      <c r="J326" s="15"/>
      <c r="K326" s="15"/>
      <c r="L326" s="15"/>
      <c r="M326" s="15"/>
      <c r="N326" s="15"/>
      <c r="O326" s="15"/>
      <c r="P326" s="12"/>
      <c r="Q326" s="12"/>
      <c r="R326" s="12"/>
      <c r="S326" s="12"/>
      <c r="T326" s="12"/>
    </row>
    <row r="327">
      <c r="A327" s="9">
        <v>451.0</v>
      </c>
      <c r="B327" s="11" t="s">
        <v>1052</v>
      </c>
      <c r="C327" s="11" t="s">
        <v>1053</v>
      </c>
      <c r="D327" s="15"/>
      <c r="E327" s="11" t="s">
        <v>1054</v>
      </c>
      <c r="F327" s="11" t="s">
        <v>1055</v>
      </c>
      <c r="G327" s="15"/>
      <c r="H327" s="15"/>
      <c r="I327" s="15"/>
      <c r="J327" s="15"/>
      <c r="K327" s="15"/>
      <c r="L327" s="15"/>
      <c r="M327" s="15"/>
      <c r="N327" s="15"/>
      <c r="O327" s="15"/>
      <c r="P327" s="12"/>
      <c r="Q327" s="12"/>
      <c r="R327" s="12"/>
      <c r="S327" s="12"/>
      <c r="T327" s="12"/>
    </row>
    <row r="328">
      <c r="A328" s="9">
        <v>454.0</v>
      </c>
      <c r="B328" s="11" t="s">
        <v>1056</v>
      </c>
      <c r="C328" s="11" t="s">
        <v>1057</v>
      </c>
      <c r="D328" s="15"/>
      <c r="E328" s="15"/>
      <c r="F328" s="10"/>
      <c r="G328" s="11" t="s">
        <v>1058</v>
      </c>
      <c r="H328" s="15"/>
      <c r="I328" s="15"/>
      <c r="J328" s="15"/>
      <c r="K328" s="15"/>
      <c r="L328" s="15"/>
      <c r="M328" s="15"/>
      <c r="N328" s="15"/>
      <c r="O328" s="15"/>
      <c r="P328" s="12"/>
      <c r="Q328" s="12"/>
      <c r="R328" s="12"/>
      <c r="S328" s="12"/>
      <c r="T328" s="12"/>
    </row>
    <row r="329">
      <c r="A329" s="9">
        <v>455.0</v>
      </c>
      <c r="B329" s="11" t="s">
        <v>1059</v>
      </c>
      <c r="C329" s="11" t="s">
        <v>1060</v>
      </c>
      <c r="D329" s="15"/>
      <c r="E329" s="15"/>
      <c r="F329" s="10"/>
      <c r="G329" s="11" t="s">
        <v>1061</v>
      </c>
      <c r="H329" s="15"/>
      <c r="I329" s="15"/>
      <c r="J329" s="15"/>
      <c r="K329" s="15"/>
      <c r="L329" s="15"/>
      <c r="M329" s="15"/>
      <c r="N329" s="15"/>
      <c r="O329" s="15"/>
      <c r="P329" s="12"/>
      <c r="Q329" s="12"/>
      <c r="R329" s="12"/>
      <c r="S329" s="12"/>
      <c r="T329" s="12"/>
    </row>
    <row r="330">
      <c r="A330" s="9">
        <v>456.0</v>
      </c>
      <c r="B330" s="11" t="s">
        <v>1062</v>
      </c>
      <c r="C330" s="11" t="s">
        <v>1063</v>
      </c>
      <c r="D330" s="15"/>
      <c r="E330" s="11" t="s">
        <v>1064</v>
      </c>
      <c r="F330" s="11" t="s">
        <v>1065</v>
      </c>
      <c r="G330" s="15"/>
      <c r="H330" s="15"/>
      <c r="I330" s="15"/>
      <c r="J330" s="15"/>
      <c r="K330" s="15"/>
      <c r="L330" s="15"/>
      <c r="M330" s="15"/>
      <c r="N330" s="15"/>
      <c r="O330" s="15"/>
      <c r="P330" s="12"/>
      <c r="Q330" s="12"/>
      <c r="R330" s="12"/>
      <c r="S330" s="12"/>
      <c r="T330" s="12"/>
    </row>
    <row r="331">
      <c r="A331" s="9">
        <v>458.0</v>
      </c>
      <c r="B331" s="10"/>
      <c r="C331" s="10"/>
      <c r="D331" s="11" t="s">
        <v>1066</v>
      </c>
      <c r="E331" s="11" t="s">
        <v>1067</v>
      </c>
      <c r="F331" s="11" t="s">
        <v>1068</v>
      </c>
      <c r="G331" s="15"/>
      <c r="H331" s="15"/>
      <c r="I331" s="15"/>
      <c r="J331" s="15"/>
      <c r="K331" s="15"/>
      <c r="L331" s="15"/>
      <c r="M331" s="15"/>
      <c r="N331" s="15"/>
      <c r="O331" s="15"/>
      <c r="P331" s="12"/>
      <c r="Q331" s="12"/>
      <c r="R331" s="12"/>
      <c r="S331" s="12"/>
      <c r="T331" s="12"/>
    </row>
    <row r="332">
      <c r="A332" s="9">
        <v>459.0</v>
      </c>
      <c r="B332" s="11" t="s">
        <v>1069</v>
      </c>
      <c r="C332" s="11" t="s">
        <v>1070</v>
      </c>
      <c r="D332" s="15"/>
      <c r="E332" s="11" t="s">
        <v>1071</v>
      </c>
      <c r="F332" s="11" t="s">
        <v>1072</v>
      </c>
      <c r="G332" s="15"/>
      <c r="H332" s="15"/>
      <c r="I332" s="15"/>
      <c r="J332" s="15"/>
      <c r="K332" s="15"/>
      <c r="L332" s="15"/>
      <c r="M332" s="15"/>
      <c r="N332" s="15"/>
      <c r="O332" s="15"/>
      <c r="P332" s="12"/>
      <c r="Q332" s="12"/>
      <c r="R332" s="12"/>
      <c r="S332" s="12"/>
      <c r="T332" s="12"/>
    </row>
    <row r="333">
      <c r="A333" s="9">
        <v>461.0</v>
      </c>
      <c r="B333" s="11" t="s">
        <v>1073</v>
      </c>
      <c r="C333" s="11" t="s">
        <v>1074</v>
      </c>
      <c r="D333" s="15"/>
      <c r="E333" s="10"/>
      <c r="F333" s="10"/>
      <c r="G333" s="11" t="s">
        <v>1075</v>
      </c>
      <c r="H333" s="15"/>
      <c r="I333" s="15"/>
      <c r="J333" s="15"/>
      <c r="K333" s="15"/>
      <c r="L333" s="15"/>
      <c r="M333" s="15"/>
      <c r="N333" s="15"/>
      <c r="O333" s="15"/>
      <c r="P333" s="12"/>
      <c r="Q333" s="12"/>
      <c r="R333" s="12"/>
      <c r="S333" s="12"/>
      <c r="T333" s="12"/>
    </row>
    <row r="334">
      <c r="A334" s="9">
        <v>462.0</v>
      </c>
      <c r="B334" s="11" t="s">
        <v>1076</v>
      </c>
      <c r="C334" s="11" t="s">
        <v>1077</v>
      </c>
      <c r="D334" s="10"/>
      <c r="E334" s="11" t="s">
        <v>1078</v>
      </c>
      <c r="F334" s="11" t="s">
        <v>1079</v>
      </c>
      <c r="G334" s="10"/>
      <c r="H334" s="15"/>
      <c r="I334" s="15"/>
      <c r="J334" s="15"/>
      <c r="K334" s="15"/>
      <c r="L334" s="15"/>
      <c r="M334" s="15"/>
      <c r="N334" s="15"/>
      <c r="O334" s="15"/>
      <c r="P334" s="12"/>
      <c r="Q334" s="12"/>
      <c r="R334" s="12"/>
      <c r="S334" s="12"/>
      <c r="T334" s="12"/>
    </row>
    <row r="335">
      <c r="A335" s="9">
        <v>463.0</v>
      </c>
      <c r="B335" s="11" t="s">
        <v>1080</v>
      </c>
      <c r="C335" s="11" t="s">
        <v>1081</v>
      </c>
      <c r="D335" s="15"/>
      <c r="E335" s="11" t="s">
        <v>1082</v>
      </c>
      <c r="F335" s="11" t="s">
        <v>1083</v>
      </c>
      <c r="G335" s="15"/>
      <c r="H335" s="15"/>
      <c r="I335" s="15"/>
      <c r="J335" s="15"/>
      <c r="K335" s="15"/>
      <c r="L335" s="15"/>
      <c r="M335" s="15"/>
      <c r="N335" s="15"/>
      <c r="O335" s="15"/>
      <c r="P335" s="12"/>
      <c r="Q335" s="12"/>
      <c r="R335" s="12"/>
      <c r="S335" s="12"/>
      <c r="T335" s="12"/>
    </row>
    <row r="336">
      <c r="A336" s="9">
        <v>464.0</v>
      </c>
      <c r="B336" s="11" t="s">
        <v>1084</v>
      </c>
      <c r="C336" s="11" t="s">
        <v>1085</v>
      </c>
      <c r="D336" s="15"/>
      <c r="E336" s="11" t="s">
        <v>1086</v>
      </c>
      <c r="F336" s="11" t="s">
        <v>1087</v>
      </c>
      <c r="G336" s="15"/>
      <c r="H336" s="15"/>
      <c r="I336" s="15"/>
      <c r="J336" s="15"/>
      <c r="K336" s="15"/>
      <c r="L336" s="15"/>
      <c r="M336" s="15"/>
      <c r="N336" s="15"/>
      <c r="O336" s="15"/>
      <c r="P336" s="12"/>
      <c r="Q336" s="12"/>
      <c r="R336" s="12"/>
      <c r="S336" s="12"/>
      <c r="T336" s="12"/>
    </row>
    <row r="337">
      <c r="A337" s="9">
        <v>465.0</v>
      </c>
      <c r="B337" s="11" t="s">
        <v>648</v>
      </c>
      <c r="C337" s="11" t="s">
        <v>1088</v>
      </c>
      <c r="D337" s="15"/>
      <c r="E337" s="11" t="s">
        <v>1089</v>
      </c>
      <c r="F337" s="11" t="s">
        <v>188</v>
      </c>
      <c r="G337" s="15"/>
      <c r="H337" s="15"/>
      <c r="I337" s="15"/>
      <c r="J337" s="15"/>
      <c r="K337" s="15"/>
      <c r="L337" s="15"/>
      <c r="M337" s="15"/>
      <c r="N337" s="15"/>
      <c r="O337" s="15"/>
      <c r="P337" s="12"/>
      <c r="Q337" s="12"/>
      <c r="R337" s="12"/>
      <c r="S337" s="12"/>
      <c r="T337" s="12"/>
    </row>
    <row r="338">
      <c r="A338" s="9">
        <v>466.0</v>
      </c>
      <c r="B338" s="11" t="s">
        <v>1090</v>
      </c>
      <c r="C338" s="11" t="s">
        <v>1091</v>
      </c>
      <c r="D338" s="15"/>
      <c r="E338" s="11" t="s">
        <v>1092</v>
      </c>
      <c r="F338" s="11" t="s">
        <v>1093</v>
      </c>
      <c r="G338" s="15"/>
      <c r="H338" s="15"/>
      <c r="I338" s="15"/>
      <c r="J338" s="15"/>
      <c r="K338" s="15"/>
      <c r="L338" s="15"/>
      <c r="M338" s="15"/>
      <c r="N338" s="15"/>
      <c r="O338" s="15"/>
      <c r="P338" s="12"/>
      <c r="Q338" s="12"/>
      <c r="R338" s="12"/>
      <c r="S338" s="12"/>
      <c r="T338" s="12"/>
    </row>
    <row r="339">
      <c r="A339" s="9">
        <v>468.0</v>
      </c>
      <c r="B339" s="11" t="s">
        <v>1094</v>
      </c>
      <c r="C339" s="11" t="s">
        <v>1095</v>
      </c>
      <c r="D339" s="15"/>
      <c r="E339" s="11" t="s">
        <v>1096</v>
      </c>
      <c r="F339" s="11" t="s">
        <v>1097</v>
      </c>
      <c r="G339" s="15"/>
      <c r="H339" s="15"/>
      <c r="I339" s="15"/>
      <c r="J339" s="15"/>
      <c r="K339" s="15"/>
      <c r="L339" s="15"/>
      <c r="M339" s="15"/>
      <c r="N339" s="15"/>
      <c r="O339" s="15"/>
      <c r="P339" s="12"/>
      <c r="Q339" s="12"/>
      <c r="R339" s="12"/>
      <c r="S339" s="12"/>
      <c r="T339" s="12"/>
    </row>
    <row r="340">
      <c r="A340" s="9">
        <v>469.0</v>
      </c>
      <c r="B340" s="11" t="s">
        <v>1098</v>
      </c>
      <c r="C340" s="11" t="s">
        <v>1099</v>
      </c>
      <c r="D340" s="15"/>
      <c r="E340" s="11" t="s">
        <v>1100</v>
      </c>
      <c r="F340" s="11" t="s">
        <v>1101</v>
      </c>
      <c r="G340" s="15"/>
      <c r="H340" s="15"/>
      <c r="I340" s="15"/>
      <c r="J340" s="15"/>
      <c r="K340" s="15"/>
      <c r="L340" s="15"/>
      <c r="M340" s="15"/>
      <c r="N340" s="15"/>
      <c r="O340" s="15"/>
      <c r="P340" s="12"/>
      <c r="Q340" s="12"/>
      <c r="R340" s="12"/>
      <c r="S340" s="12"/>
      <c r="T340" s="12"/>
    </row>
    <row r="341">
      <c r="A341" s="9">
        <v>470.0</v>
      </c>
      <c r="B341" s="11" t="s">
        <v>1102</v>
      </c>
      <c r="C341" s="11" t="s">
        <v>1103</v>
      </c>
      <c r="D341" s="15"/>
      <c r="E341" s="10"/>
      <c r="F341" s="10"/>
      <c r="G341" s="11" t="s">
        <v>1104</v>
      </c>
      <c r="H341" s="15"/>
      <c r="I341" s="15"/>
      <c r="J341" s="15"/>
      <c r="K341" s="15"/>
      <c r="L341" s="15"/>
      <c r="M341" s="15"/>
      <c r="N341" s="15"/>
      <c r="O341" s="15"/>
      <c r="P341" s="12"/>
      <c r="Q341" s="12"/>
      <c r="R341" s="12"/>
      <c r="S341" s="12"/>
      <c r="T341" s="12"/>
    </row>
    <row r="342">
      <c r="A342" s="9">
        <v>471.0</v>
      </c>
      <c r="B342" s="13" t="s">
        <v>1105</v>
      </c>
      <c r="C342" s="11" t="s">
        <v>1106</v>
      </c>
      <c r="D342" s="15"/>
      <c r="E342" s="10"/>
      <c r="F342" s="10"/>
      <c r="G342" s="11" t="s">
        <v>1107</v>
      </c>
      <c r="H342" s="15"/>
      <c r="I342" s="15"/>
      <c r="J342" s="15"/>
      <c r="K342" s="15"/>
      <c r="L342" s="15"/>
      <c r="M342" s="15"/>
      <c r="N342" s="15"/>
      <c r="O342" s="15"/>
      <c r="P342" s="12"/>
      <c r="Q342" s="12"/>
      <c r="R342" s="12"/>
      <c r="S342" s="12"/>
      <c r="T342" s="12"/>
    </row>
    <row r="343">
      <c r="A343" s="9">
        <v>474.0</v>
      </c>
      <c r="B343" s="11" t="s">
        <v>1108</v>
      </c>
      <c r="C343" s="11" t="s">
        <v>384</v>
      </c>
      <c r="D343" s="15"/>
      <c r="E343" s="11" t="s">
        <v>1109</v>
      </c>
      <c r="F343" s="11" t="s">
        <v>384</v>
      </c>
      <c r="G343" s="15"/>
      <c r="H343" s="15"/>
      <c r="I343" s="15"/>
      <c r="J343" s="15"/>
      <c r="K343" s="15"/>
      <c r="L343" s="15"/>
      <c r="M343" s="15"/>
      <c r="N343" s="15"/>
      <c r="O343" s="15"/>
      <c r="P343" s="12"/>
      <c r="Q343" s="12"/>
      <c r="R343" s="12"/>
      <c r="S343" s="12"/>
      <c r="T343" s="12"/>
    </row>
    <row r="344">
      <c r="A344" s="9">
        <v>475.0</v>
      </c>
      <c r="B344" s="11" t="s">
        <v>1110</v>
      </c>
      <c r="C344" s="11" t="s">
        <v>1111</v>
      </c>
      <c r="D344" s="15"/>
      <c r="E344" s="15"/>
      <c r="F344" s="10"/>
      <c r="G344" s="11" t="s">
        <v>1112</v>
      </c>
      <c r="H344" s="15"/>
      <c r="I344" s="15"/>
      <c r="J344" s="15"/>
      <c r="K344" s="15"/>
      <c r="L344" s="15"/>
      <c r="M344" s="15"/>
      <c r="N344" s="15"/>
      <c r="O344" s="15"/>
      <c r="P344" s="12"/>
      <c r="Q344" s="12"/>
      <c r="R344" s="12"/>
      <c r="S344" s="12"/>
      <c r="T344" s="12"/>
    </row>
    <row r="345">
      <c r="A345" s="9">
        <v>476.0</v>
      </c>
      <c r="B345" s="11" t="s">
        <v>1113</v>
      </c>
      <c r="C345" s="11" t="s">
        <v>1114</v>
      </c>
      <c r="D345" s="15"/>
      <c r="E345" s="11" t="s">
        <v>1115</v>
      </c>
      <c r="F345" s="11" t="s">
        <v>1116</v>
      </c>
      <c r="G345" s="15"/>
      <c r="H345" s="15"/>
      <c r="I345" s="15"/>
      <c r="J345" s="15"/>
      <c r="K345" s="15"/>
      <c r="L345" s="15"/>
      <c r="M345" s="15"/>
      <c r="N345" s="15"/>
      <c r="O345" s="15"/>
      <c r="P345" s="12"/>
      <c r="Q345" s="12"/>
      <c r="R345" s="12"/>
      <c r="S345" s="12"/>
      <c r="T345" s="12"/>
    </row>
    <row r="346">
      <c r="A346" s="9">
        <v>477.0</v>
      </c>
      <c r="B346" s="11" t="s">
        <v>1117</v>
      </c>
      <c r="C346" s="11" t="s">
        <v>1118</v>
      </c>
      <c r="D346" s="15"/>
      <c r="E346" s="10"/>
      <c r="F346" s="10"/>
      <c r="G346" s="11" t="s">
        <v>1119</v>
      </c>
      <c r="H346" s="15"/>
      <c r="I346" s="15"/>
      <c r="J346" s="15"/>
      <c r="K346" s="15"/>
      <c r="L346" s="15"/>
      <c r="M346" s="15"/>
      <c r="N346" s="15"/>
      <c r="O346" s="15"/>
      <c r="P346" s="12"/>
      <c r="Q346" s="12"/>
      <c r="R346" s="12"/>
      <c r="S346" s="12"/>
      <c r="T346" s="12"/>
    </row>
    <row r="347">
      <c r="A347" s="9">
        <v>479.0</v>
      </c>
      <c r="B347" s="11" t="s">
        <v>1120</v>
      </c>
      <c r="C347" s="11" t="s">
        <v>1121</v>
      </c>
      <c r="D347" s="15"/>
      <c r="E347" s="11" t="s">
        <v>1122</v>
      </c>
      <c r="F347" s="11" t="s">
        <v>1123</v>
      </c>
      <c r="G347" s="15"/>
      <c r="H347" s="15"/>
      <c r="I347" s="15"/>
      <c r="J347" s="15"/>
      <c r="K347" s="15"/>
      <c r="L347" s="15"/>
      <c r="M347" s="15"/>
      <c r="N347" s="15"/>
      <c r="O347" s="15"/>
      <c r="P347" s="12"/>
      <c r="Q347" s="12"/>
      <c r="R347" s="12"/>
      <c r="S347" s="12"/>
      <c r="T347" s="12"/>
    </row>
    <row r="348">
      <c r="A348" s="9">
        <v>480.0</v>
      </c>
      <c r="B348" s="11" t="s">
        <v>1124</v>
      </c>
      <c r="C348" s="11" t="s">
        <v>1125</v>
      </c>
      <c r="D348" s="15"/>
      <c r="E348" s="11" t="s">
        <v>1126</v>
      </c>
      <c r="F348" s="11" t="s">
        <v>1127</v>
      </c>
      <c r="G348" s="15"/>
      <c r="H348" s="15"/>
      <c r="I348" s="15"/>
      <c r="J348" s="15"/>
      <c r="K348" s="15"/>
      <c r="L348" s="15"/>
      <c r="M348" s="15"/>
      <c r="N348" s="15"/>
      <c r="O348" s="15"/>
      <c r="P348" s="12"/>
      <c r="Q348" s="12"/>
      <c r="R348" s="12"/>
      <c r="S348" s="12"/>
      <c r="T348" s="12"/>
    </row>
    <row r="349">
      <c r="A349" s="9">
        <v>483.0</v>
      </c>
      <c r="B349" s="11" t="s">
        <v>1128</v>
      </c>
      <c r="C349" s="11" t="s">
        <v>1129</v>
      </c>
      <c r="D349" s="15"/>
      <c r="E349" s="11" t="s">
        <v>1130</v>
      </c>
      <c r="F349" s="11" t="s">
        <v>1131</v>
      </c>
      <c r="G349" s="15"/>
      <c r="H349" s="15"/>
      <c r="I349" s="15"/>
      <c r="J349" s="15"/>
      <c r="K349" s="15"/>
      <c r="L349" s="15"/>
      <c r="M349" s="15"/>
      <c r="N349" s="15"/>
      <c r="O349" s="15"/>
      <c r="P349" s="12"/>
      <c r="Q349" s="12"/>
      <c r="R349" s="12"/>
      <c r="S349" s="12"/>
      <c r="T349" s="12"/>
    </row>
    <row r="350">
      <c r="A350" s="9">
        <v>484.0</v>
      </c>
      <c r="B350" s="11" t="s">
        <v>1132</v>
      </c>
      <c r="C350" s="11" t="s">
        <v>1133</v>
      </c>
      <c r="D350" s="15"/>
      <c r="E350" s="10"/>
      <c r="F350" s="10"/>
      <c r="G350" s="11" t="s">
        <v>1134</v>
      </c>
      <c r="H350" s="15"/>
      <c r="I350" s="15"/>
      <c r="J350" s="15"/>
      <c r="K350" s="15"/>
      <c r="L350" s="15"/>
      <c r="M350" s="15"/>
      <c r="N350" s="15"/>
      <c r="O350" s="15"/>
      <c r="P350" s="12"/>
      <c r="Q350" s="12"/>
      <c r="R350" s="12"/>
      <c r="S350" s="12"/>
      <c r="T350" s="12"/>
    </row>
    <row r="351">
      <c r="A351" s="9">
        <v>485.0</v>
      </c>
      <c r="B351" s="11" t="s">
        <v>1135</v>
      </c>
      <c r="C351" s="11" t="s">
        <v>1136</v>
      </c>
      <c r="D351" s="15"/>
      <c r="E351" s="10"/>
      <c r="F351" s="10"/>
      <c r="G351" s="11" t="s">
        <v>1137</v>
      </c>
      <c r="H351" s="15"/>
      <c r="I351" s="15"/>
      <c r="J351" s="15"/>
      <c r="K351" s="15"/>
      <c r="L351" s="15"/>
      <c r="M351" s="15"/>
      <c r="N351" s="15"/>
      <c r="O351" s="15"/>
      <c r="P351" s="12"/>
      <c r="Q351" s="12"/>
      <c r="R351" s="12"/>
      <c r="S351" s="12"/>
      <c r="T351" s="12"/>
    </row>
    <row r="352">
      <c r="A352" s="9">
        <v>486.0</v>
      </c>
      <c r="B352" s="11" t="s">
        <v>95</v>
      </c>
      <c r="C352" s="11" t="s">
        <v>1138</v>
      </c>
      <c r="D352" s="15"/>
      <c r="E352" s="10"/>
      <c r="F352" s="10"/>
      <c r="G352" s="11" t="s">
        <v>1139</v>
      </c>
      <c r="H352" s="15"/>
      <c r="I352" s="15"/>
      <c r="J352" s="15"/>
      <c r="K352" s="15"/>
      <c r="L352" s="15"/>
      <c r="M352" s="15"/>
      <c r="N352" s="15"/>
      <c r="O352" s="15"/>
      <c r="P352" s="12"/>
      <c r="Q352" s="12"/>
      <c r="R352" s="12"/>
      <c r="S352" s="12"/>
      <c r="T352" s="12"/>
    </row>
    <row r="353">
      <c r="A353" s="9">
        <v>487.0</v>
      </c>
      <c r="B353" s="11" t="s">
        <v>1140</v>
      </c>
      <c r="C353" s="11" t="s">
        <v>1141</v>
      </c>
      <c r="D353" s="15"/>
      <c r="E353" s="11" t="s">
        <v>1142</v>
      </c>
      <c r="F353" s="11" t="s">
        <v>1143</v>
      </c>
      <c r="G353" s="15"/>
      <c r="H353" s="15"/>
      <c r="I353" s="15"/>
      <c r="J353" s="15"/>
      <c r="K353" s="15"/>
      <c r="L353" s="15"/>
      <c r="M353" s="15"/>
      <c r="N353" s="15"/>
      <c r="O353" s="15"/>
      <c r="P353" s="12"/>
      <c r="Q353" s="12"/>
      <c r="R353" s="12"/>
      <c r="S353" s="12"/>
      <c r="T353" s="12"/>
    </row>
    <row r="354">
      <c r="A354" s="9">
        <v>488.0</v>
      </c>
      <c r="B354" s="11" t="s">
        <v>1144</v>
      </c>
      <c r="C354" s="11" t="s">
        <v>1145</v>
      </c>
      <c r="D354" s="15"/>
      <c r="E354" s="11" t="s">
        <v>1146</v>
      </c>
      <c r="F354" s="11" t="s">
        <v>1147</v>
      </c>
      <c r="G354" s="15"/>
      <c r="H354" s="15"/>
      <c r="I354" s="15"/>
      <c r="J354" s="15"/>
      <c r="K354" s="15"/>
      <c r="L354" s="15"/>
      <c r="M354" s="15"/>
      <c r="N354" s="15"/>
      <c r="O354" s="15"/>
      <c r="P354" s="12"/>
      <c r="Q354" s="12"/>
      <c r="R354" s="12"/>
      <c r="S354" s="12"/>
      <c r="T354" s="12"/>
    </row>
    <row r="355">
      <c r="A355" s="9">
        <v>489.0</v>
      </c>
      <c r="B355" s="11" t="s">
        <v>1148</v>
      </c>
      <c r="C355" s="11" t="s">
        <v>1149</v>
      </c>
      <c r="D355" s="15"/>
      <c r="E355" s="11" t="s">
        <v>1150</v>
      </c>
      <c r="F355" s="11" t="s">
        <v>1151</v>
      </c>
      <c r="G355" s="15"/>
      <c r="H355" s="15"/>
      <c r="I355" s="15"/>
      <c r="J355" s="15"/>
      <c r="K355" s="15"/>
      <c r="L355" s="15"/>
      <c r="M355" s="15"/>
      <c r="N355" s="15"/>
      <c r="O355" s="15"/>
      <c r="P355" s="12"/>
      <c r="Q355" s="12"/>
      <c r="R355" s="12"/>
      <c r="S355" s="12"/>
      <c r="T355" s="12"/>
    </row>
    <row r="356">
      <c r="A356" s="9">
        <v>490.0</v>
      </c>
      <c r="B356" s="11" t="s">
        <v>1152</v>
      </c>
      <c r="C356" s="11" t="s">
        <v>1153</v>
      </c>
      <c r="D356" s="15"/>
      <c r="E356" s="10"/>
      <c r="F356" s="10"/>
      <c r="G356" s="11" t="s">
        <v>1154</v>
      </c>
      <c r="H356" s="15"/>
      <c r="I356" s="15"/>
      <c r="J356" s="15"/>
      <c r="K356" s="15"/>
      <c r="L356" s="15"/>
      <c r="M356" s="15"/>
      <c r="N356" s="15"/>
      <c r="O356" s="15"/>
      <c r="P356" s="12"/>
      <c r="Q356" s="12"/>
      <c r="R356" s="12"/>
      <c r="S356" s="12"/>
      <c r="T356" s="12"/>
    </row>
    <row r="357">
      <c r="A357" s="9">
        <v>491.0</v>
      </c>
      <c r="B357" s="11" t="s">
        <v>1155</v>
      </c>
      <c r="C357" s="11" t="s">
        <v>1156</v>
      </c>
      <c r="D357" s="15"/>
      <c r="E357" s="11" t="s">
        <v>1157</v>
      </c>
      <c r="F357" s="11" t="s">
        <v>1158</v>
      </c>
      <c r="G357" s="15"/>
      <c r="H357" s="15"/>
      <c r="I357" s="15"/>
      <c r="J357" s="15"/>
      <c r="K357" s="15"/>
      <c r="L357" s="15"/>
      <c r="M357" s="15"/>
      <c r="N357" s="15"/>
      <c r="O357" s="15"/>
      <c r="P357" s="12"/>
      <c r="Q357" s="12"/>
      <c r="R357" s="12"/>
      <c r="S357" s="12"/>
      <c r="T357" s="12"/>
    </row>
    <row r="358">
      <c r="A358" s="9">
        <v>493.0</v>
      </c>
      <c r="B358" s="11" t="s">
        <v>1059</v>
      </c>
      <c r="C358" s="11" t="s">
        <v>1159</v>
      </c>
      <c r="D358" s="15"/>
      <c r="E358" s="11" t="s">
        <v>1160</v>
      </c>
      <c r="F358" s="11" t="s">
        <v>1161</v>
      </c>
      <c r="G358" s="15"/>
      <c r="H358" s="15"/>
      <c r="I358" s="15"/>
      <c r="J358" s="15"/>
      <c r="K358" s="15"/>
      <c r="L358" s="15"/>
      <c r="M358" s="15"/>
      <c r="N358" s="15"/>
      <c r="O358" s="15"/>
      <c r="P358" s="12"/>
      <c r="Q358" s="12"/>
      <c r="R358" s="12"/>
      <c r="S358" s="12"/>
      <c r="T358" s="12"/>
    </row>
    <row r="359">
      <c r="A359" s="9">
        <v>496.0</v>
      </c>
      <c r="B359" s="11" t="s">
        <v>1162</v>
      </c>
      <c r="C359" s="11" t="s">
        <v>1163</v>
      </c>
      <c r="D359" s="15"/>
      <c r="E359" s="11" t="s">
        <v>1164</v>
      </c>
      <c r="F359" s="11" t="s">
        <v>1165</v>
      </c>
      <c r="G359" s="15"/>
      <c r="H359" s="15"/>
      <c r="I359" s="15"/>
      <c r="J359" s="15"/>
      <c r="K359" s="15"/>
      <c r="L359" s="15"/>
      <c r="M359" s="15"/>
      <c r="N359" s="15"/>
      <c r="O359" s="15"/>
      <c r="P359" s="12"/>
      <c r="Q359" s="12"/>
      <c r="R359" s="12"/>
      <c r="S359" s="12"/>
      <c r="T359" s="12"/>
    </row>
    <row r="360">
      <c r="A360" s="9">
        <v>497.0</v>
      </c>
      <c r="B360" s="11" t="s">
        <v>95</v>
      </c>
      <c r="C360" s="11" t="s">
        <v>188</v>
      </c>
      <c r="D360" s="15"/>
      <c r="E360" s="10"/>
      <c r="F360" s="10"/>
      <c r="G360" s="11" t="s">
        <v>189</v>
      </c>
      <c r="H360" s="15"/>
      <c r="I360" s="15"/>
      <c r="J360" s="15"/>
      <c r="K360" s="15"/>
      <c r="L360" s="15"/>
      <c r="M360" s="15"/>
      <c r="N360" s="15"/>
      <c r="O360" s="15"/>
      <c r="P360" s="12"/>
      <c r="Q360" s="12"/>
      <c r="R360" s="12"/>
      <c r="S360" s="12"/>
      <c r="T360" s="12"/>
    </row>
    <row r="361">
      <c r="A361" s="9">
        <v>498.0</v>
      </c>
      <c r="B361" s="11" t="s">
        <v>1166</v>
      </c>
      <c r="C361" s="11" t="s">
        <v>1167</v>
      </c>
      <c r="D361" s="15"/>
      <c r="E361" s="11" t="s">
        <v>1168</v>
      </c>
      <c r="F361" s="11" t="s">
        <v>1169</v>
      </c>
      <c r="G361" s="15"/>
      <c r="H361" s="15"/>
      <c r="I361" s="15"/>
      <c r="J361" s="15"/>
      <c r="K361" s="15"/>
      <c r="L361" s="15"/>
      <c r="M361" s="15"/>
      <c r="N361" s="15"/>
      <c r="O361" s="15"/>
      <c r="P361" s="12"/>
      <c r="Q361" s="12"/>
      <c r="R361" s="12"/>
      <c r="S361" s="12"/>
      <c r="T361" s="12"/>
    </row>
    <row r="362">
      <c r="A362" s="9">
        <v>499.0</v>
      </c>
      <c r="B362" s="11" t="s">
        <v>1170</v>
      </c>
      <c r="C362" s="11" t="s">
        <v>1171</v>
      </c>
      <c r="D362" s="15"/>
      <c r="E362" s="11" t="s">
        <v>1172</v>
      </c>
      <c r="F362" s="11" t="s">
        <v>1173</v>
      </c>
      <c r="G362" s="15"/>
      <c r="H362" s="15"/>
      <c r="I362" s="15"/>
      <c r="J362" s="15"/>
      <c r="K362" s="15"/>
      <c r="L362" s="15"/>
      <c r="M362" s="15"/>
      <c r="N362" s="15"/>
      <c r="O362" s="15"/>
      <c r="P362" s="12"/>
      <c r="Q362" s="12"/>
      <c r="R362" s="12"/>
      <c r="S362" s="12"/>
      <c r="T362" s="12"/>
    </row>
    <row r="363">
      <c r="A363" s="9">
        <v>501.0</v>
      </c>
      <c r="B363" s="11" t="s">
        <v>1174</v>
      </c>
      <c r="C363" s="11" t="s">
        <v>188</v>
      </c>
      <c r="D363" s="15"/>
      <c r="E363" s="11" t="s">
        <v>1175</v>
      </c>
      <c r="F363" s="11" t="s">
        <v>1176</v>
      </c>
      <c r="G363" s="15"/>
      <c r="H363" s="15"/>
      <c r="I363" s="15"/>
      <c r="J363" s="15"/>
      <c r="K363" s="15"/>
      <c r="L363" s="15"/>
      <c r="M363" s="15"/>
      <c r="N363" s="15"/>
      <c r="O363" s="15"/>
      <c r="P363" s="12"/>
      <c r="Q363" s="12"/>
      <c r="R363" s="12"/>
      <c r="S363" s="12"/>
      <c r="T363" s="12"/>
    </row>
    <row r="364">
      <c r="A364" s="9">
        <v>502.0</v>
      </c>
      <c r="B364" s="10"/>
      <c r="C364" s="10"/>
      <c r="D364" s="11" t="s">
        <v>1177</v>
      </c>
      <c r="E364" s="10"/>
      <c r="F364" s="10"/>
      <c r="G364" s="11" t="s">
        <v>1178</v>
      </c>
      <c r="H364" s="15"/>
      <c r="I364" s="15"/>
      <c r="J364" s="15"/>
      <c r="K364" s="15"/>
      <c r="L364" s="15"/>
      <c r="M364" s="15"/>
      <c r="N364" s="15"/>
      <c r="O364" s="15"/>
      <c r="P364" s="12"/>
      <c r="Q364" s="12"/>
      <c r="R364" s="12"/>
      <c r="S364" s="12"/>
      <c r="T364" s="12"/>
    </row>
    <row r="365">
      <c r="A365" s="9">
        <v>503.0</v>
      </c>
      <c r="B365" s="11" t="s">
        <v>1179</v>
      </c>
      <c r="C365" s="11" t="s">
        <v>1180</v>
      </c>
      <c r="D365" s="15"/>
      <c r="E365" s="10"/>
      <c r="F365" s="10"/>
      <c r="G365" s="11" t="s">
        <v>1181</v>
      </c>
      <c r="H365" s="15"/>
      <c r="I365" s="15"/>
      <c r="J365" s="15"/>
      <c r="K365" s="15"/>
      <c r="L365" s="15"/>
      <c r="M365" s="15"/>
      <c r="N365" s="15"/>
      <c r="O365" s="15"/>
      <c r="P365" s="12"/>
      <c r="Q365" s="12"/>
      <c r="R365" s="12"/>
      <c r="S365" s="12"/>
      <c r="T365" s="12"/>
    </row>
    <row r="366">
      <c r="A366" s="9">
        <v>504.0</v>
      </c>
      <c r="B366" s="11" t="s">
        <v>1182</v>
      </c>
      <c r="C366" s="11" t="s">
        <v>1183</v>
      </c>
      <c r="D366" s="15"/>
      <c r="E366" s="10"/>
      <c r="F366" s="10"/>
      <c r="G366" s="11" t="s">
        <v>1184</v>
      </c>
      <c r="H366" s="15"/>
      <c r="I366" s="15"/>
      <c r="J366" s="15"/>
      <c r="K366" s="15"/>
      <c r="L366" s="15"/>
      <c r="M366" s="15"/>
      <c r="N366" s="15"/>
      <c r="O366" s="15"/>
      <c r="P366" s="12"/>
      <c r="Q366" s="12"/>
      <c r="R366" s="12"/>
      <c r="S366" s="12"/>
      <c r="T366" s="12"/>
    </row>
    <row r="367">
      <c r="A367" s="9">
        <v>505.0</v>
      </c>
      <c r="B367" s="11" t="s">
        <v>1185</v>
      </c>
      <c r="C367" s="11" t="s">
        <v>1186</v>
      </c>
      <c r="D367" s="10"/>
      <c r="E367" s="15"/>
      <c r="F367" s="15"/>
      <c r="G367" s="11" t="s">
        <v>1187</v>
      </c>
      <c r="H367" s="15"/>
      <c r="I367" s="15"/>
      <c r="J367" s="15"/>
      <c r="K367" s="15"/>
      <c r="L367" s="15"/>
      <c r="M367" s="15"/>
      <c r="N367" s="15"/>
      <c r="O367" s="15"/>
      <c r="P367" s="12"/>
      <c r="Q367" s="12"/>
      <c r="R367" s="12"/>
      <c r="S367" s="12"/>
      <c r="T367" s="12"/>
    </row>
    <row r="368">
      <c r="A368" s="9">
        <v>507.0</v>
      </c>
      <c r="B368" s="11" t="s">
        <v>1188</v>
      </c>
      <c r="C368" s="11" t="s">
        <v>1189</v>
      </c>
      <c r="D368" s="15"/>
      <c r="E368" s="11" t="s">
        <v>1190</v>
      </c>
      <c r="F368" s="11" t="s">
        <v>1191</v>
      </c>
      <c r="G368" s="15"/>
      <c r="H368" s="15"/>
      <c r="I368" s="15"/>
      <c r="J368" s="15"/>
      <c r="K368" s="15"/>
      <c r="L368" s="15"/>
      <c r="M368" s="15"/>
      <c r="N368" s="15"/>
      <c r="O368" s="15"/>
      <c r="P368" s="12"/>
      <c r="Q368" s="12"/>
      <c r="R368" s="12"/>
      <c r="S368" s="12"/>
      <c r="T368" s="12"/>
    </row>
    <row r="369">
      <c r="A369" s="9">
        <v>508.0</v>
      </c>
      <c r="B369" s="11" t="s">
        <v>1192</v>
      </c>
      <c r="C369" s="11" t="s">
        <v>1193</v>
      </c>
      <c r="D369" s="15"/>
      <c r="E369" s="15"/>
      <c r="F369" s="10"/>
      <c r="G369" s="11" t="s">
        <v>1194</v>
      </c>
      <c r="H369" s="15"/>
      <c r="I369" s="15"/>
      <c r="J369" s="15"/>
      <c r="K369" s="15"/>
      <c r="L369" s="15"/>
      <c r="M369" s="15"/>
      <c r="N369" s="15"/>
      <c r="O369" s="15"/>
      <c r="P369" s="12"/>
      <c r="Q369" s="12"/>
      <c r="R369" s="12"/>
      <c r="S369" s="12"/>
      <c r="T369" s="12"/>
    </row>
    <row r="370">
      <c r="A370" s="9">
        <v>509.0</v>
      </c>
      <c r="B370" s="11" t="s">
        <v>1195</v>
      </c>
      <c r="C370" s="11" t="s">
        <v>1196</v>
      </c>
      <c r="D370" s="15"/>
      <c r="E370" s="11" t="s">
        <v>1197</v>
      </c>
      <c r="F370" s="11" t="s">
        <v>1198</v>
      </c>
      <c r="G370" s="15"/>
      <c r="H370" s="15"/>
      <c r="I370" s="15"/>
      <c r="J370" s="15"/>
      <c r="K370" s="15"/>
      <c r="L370" s="15"/>
      <c r="M370" s="15"/>
      <c r="N370" s="15"/>
      <c r="O370" s="15"/>
      <c r="P370" s="12"/>
      <c r="Q370" s="12"/>
      <c r="R370" s="12"/>
      <c r="S370" s="12"/>
      <c r="T370" s="12"/>
    </row>
    <row r="371">
      <c r="A371" s="9">
        <v>510.0</v>
      </c>
      <c r="B371" s="11" t="s">
        <v>703</v>
      </c>
      <c r="C371" s="11" t="s">
        <v>1199</v>
      </c>
      <c r="D371" s="15"/>
      <c r="E371" s="11" t="s">
        <v>1200</v>
      </c>
      <c r="F371" s="11" t="s">
        <v>1201</v>
      </c>
      <c r="G371" s="15"/>
      <c r="H371" s="15"/>
      <c r="I371" s="15"/>
      <c r="J371" s="15"/>
      <c r="K371" s="15"/>
      <c r="L371" s="15"/>
      <c r="M371" s="15"/>
      <c r="N371" s="15"/>
      <c r="O371" s="15"/>
      <c r="P371" s="12"/>
      <c r="Q371" s="12"/>
      <c r="R371" s="12"/>
      <c r="S371" s="12"/>
      <c r="T371" s="12"/>
    </row>
    <row r="372">
      <c r="A372" s="9">
        <v>511.0</v>
      </c>
      <c r="B372" s="11" t="s">
        <v>1202</v>
      </c>
      <c r="C372" s="11" t="s">
        <v>188</v>
      </c>
      <c r="D372" s="15"/>
      <c r="E372" s="11" t="s">
        <v>1203</v>
      </c>
      <c r="F372" s="11" t="s">
        <v>188</v>
      </c>
      <c r="G372" s="15"/>
      <c r="H372" s="15"/>
      <c r="I372" s="15"/>
      <c r="J372" s="15"/>
      <c r="K372" s="15"/>
      <c r="L372" s="15"/>
      <c r="M372" s="15"/>
      <c r="N372" s="15"/>
      <c r="O372" s="15"/>
      <c r="P372" s="12"/>
      <c r="Q372" s="12"/>
      <c r="R372" s="12"/>
      <c r="S372" s="12"/>
      <c r="T372" s="12"/>
    </row>
    <row r="373">
      <c r="A373" s="9">
        <v>512.0</v>
      </c>
      <c r="B373" s="11" t="s">
        <v>235</v>
      </c>
      <c r="C373" s="11" t="s">
        <v>1204</v>
      </c>
      <c r="D373" s="15"/>
      <c r="E373" s="10"/>
      <c r="F373" s="10"/>
      <c r="G373" s="11" t="s">
        <v>1205</v>
      </c>
      <c r="H373" s="15"/>
      <c r="I373" s="15"/>
      <c r="J373" s="15"/>
      <c r="K373" s="15"/>
      <c r="L373" s="15"/>
      <c r="M373" s="15"/>
      <c r="N373" s="15"/>
      <c r="O373" s="15"/>
      <c r="P373" s="12"/>
      <c r="Q373" s="12"/>
      <c r="R373" s="12"/>
      <c r="S373" s="12"/>
      <c r="T373" s="12"/>
    </row>
    <row r="374">
      <c r="A374" s="9">
        <v>513.0</v>
      </c>
      <c r="B374" s="11" t="s">
        <v>1206</v>
      </c>
      <c r="C374" s="11" t="s">
        <v>1207</v>
      </c>
      <c r="D374" s="15"/>
      <c r="E374" s="11" t="s">
        <v>1208</v>
      </c>
      <c r="F374" s="11" t="s">
        <v>1209</v>
      </c>
      <c r="G374" s="15"/>
      <c r="H374" s="15"/>
      <c r="I374" s="15"/>
      <c r="J374" s="15"/>
      <c r="K374" s="15"/>
      <c r="L374" s="15"/>
      <c r="M374" s="15"/>
      <c r="N374" s="15"/>
      <c r="O374" s="15"/>
      <c r="P374" s="12"/>
      <c r="Q374" s="12"/>
      <c r="R374" s="12"/>
      <c r="S374" s="12"/>
      <c r="T374" s="12"/>
    </row>
    <row r="375">
      <c r="A375" s="9">
        <v>514.0</v>
      </c>
      <c r="B375" s="11" t="s">
        <v>1210</v>
      </c>
      <c r="C375" s="11" t="s">
        <v>1211</v>
      </c>
      <c r="D375" s="15"/>
      <c r="E375" s="11" t="s">
        <v>1212</v>
      </c>
      <c r="F375" s="11" t="s">
        <v>1213</v>
      </c>
      <c r="G375" s="15"/>
      <c r="H375" s="15"/>
      <c r="I375" s="15"/>
      <c r="J375" s="15"/>
      <c r="K375" s="15"/>
      <c r="L375" s="15"/>
      <c r="M375" s="15"/>
      <c r="N375" s="15"/>
      <c r="O375" s="15"/>
      <c r="P375" s="12"/>
      <c r="Q375" s="12"/>
      <c r="R375" s="12"/>
      <c r="S375" s="12"/>
      <c r="T375" s="12"/>
    </row>
    <row r="376">
      <c r="A376" s="9">
        <v>515.0</v>
      </c>
      <c r="B376" s="11" t="s">
        <v>1214</v>
      </c>
      <c r="C376" s="11" t="s">
        <v>1215</v>
      </c>
      <c r="D376" s="15"/>
      <c r="E376" s="15"/>
      <c r="F376" s="10"/>
      <c r="G376" s="11" t="s">
        <v>1216</v>
      </c>
      <c r="H376" s="15"/>
      <c r="I376" s="15"/>
      <c r="J376" s="15"/>
      <c r="K376" s="15"/>
      <c r="L376" s="15"/>
      <c r="M376" s="15"/>
      <c r="N376" s="15"/>
      <c r="O376" s="15"/>
      <c r="P376" s="12"/>
      <c r="Q376" s="12"/>
      <c r="R376" s="12"/>
      <c r="S376" s="12"/>
      <c r="T376" s="12"/>
    </row>
    <row r="377">
      <c r="A377" s="9">
        <v>516.0</v>
      </c>
      <c r="B377" s="11" t="s">
        <v>1217</v>
      </c>
      <c r="C377" s="11" t="s">
        <v>1218</v>
      </c>
      <c r="D377" s="15"/>
      <c r="E377" s="10"/>
      <c r="F377" s="10"/>
      <c r="G377" s="11" t="s">
        <v>1219</v>
      </c>
      <c r="H377" s="15"/>
      <c r="I377" s="15"/>
      <c r="J377" s="15"/>
      <c r="K377" s="15"/>
      <c r="L377" s="15"/>
      <c r="M377" s="15"/>
      <c r="N377" s="15"/>
      <c r="O377" s="15"/>
      <c r="P377" s="12"/>
      <c r="Q377" s="12"/>
      <c r="R377" s="12"/>
      <c r="S377" s="12"/>
      <c r="T377" s="12"/>
    </row>
    <row r="378">
      <c r="A378" s="9">
        <v>517.0</v>
      </c>
      <c r="B378" s="11" t="s">
        <v>260</v>
      </c>
      <c r="C378" s="11" t="s">
        <v>425</v>
      </c>
      <c r="D378" s="15"/>
      <c r="E378" s="11" t="s">
        <v>1220</v>
      </c>
      <c r="F378" s="11" t="s">
        <v>1221</v>
      </c>
      <c r="G378" s="15"/>
      <c r="H378" s="15"/>
      <c r="I378" s="15"/>
      <c r="J378" s="15"/>
      <c r="K378" s="15"/>
      <c r="L378" s="15"/>
      <c r="M378" s="15"/>
      <c r="N378" s="15"/>
      <c r="O378" s="15"/>
      <c r="P378" s="12"/>
      <c r="Q378" s="12"/>
      <c r="R378" s="12"/>
      <c r="S378" s="12"/>
      <c r="T378" s="12"/>
    </row>
    <row r="379">
      <c r="A379" s="9">
        <v>518.0</v>
      </c>
      <c r="B379" s="11" t="s">
        <v>159</v>
      </c>
      <c r="C379" s="11" t="s">
        <v>1222</v>
      </c>
      <c r="D379" s="15"/>
      <c r="E379" s="11" t="s">
        <v>1223</v>
      </c>
      <c r="F379" s="11" t="s">
        <v>285</v>
      </c>
      <c r="G379" s="15"/>
      <c r="H379" s="15"/>
      <c r="I379" s="15"/>
      <c r="J379" s="15"/>
      <c r="K379" s="15"/>
      <c r="L379" s="15"/>
      <c r="M379" s="15"/>
      <c r="N379" s="15"/>
      <c r="O379" s="15"/>
      <c r="P379" s="12"/>
      <c r="Q379" s="12"/>
      <c r="R379" s="12"/>
      <c r="S379" s="12"/>
      <c r="T379" s="12"/>
    </row>
    <row r="380">
      <c r="A380" s="9">
        <v>519.0</v>
      </c>
      <c r="B380" s="11" t="s">
        <v>1224</v>
      </c>
      <c r="C380" s="11" t="s">
        <v>1225</v>
      </c>
      <c r="D380" s="15"/>
      <c r="E380" s="11" t="s">
        <v>1071</v>
      </c>
      <c r="F380" s="11" t="s">
        <v>1226</v>
      </c>
      <c r="G380" s="15"/>
      <c r="H380" s="15"/>
      <c r="I380" s="15"/>
      <c r="J380" s="15"/>
      <c r="K380" s="15"/>
      <c r="L380" s="15"/>
      <c r="M380" s="15"/>
      <c r="N380" s="15"/>
      <c r="O380" s="15"/>
      <c r="P380" s="12"/>
      <c r="Q380" s="12"/>
      <c r="R380" s="12"/>
      <c r="S380" s="12"/>
      <c r="T380" s="12"/>
    </row>
    <row r="381">
      <c r="A381" s="9">
        <v>521.0</v>
      </c>
      <c r="B381" s="11" t="s">
        <v>1227</v>
      </c>
      <c r="C381" s="11" t="s">
        <v>1228</v>
      </c>
      <c r="D381" s="15"/>
      <c r="E381" s="11" t="s">
        <v>1229</v>
      </c>
      <c r="F381" s="11" t="s">
        <v>1230</v>
      </c>
      <c r="G381" s="15"/>
      <c r="H381" s="15"/>
      <c r="I381" s="15"/>
      <c r="J381" s="15"/>
      <c r="K381" s="15"/>
      <c r="L381" s="15"/>
      <c r="M381" s="15"/>
      <c r="N381" s="15"/>
      <c r="O381" s="15"/>
      <c r="P381" s="12"/>
      <c r="Q381" s="12"/>
      <c r="R381" s="12"/>
      <c r="S381" s="12"/>
      <c r="T381" s="12"/>
    </row>
    <row r="382">
      <c r="A382" s="9">
        <v>522.0</v>
      </c>
      <c r="B382" s="11" t="s">
        <v>849</v>
      </c>
      <c r="C382" s="11" t="s">
        <v>1231</v>
      </c>
      <c r="D382" s="15"/>
      <c r="E382" s="11" t="s">
        <v>1232</v>
      </c>
      <c r="F382" s="11" t="s">
        <v>1233</v>
      </c>
      <c r="G382" s="15"/>
      <c r="H382" s="15"/>
      <c r="I382" s="15"/>
      <c r="J382" s="15"/>
      <c r="K382" s="15"/>
      <c r="L382" s="15"/>
      <c r="M382" s="15"/>
      <c r="N382" s="15"/>
      <c r="O382" s="15"/>
      <c r="P382" s="12"/>
      <c r="Q382" s="12"/>
      <c r="R382" s="12"/>
      <c r="S382" s="12"/>
      <c r="T382" s="12"/>
    </row>
    <row r="383">
      <c r="A383" s="9">
        <v>523.0</v>
      </c>
      <c r="B383" s="11" t="s">
        <v>1234</v>
      </c>
      <c r="C383" s="11" t="s">
        <v>1235</v>
      </c>
      <c r="D383" s="15"/>
      <c r="E383" s="11" t="s">
        <v>1236</v>
      </c>
      <c r="F383" s="11" t="s">
        <v>1237</v>
      </c>
      <c r="G383" s="15"/>
      <c r="H383" s="15"/>
      <c r="I383" s="15"/>
      <c r="J383" s="15"/>
      <c r="K383" s="15"/>
      <c r="L383" s="15"/>
      <c r="M383" s="15"/>
      <c r="N383" s="15"/>
      <c r="O383" s="15"/>
      <c r="P383" s="12"/>
      <c r="Q383" s="12"/>
      <c r="R383" s="12"/>
      <c r="S383" s="12"/>
      <c r="T383" s="12"/>
    </row>
    <row r="384">
      <c r="A384" s="9">
        <v>527.0</v>
      </c>
      <c r="B384" s="11" t="s">
        <v>1238</v>
      </c>
      <c r="C384" s="11" t="s">
        <v>1239</v>
      </c>
      <c r="D384" s="15"/>
      <c r="E384" s="11" t="s">
        <v>1240</v>
      </c>
      <c r="F384" s="11" t="s">
        <v>1241</v>
      </c>
      <c r="G384" s="15"/>
      <c r="H384" s="15"/>
      <c r="I384" s="15"/>
      <c r="J384" s="15"/>
      <c r="K384" s="15"/>
      <c r="L384" s="15"/>
      <c r="M384" s="15"/>
      <c r="N384" s="15"/>
      <c r="O384" s="15"/>
      <c r="P384" s="12"/>
      <c r="Q384" s="12"/>
      <c r="R384" s="12"/>
      <c r="S384" s="12"/>
      <c r="T384" s="12"/>
    </row>
    <row r="385">
      <c r="A385" s="9">
        <v>528.0</v>
      </c>
      <c r="B385" s="11" t="s">
        <v>1242</v>
      </c>
      <c r="C385" s="11" t="s">
        <v>1243</v>
      </c>
      <c r="D385" s="15"/>
      <c r="E385" s="11" t="s">
        <v>1244</v>
      </c>
      <c r="F385" s="11" t="s">
        <v>1245</v>
      </c>
      <c r="G385" s="15"/>
      <c r="H385" s="15"/>
      <c r="I385" s="15"/>
      <c r="J385" s="15"/>
      <c r="K385" s="15"/>
      <c r="L385" s="15"/>
      <c r="M385" s="15"/>
      <c r="N385" s="15"/>
      <c r="O385" s="15"/>
      <c r="P385" s="12"/>
      <c r="Q385" s="12"/>
      <c r="R385" s="12"/>
      <c r="S385" s="12"/>
      <c r="T385" s="12"/>
    </row>
    <row r="386">
      <c r="A386" s="9">
        <v>529.0</v>
      </c>
      <c r="B386" s="11" t="s">
        <v>1246</v>
      </c>
      <c r="C386" s="11" t="s">
        <v>1247</v>
      </c>
      <c r="D386" s="15"/>
      <c r="E386" s="11" t="s">
        <v>1248</v>
      </c>
      <c r="F386" s="11" t="s">
        <v>1249</v>
      </c>
      <c r="G386" s="15"/>
      <c r="H386" s="15"/>
      <c r="I386" s="15"/>
      <c r="J386" s="15"/>
      <c r="K386" s="15"/>
      <c r="L386" s="15"/>
      <c r="M386" s="15"/>
      <c r="N386" s="15"/>
      <c r="O386" s="15"/>
      <c r="P386" s="12"/>
      <c r="Q386" s="12"/>
      <c r="R386" s="12"/>
      <c r="S386" s="12"/>
      <c r="T386" s="12"/>
    </row>
    <row r="387">
      <c r="A387" s="9">
        <v>530.0</v>
      </c>
      <c r="B387" s="11" t="s">
        <v>126</v>
      </c>
      <c r="C387" s="11" t="s">
        <v>1250</v>
      </c>
      <c r="D387" s="15"/>
      <c r="E387" s="10"/>
      <c r="F387" s="10"/>
      <c r="G387" s="11" t="s">
        <v>1251</v>
      </c>
      <c r="H387" s="15"/>
      <c r="I387" s="15"/>
      <c r="J387" s="15"/>
      <c r="K387" s="15"/>
      <c r="L387" s="15"/>
      <c r="M387" s="15"/>
      <c r="N387" s="15"/>
      <c r="O387" s="15"/>
      <c r="P387" s="12"/>
      <c r="Q387" s="12"/>
      <c r="R387" s="12"/>
      <c r="S387" s="12"/>
      <c r="T387" s="12"/>
    </row>
    <row r="388">
      <c r="A388" s="9">
        <v>532.0</v>
      </c>
      <c r="B388" s="11" t="s">
        <v>235</v>
      </c>
      <c r="C388" s="11" t="s">
        <v>1252</v>
      </c>
      <c r="D388" s="15"/>
      <c r="E388" s="10"/>
      <c r="F388" s="10"/>
      <c r="G388" s="11" t="s">
        <v>1253</v>
      </c>
      <c r="H388" s="15"/>
      <c r="I388" s="15"/>
      <c r="J388" s="15"/>
      <c r="K388" s="15"/>
      <c r="L388" s="15"/>
      <c r="M388" s="15"/>
      <c r="N388" s="15"/>
      <c r="O388" s="15"/>
      <c r="P388" s="12"/>
      <c r="Q388" s="12"/>
      <c r="R388" s="12"/>
      <c r="S388" s="12"/>
      <c r="T388" s="12"/>
    </row>
    <row r="389">
      <c r="A389" s="9">
        <v>533.0</v>
      </c>
      <c r="B389" s="11" t="s">
        <v>1254</v>
      </c>
      <c r="C389" s="11" t="s">
        <v>1255</v>
      </c>
      <c r="D389" s="15"/>
      <c r="E389" s="11" t="s">
        <v>1256</v>
      </c>
      <c r="F389" s="11" t="s">
        <v>1257</v>
      </c>
      <c r="G389" s="15"/>
      <c r="H389" s="15"/>
      <c r="I389" s="15"/>
      <c r="J389" s="15"/>
      <c r="K389" s="15"/>
      <c r="L389" s="15"/>
      <c r="M389" s="15"/>
      <c r="N389" s="15"/>
      <c r="O389" s="15"/>
      <c r="P389" s="12"/>
      <c r="Q389" s="12"/>
      <c r="R389" s="12"/>
      <c r="S389" s="12"/>
      <c r="T389" s="12"/>
    </row>
    <row r="390">
      <c r="A390" s="9">
        <v>536.0</v>
      </c>
      <c r="B390" s="11" t="s">
        <v>1258</v>
      </c>
      <c r="C390" s="11" t="s">
        <v>1259</v>
      </c>
      <c r="D390" s="15"/>
      <c r="E390" s="11" t="s">
        <v>1260</v>
      </c>
      <c r="F390" s="11" t="s">
        <v>1261</v>
      </c>
      <c r="G390" s="15"/>
      <c r="H390" s="15"/>
      <c r="I390" s="15"/>
      <c r="J390" s="15"/>
      <c r="K390" s="15"/>
      <c r="L390" s="15"/>
      <c r="M390" s="15"/>
      <c r="N390" s="15"/>
      <c r="O390" s="15"/>
      <c r="P390" s="12"/>
      <c r="Q390" s="12"/>
      <c r="R390" s="12"/>
      <c r="S390" s="12"/>
      <c r="T390" s="12"/>
    </row>
    <row r="391">
      <c r="A391" s="9">
        <v>537.0</v>
      </c>
      <c r="B391" s="11" t="s">
        <v>1262</v>
      </c>
      <c r="C391" s="11" t="s">
        <v>1263</v>
      </c>
      <c r="D391" s="15"/>
      <c r="E391" s="11" t="s">
        <v>1262</v>
      </c>
      <c r="F391" s="11" t="s">
        <v>1264</v>
      </c>
      <c r="G391" s="15"/>
      <c r="H391" s="15"/>
      <c r="I391" s="15"/>
      <c r="J391" s="15"/>
      <c r="K391" s="15"/>
      <c r="L391" s="15"/>
      <c r="M391" s="15"/>
      <c r="N391" s="15"/>
      <c r="O391" s="15"/>
      <c r="P391" s="12"/>
      <c r="Q391" s="12"/>
      <c r="R391" s="12"/>
      <c r="S391" s="12"/>
      <c r="T391" s="12"/>
    </row>
    <row r="392">
      <c r="A392" s="9">
        <v>538.0</v>
      </c>
      <c r="B392" s="10"/>
      <c r="C392" s="10"/>
      <c r="D392" s="11" t="s">
        <v>1265</v>
      </c>
      <c r="E392" s="10"/>
      <c r="F392" s="10"/>
      <c r="G392" s="11" t="s">
        <v>1266</v>
      </c>
      <c r="H392" s="15"/>
      <c r="I392" s="15"/>
      <c r="J392" s="15"/>
      <c r="K392" s="15"/>
      <c r="L392" s="15"/>
      <c r="M392" s="15"/>
      <c r="N392" s="15"/>
      <c r="O392" s="15"/>
      <c r="P392" s="12"/>
      <c r="Q392" s="12"/>
      <c r="R392" s="12"/>
      <c r="S392" s="12"/>
      <c r="T392" s="12"/>
    </row>
    <row r="393">
      <c r="A393" s="9">
        <v>539.0</v>
      </c>
      <c r="B393" s="11" t="s">
        <v>1267</v>
      </c>
      <c r="C393" s="11" t="s">
        <v>1268</v>
      </c>
      <c r="D393" s="15"/>
      <c r="E393" s="10"/>
      <c r="F393" s="10"/>
      <c r="G393" s="11" t="s">
        <v>409</v>
      </c>
      <c r="H393" s="15"/>
      <c r="I393" s="15"/>
      <c r="J393" s="15"/>
      <c r="K393" s="15"/>
      <c r="L393" s="15"/>
      <c r="M393" s="15"/>
      <c r="N393" s="15"/>
      <c r="O393" s="15"/>
      <c r="P393" s="12"/>
      <c r="Q393" s="12"/>
      <c r="R393" s="12"/>
      <c r="S393" s="12"/>
      <c r="T393" s="12"/>
    </row>
    <row r="394">
      <c r="A394" s="9">
        <v>540.0</v>
      </c>
      <c r="B394" s="11" t="s">
        <v>1269</v>
      </c>
      <c r="C394" s="11" t="s">
        <v>1071</v>
      </c>
      <c r="D394" s="15"/>
      <c r="E394" s="10"/>
      <c r="F394" s="10"/>
      <c r="G394" s="11" t="s">
        <v>1270</v>
      </c>
      <c r="H394" s="15"/>
      <c r="I394" s="15"/>
      <c r="J394" s="15"/>
      <c r="K394" s="15"/>
      <c r="L394" s="15"/>
      <c r="M394" s="15"/>
      <c r="N394" s="15"/>
      <c r="O394" s="15"/>
      <c r="P394" s="12"/>
      <c r="Q394" s="12"/>
      <c r="R394" s="12"/>
      <c r="S394" s="12"/>
      <c r="T394" s="12"/>
    </row>
    <row r="395">
      <c r="A395" s="9">
        <v>542.0</v>
      </c>
      <c r="B395" s="11" t="s">
        <v>1271</v>
      </c>
      <c r="C395" s="11" t="s">
        <v>1272</v>
      </c>
      <c r="D395" s="10"/>
      <c r="E395" s="15"/>
      <c r="F395" s="15"/>
      <c r="G395" s="11" t="s">
        <v>1273</v>
      </c>
      <c r="H395" s="15"/>
      <c r="I395" s="15"/>
      <c r="J395" s="15"/>
      <c r="K395" s="15"/>
      <c r="L395" s="15"/>
      <c r="M395" s="15"/>
      <c r="N395" s="15"/>
      <c r="O395" s="15"/>
      <c r="P395" s="12"/>
      <c r="Q395" s="12"/>
      <c r="R395" s="12"/>
      <c r="S395" s="12"/>
      <c r="T395" s="12"/>
    </row>
    <row r="396">
      <c r="A396" s="9">
        <v>543.0</v>
      </c>
      <c r="B396" s="11" t="s">
        <v>1274</v>
      </c>
      <c r="C396" s="11" t="s">
        <v>188</v>
      </c>
      <c r="D396" s="15"/>
      <c r="E396" s="11" t="s">
        <v>1275</v>
      </c>
      <c r="F396" s="11" t="s">
        <v>1276</v>
      </c>
      <c r="G396" s="15"/>
      <c r="H396" s="15"/>
      <c r="I396" s="15"/>
      <c r="J396" s="15"/>
      <c r="K396" s="15"/>
      <c r="L396" s="15"/>
      <c r="M396" s="15"/>
      <c r="N396" s="15"/>
      <c r="O396" s="15"/>
      <c r="P396" s="12"/>
      <c r="Q396" s="12"/>
      <c r="R396" s="12"/>
      <c r="S396" s="12"/>
      <c r="T396" s="12"/>
    </row>
    <row r="397">
      <c r="A397" s="9">
        <v>544.0</v>
      </c>
      <c r="B397" s="11" t="s">
        <v>1277</v>
      </c>
      <c r="C397" s="11" t="s">
        <v>1278</v>
      </c>
      <c r="D397" s="15"/>
      <c r="E397" s="11" t="s">
        <v>1279</v>
      </c>
      <c r="F397" s="11" t="s">
        <v>1280</v>
      </c>
      <c r="G397" s="15"/>
      <c r="H397" s="15"/>
      <c r="I397" s="15"/>
      <c r="J397" s="15"/>
      <c r="K397" s="15"/>
      <c r="L397" s="15"/>
      <c r="M397" s="15"/>
      <c r="N397" s="15"/>
      <c r="O397" s="15"/>
      <c r="P397" s="12"/>
      <c r="Q397" s="12"/>
      <c r="R397" s="12"/>
      <c r="S397" s="12"/>
      <c r="T397" s="12"/>
    </row>
    <row r="398">
      <c r="A398" s="9">
        <v>545.0</v>
      </c>
      <c r="B398" s="11" t="s">
        <v>235</v>
      </c>
      <c r="C398" s="11" t="s">
        <v>1281</v>
      </c>
      <c r="D398" s="15"/>
      <c r="E398" s="15"/>
      <c r="F398" s="10"/>
      <c r="G398" s="11" t="s">
        <v>1282</v>
      </c>
      <c r="H398" s="15"/>
      <c r="I398" s="15"/>
      <c r="J398" s="15"/>
      <c r="K398" s="15"/>
      <c r="L398" s="15"/>
      <c r="M398" s="15"/>
      <c r="N398" s="15"/>
      <c r="O398" s="15"/>
      <c r="P398" s="12"/>
      <c r="Q398" s="12"/>
      <c r="R398" s="12"/>
      <c r="S398" s="12"/>
      <c r="T398" s="12"/>
    </row>
    <row r="399">
      <c r="A399" s="9">
        <v>547.0</v>
      </c>
      <c r="B399" s="11" t="s">
        <v>1283</v>
      </c>
      <c r="C399" s="11" t="s">
        <v>1284</v>
      </c>
      <c r="D399" s="15"/>
      <c r="E399" s="10"/>
      <c r="F399" s="10"/>
      <c r="G399" s="14" t="s">
        <v>1285</v>
      </c>
      <c r="H399" s="15"/>
      <c r="I399" s="15"/>
      <c r="J399" s="15"/>
      <c r="K399" s="15"/>
      <c r="L399" s="15"/>
      <c r="M399" s="15"/>
      <c r="N399" s="15"/>
      <c r="O399" s="15"/>
      <c r="P399" s="12"/>
      <c r="Q399" s="12"/>
      <c r="R399" s="12"/>
      <c r="S399" s="12"/>
      <c r="T399" s="12"/>
    </row>
    <row r="400">
      <c r="A400" s="9">
        <v>548.0</v>
      </c>
      <c r="B400" s="11" t="s">
        <v>1286</v>
      </c>
      <c r="C400" s="11" t="s">
        <v>1287</v>
      </c>
      <c r="D400" s="15"/>
      <c r="E400" s="10"/>
      <c r="F400" s="10"/>
      <c r="G400" s="11" t="s">
        <v>1288</v>
      </c>
      <c r="H400" s="15"/>
      <c r="I400" s="15"/>
      <c r="J400" s="15"/>
      <c r="K400" s="15"/>
      <c r="L400" s="15"/>
      <c r="M400" s="15"/>
      <c r="N400" s="15"/>
      <c r="O400" s="15"/>
      <c r="P400" s="12"/>
      <c r="Q400" s="12"/>
      <c r="R400" s="12"/>
      <c r="S400" s="12"/>
      <c r="T400" s="12"/>
    </row>
    <row r="401">
      <c r="A401" s="9">
        <v>549.0</v>
      </c>
      <c r="B401" s="11" t="s">
        <v>424</v>
      </c>
      <c r="C401" s="11" t="s">
        <v>1289</v>
      </c>
      <c r="D401" s="15"/>
      <c r="E401" s="15"/>
      <c r="F401" s="10"/>
      <c r="G401" s="11" t="s">
        <v>1290</v>
      </c>
      <c r="H401" s="15"/>
      <c r="I401" s="15"/>
      <c r="J401" s="15"/>
      <c r="K401" s="15"/>
      <c r="L401" s="15"/>
      <c r="M401" s="15"/>
      <c r="N401" s="15"/>
      <c r="O401" s="15"/>
      <c r="P401" s="12"/>
      <c r="Q401" s="12"/>
      <c r="R401" s="12"/>
      <c r="S401" s="12"/>
      <c r="T401" s="12"/>
    </row>
    <row r="402">
      <c r="A402" s="9">
        <v>550.0</v>
      </c>
      <c r="B402" s="11" t="s">
        <v>1291</v>
      </c>
      <c r="C402" s="11" t="s">
        <v>1292</v>
      </c>
      <c r="D402" s="15"/>
      <c r="E402" s="11" t="s">
        <v>1293</v>
      </c>
      <c r="F402" s="11" t="s">
        <v>1294</v>
      </c>
      <c r="G402" s="15"/>
      <c r="H402" s="15"/>
      <c r="I402" s="15"/>
      <c r="J402" s="15"/>
      <c r="K402" s="15"/>
      <c r="L402" s="15"/>
      <c r="M402" s="15"/>
      <c r="N402" s="15"/>
      <c r="O402" s="15"/>
      <c r="P402" s="12"/>
      <c r="Q402" s="12"/>
      <c r="R402" s="12"/>
      <c r="S402" s="12"/>
      <c r="T402" s="12"/>
    </row>
    <row r="403">
      <c r="A403" s="9">
        <v>552.0</v>
      </c>
      <c r="B403" s="11" t="s">
        <v>1295</v>
      </c>
      <c r="C403" s="11" t="s">
        <v>1296</v>
      </c>
      <c r="D403" s="15"/>
      <c r="E403" s="11" t="s">
        <v>1297</v>
      </c>
      <c r="F403" s="11" t="s">
        <v>1298</v>
      </c>
      <c r="G403" s="15"/>
      <c r="H403" s="15"/>
      <c r="I403" s="15"/>
      <c r="J403" s="15"/>
      <c r="K403" s="15"/>
      <c r="L403" s="15"/>
      <c r="M403" s="15"/>
      <c r="N403" s="15"/>
      <c r="O403" s="15"/>
      <c r="P403" s="12"/>
      <c r="Q403" s="12"/>
      <c r="R403" s="12"/>
      <c r="S403" s="12"/>
      <c r="T403" s="12"/>
    </row>
    <row r="404">
      <c r="A404" s="9">
        <v>553.0</v>
      </c>
      <c r="B404" s="11" t="s">
        <v>1299</v>
      </c>
      <c r="C404" s="11" t="s">
        <v>1300</v>
      </c>
      <c r="D404" s="15"/>
      <c r="E404" s="11" t="s">
        <v>1301</v>
      </c>
      <c r="F404" s="11" t="s">
        <v>1302</v>
      </c>
      <c r="G404" s="15"/>
      <c r="H404" s="15"/>
      <c r="I404" s="15"/>
      <c r="J404" s="15"/>
      <c r="K404" s="15"/>
      <c r="L404" s="15"/>
      <c r="M404" s="15"/>
      <c r="N404" s="15"/>
      <c r="O404" s="15"/>
      <c r="P404" s="12"/>
      <c r="Q404" s="12"/>
      <c r="R404" s="12"/>
      <c r="S404" s="12"/>
      <c r="T404" s="12"/>
    </row>
    <row r="405">
      <c r="A405" s="9">
        <v>554.0</v>
      </c>
      <c r="B405" s="11" t="s">
        <v>1303</v>
      </c>
      <c r="C405" s="11" t="s">
        <v>1304</v>
      </c>
      <c r="D405" s="15"/>
      <c r="E405" s="10"/>
      <c r="F405" s="10"/>
      <c r="G405" s="11" t="s">
        <v>1305</v>
      </c>
      <c r="H405" s="15"/>
      <c r="I405" s="15"/>
      <c r="J405" s="15"/>
      <c r="K405" s="15"/>
      <c r="L405" s="15"/>
      <c r="M405" s="15"/>
      <c r="N405" s="15"/>
      <c r="O405" s="15"/>
      <c r="P405" s="12"/>
      <c r="Q405" s="12"/>
      <c r="R405" s="12"/>
      <c r="S405" s="12"/>
      <c r="T405" s="12"/>
    </row>
    <row r="406">
      <c r="A406" s="9">
        <v>555.0</v>
      </c>
      <c r="B406" s="11" t="s">
        <v>703</v>
      </c>
      <c r="C406" s="11" t="s">
        <v>1306</v>
      </c>
      <c r="D406" s="15"/>
      <c r="E406" s="10"/>
      <c r="F406" s="10"/>
      <c r="G406" s="11" t="s">
        <v>1307</v>
      </c>
      <c r="H406" s="15"/>
      <c r="I406" s="15"/>
      <c r="J406" s="15"/>
      <c r="K406" s="15"/>
      <c r="L406" s="15"/>
      <c r="M406" s="15"/>
      <c r="N406" s="15"/>
      <c r="O406" s="15"/>
      <c r="P406" s="12"/>
      <c r="Q406" s="12"/>
      <c r="R406" s="12"/>
      <c r="S406" s="12"/>
      <c r="T406" s="12"/>
    </row>
    <row r="407">
      <c r="A407" s="9">
        <v>556.0</v>
      </c>
      <c r="B407" s="11" t="s">
        <v>1308</v>
      </c>
      <c r="C407" s="11" t="s">
        <v>1309</v>
      </c>
      <c r="D407" s="15"/>
      <c r="E407" s="10"/>
      <c r="F407" s="10"/>
      <c r="G407" s="11" t="s">
        <v>1310</v>
      </c>
      <c r="H407" s="15"/>
      <c r="I407" s="15"/>
      <c r="J407" s="15"/>
      <c r="K407" s="15"/>
      <c r="L407" s="15"/>
      <c r="M407" s="15"/>
      <c r="N407" s="15"/>
      <c r="O407" s="15"/>
      <c r="P407" s="12"/>
      <c r="Q407" s="12"/>
      <c r="R407" s="12"/>
      <c r="S407" s="12"/>
      <c r="T407" s="12"/>
    </row>
    <row r="408">
      <c r="A408" s="9">
        <v>557.0</v>
      </c>
      <c r="B408" s="11" t="s">
        <v>1311</v>
      </c>
      <c r="C408" s="11" t="s">
        <v>1312</v>
      </c>
      <c r="D408" s="15"/>
      <c r="E408" s="11" t="s">
        <v>1313</v>
      </c>
      <c r="F408" s="11" t="s">
        <v>1314</v>
      </c>
      <c r="G408" s="15"/>
      <c r="H408" s="15"/>
      <c r="I408" s="15"/>
      <c r="J408" s="15"/>
      <c r="K408" s="15"/>
      <c r="L408" s="15"/>
      <c r="M408" s="15"/>
      <c r="N408" s="15"/>
      <c r="O408" s="15"/>
      <c r="P408" s="12"/>
      <c r="Q408" s="12"/>
      <c r="R408" s="12"/>
      <c r="S408" s="12"/>
      <c r="T408" s="12"/>
    </row>
    <row r="409">
      <c r="A409" s="9">
        <v>558.0</v>
      </c>
      <c r="B409" s="11" t="s">
        <v>1315</v>
      </c>
      <c r="C409" s="11" t="s">
        <v>1316</v>
      </c>
      <c r="D409" s="15"/>
      <c r="E409" s="11" t="s">
        <v>1317</v>
      </c>
      <c r="F409" s="11" t="s">
        <v>1318</v>
      </c>
      <c r="G409" s="15"/>
      <c r="H409" s="15"/>
      <c r="I409" s="15"/>
      <c r="J409" s="15"/>
      <c r="K409" s="15"/>
      <c r="L409" s="15"/>
      <c r="M409" s="15"/>
      <c r="N409" s="15"/>
      <c r="O409" s="15"/>
      <c r="P409" s="12"/>
      <c r="Q409" s="12"/>
      <c r="R409" s="12"/>
      <c r="S409" s="12"/>
      <c r="T409" s="12"/>
    </row>
    <row r="410">
      <c r="A410" s="9">
        <v>559.0</v>
      </c>
      <c r="B410" s="11" t="s">
        <v>1319</v>
      </c>
      <c r="C410" s="11" t="s">
        <v>1320</v>
      </c>
      <c r="D410" s="15"/>
      <c r="E410" s="11" t="s">
        <v>1321</v>
      </c>
      <c r="F410" s="11" t="s">
        <v>1322</v>
      </c>
      <c r="G410" s="15"/>
      <c r="H410" s="15"/>
      <c r="I410" s="15"/>
      <c r="J410" s="15"/>
      <c r="K410" s="15"/>
      <c r="L410" s="15"/>
      <c r="M410" s="15"/>
      <c r="N410" s="15"/>
      <c r="O410" s="15"/>
      <c r="P410" s="12"/>
      <c r="Q410" s="12"/>
      <c r="R410" s="12"/>
      <c r="S410" s="12"/>
      <c r="T410" s="12"/>
    </row>
    <row r="411">
      <c r="A411" s="9">
        <v>561.0</v>
      </c>
      <c r="B411" s="11" t="s">
        <v>1323</v>
      </c>
      <c r="C411" s="11" t="s">
        <v>1324</v>
      </c>
      <c r="D411" s="15"/>
      <c r="E411" s="10"/>
      <c r="F411" s="10"/>
      <c r="G411" s="11" t="s">
        <v>1325</v>
      </c>
      <c r="H411" s="15"/>
      <c r="I411" s="15"/>
      <c r="J411" s="15"/>
      <c r="K411" s="15"/>
      <c r="L411" s="15"/>
      <c r="M411" s="15"/>
      <c r="N411" s="15"/>
      <c r="O411" s="15"/>
      <c r="P411" s="12"/>
      <c r="Q411" s="12"/>
      <c r="R411" s="12"/>
      <c r="S411" s="12"/>
      <c r="T411" s="12"/>
    </row>
    <row r="412">
      <c r="A412" s="9">
        <v>562.0</v>
      </c>
      <c r="B412" s="11" t="s">
        <v>1326</v>
      </c>
      <c r="C412" s="11" t="s">
        <v>1327</v>
      </c>
      <c r="D412" s="15"/>
      <c r="E412" s="11" t="s">
        <v>1328</v>
      </c>
      <c r="F412" s="11" t="s">
        <v>1329</v>
      </c>
      <c r="G412" s="15"/>
      <c r="H412" s="15"/>
      <c r="I412" s="15"/>
      <c r="J412" s="15"/>
      <c r="K412" s="15"/>
      <c r="L412" s="15"/>
      <c r="M412" s="15"/>
      <c r="N412" s="15"/>
      <c r="O412" s="15"/>
      <c r="P412" s="12"/>
      <c r="Q412" s="12"/>
      <c r="R412" s="12"/>
      <c r="S412" s="12"/>
      <c r="T412" s="12"/>
    </row>
    <row r="413">
      <c r="A413" s="9">
        <v>564.0</v>
      </c>
      <c r="B413" s="11" t="s">
        <v>1330</v>
      </c>
      <c r="C413" s="11" t="s">
        <v>1331</v>
      </c>
      <c r="D413" s="15"/>
      <c r="E413" s="11" t="s">
        <v>1332</v>
      </c>
      <c r="F413" s="11" t="s">
        <v>1331</v>
      </c>
      <c r="G413" s="15"/>
      <c r="H413" s="15"/>
      <c r="I413" s="15"/>
      <c r="J413" s="15"/>
      <c r="K413" s="15"/>
      <c r="L413" s="15"/>
      <c r="M413" s="15"/>
      <c r="N413" s="15"/>
      <c r="O413" s="15"/>
      <c r="P413" s="12"/>
      <c r="Q413" s="12"/>
      <c r="R413" s="12"/>
      <c r="S413" s="12"/>
      <c r="T413" s="12"/>
    </row>
    <row r="414">
      <c r="A414" s="9">
        <v>566.0</v>
      </c>
      <c r="B414" s="11" t="s">
        <v>715</v>
      </c>
      <c r="C414" s="11" t="s">
        <v>1333</v>
      </c>
      <c r="D414" s="15"/>
      <c r="E414" s="11" t="s">
        <v>1334</v>
      </c>
      <c r="F414" s="11" t="s">
        <v>1335</v>
      </c>
      <c r="G414" s="15"/>
      <c r="H414" s="15"/>
      <c r="I414" s="15"/>
      <c r="J414" s="15"/>
      <c r="K414" s="15"/>
      <c r="L414" s="15"/>
      <c r="M414" s="15"/>
      <c r="N414" s="15"/>
      <c r="O414" s="15"/>
      <c r="P414" s="12"/>
      <c r="Q414" s="12"/>
      <c r="R414" s="12"/>
      <c r="S414" s="12"/>
      <c r="T414" s="12"/>
    </row>
    <row r="415">
      <c r="A415" s="9">
        <v>569.0</v>
      </c>
      <c r="B415" s="13" t="s">
        <v>1336</v>
      </c>
      <c r="C415" s="11" t="s">
        <v>1337</v>
      </c>
      <c r="D415" s="15"/>
      <c r="E415" s="11" t="s">
        <v>1338</v>
      </c>
      <c r="F415" s="11" t="s">
        <v>1339</v>
      </c>
      <c r="G415" s="15"/>
      <c r="H415" s="15"/>
      <c r="I415" s="15"/>
      <c r="J415" s="15"/>
      <c r="K415" s="15"/>
      <c r="L415" s="15"/>
      <c r="M415" s="15"/>
      <c r="N415" s="15"/>
      <c r="O415" s="15"/>
      <c r="P415" s="12"/>
      <c r="Q415" s="12"/>
      <c r="R415" s="12"/>
      <c r="S415" s="12"/>
      <c r="T415" s="12"/>
    </row>
    <row r="416">
      <c r="A416" s="9">
        <v>570.0</v>
      </c>
      <c r="B416" s="11" t="s">
        <v>1340</v>
      </c>
      <c r="C416" s="11" t="s">
        <v>1341</v>
      </c>
      <c r="D416" s="15"/>
      <c r="E416" s="11" t="s">
        <v>1342</v>
      </c>
      <c r="F416" s="11" t="s">
        <v>1343</v>
      </c>
      <c r="G416" s="15"/>
      <c r="H416" s="15"/>
      <c r="I416" s="15"/>
      <c r="J416" s="15"/>
      <c r="K416" s="15"/>
      <c r="L416" s="15"/>
      <c r="M416" s="15"/>
      <c r="N416" s="15"/>
      <c r="O416" s="15"/>
      <c r="P416" s="12"/>
      <c r="Q416" s="12"/>
      <c r="R416" s="12"/>
      <c r="S416" s="12"/>
      <c r="T416" s="12"/>
    </row>
    <row r="417">
      <c r="A417" s="9">
        <v>574.0</v>
      </c>
      <c r="B417" s="11" t="s">
        <v>1344</v>
      </c>
      <c r="C417" s="11" t="s">
        <v>1345</v>
      </c>
      <c r="D417" s="15"/>
      <c r="E417" s="10"/>
      <c r="F417" s="10"/>
      <c r="G417" s="11" t="s">
        <v>1346</v>
      </c>
      <c r="H417" s="15"/>
      <c r="I417" s="15"/>
      <c r="J417" s="15"/>
      <c r="K417" s="15"/>
      <c r="L417" s="15"/>
      <c r="M417" s="15"/>
      <c r="N417" s="15"/>
      <c r="O417" s="15"/>
      <c r="P417" s="12"/>
      <c r="Q417" s="12"/>
      <c r="R417" s="12"/>
      <c r="S417" s="12"/>
      <c r="T417" s="12"/>
    </row>
    <row r="418">
      <c r="A418" s="9">
        <v>575.0</v>
      </c>
      <c r="B418" s="11" t="s">
        <v>1347</v>
      </c>
      <c r="C418" s="11" t="s">
        <v>1348</v>
      </c>
      <c r="D418" s="15"/>
      <c r="E418" s="10"/>
      <c r="F418" s="10"/>
      <c r="G418" s="11" t="s">
        <v>1349</v>
      </c>
      <c r="H418" s="15"/>
      <c r="I418" s="15"/>
      <c r="J418" s="15"/>
      <c r="K418" s="15"/>
      <c r="L418" s="15"/>
      <c r="M418" s="15"/>
      <c r="N418" s="15"/>
      <c r="O418" s="15"/>
      <c r="P418" s="12"/>
      <c r="Q418" s="12"/>
      <c r="R418" s="12"/>
      <c r="S418" s="12"/>
      <c r="T418" s="12"/>
    </row>
    <row r="419">
      <c r="A419" s="9">
        <v>577.0</v>
      </c>
      <c r="B419" s="11" t="s">
        <v>1350</v>
      </c>
      <c r="C419" s="11" t="s">
        <v>1351</v>
      </c>
      <c r="D419" s="15"/>
      <c r="E419" s="11" t="s">
        <v>1352</v>
      </c>
      <c r="F419" s="11" t="s">
        <v>1353</v>
      </c>
      <c r="G419" s="15"/>
      <c r="H419" s="15"/>
      <c r="I419" s="15"/>
      <c r="J419" s="15"/>
      <c r="K419" s="15"/>
      <c r="L419" s="15"/>
      <c r="M419" s="15"/>
      <c r="N419" s="15"/>
      <c r="O419" s="15"/>
      <c r="P419" s="12"/>
      <c r="Q419" s="12"/>
      <c r="R419" s="12"/>
      <c r="S419" s="12"/>
      <c r="T419" s="12"/>
    </row>
    <row r="420">
      <c r="A420" s="9">
        <v>580.0</v>
      </c>
      <c r="B420" s="11" t="s">
        <v>1354</v>
      </c>
      <c r="C420" s="11" t="s">
        <v>1355</v>
      </c>
      <c r="D420" s="15"/>
      <c r="E420" s="11" t="s">
        <v>1356</v>
      </c>
      <c r="F420" s="11" t="s">
        <v>1357</v>
      </c>
      <c r="G420" s="15"/>
      <c r="H420" s="15"/>
      <c r="I420" s="15"/>
      <c r="J420" s="15"/>
      <c r="K420" s="15"/>
      <c r="L420" s="15"/>
      <c r="M420" s="15"/>
      <c r="N420" s="15"/>
      <c r="O420" s="15"/>
      <c r="P420" s="12"/>
      <c r="Q420" s="12"/>
      <c r="R420" s="12"/>
      <c r="S420" s="12"/>
      <c r="T420" s="12"/>
    </row>
    <row r="421">
      <c r="A421" s="9">
        <v>581.0</v>
      </c>
      <c r="B421" s="11" t="s">
        <v>1358</v>
      </c>
      <c r="C421" s="11" t="s">
        <v>1359</v>
      </c>
      <c r="D421" s="15"/>
      <c r="E421" s="15"/>
      <c r="F421" s="10"/>
      <c r="G421" s="11" t="s">
        <v>1360</v>
      </c>
      <c r="H421" s="15"/>
      <c r="I421" s="15"/>
      <c r="J421" s="15"/>
      <c r="K421" s="15"/>
      <c r="L421" s="15"/>
      <c r="M421" s="15"/>
      <c r="N421" s="15"/>
      <c r="O421" s="15"/>
      <c r="P421" s="12"/>
      <c r="Q421" s="12"/>
      <c r="R421" s="12"/>
      <c r="S421" s="12"/>
      <c r="T421" s="12"/>
    </row>
    <row r="422">
      <c r="A422" s="9">
        <v>582.0</v>
      </c>
      <c r="B422" s="11" t="s">
        <v>1152</v>
      </c>
      <c r="C422" s="11" t="s">
        <v>1361</v>
      </c>
      <c r="D422" s="15"/>
      <c r="E422" s="11" t="s">
        <v>1362</v>
      </c>
      <c r="F422" s="11" t="s">
        <v>1363</v>
      </c>
      <c r="G422" s="15"/>
      <c r="H422" s="15"/>
      <c r="I422" s="15"/>
      <c r="J422" s="15"/>
      <c r="K422" s="15"/>
      <c r="L422" s="15"/>
      <c r="M422" s="15"/>
      <c r="N422" s="15"/>
      <c r="O422" s="15"/>
      <c r="P422" s="12"/>
      <c r="Q422" s="12"/>
      <c r="R422" s="12"/>
      <c r="S422" s="12"/>
      <c r="T422" s="12"/>
    </row>
    <row r="423">
      <c r="A423" s="9">
        <v>583.0</v>
      </c>
      <c r="B423" s="10"/>
      <c r="C423" s="10"/>
      <c r="D423" s="11" t="s">
        <v>1364</v>
      </c>
      <c r="E423" s="10"/>
      <c r="F423" s="10"/>
      <c r="G423" s="11" t="s">
        <v>1365</v>
      </c>
      <c r="H423" s="15"/>
      <c r="I423" s="15"/>
      <c r="J423" s="15"/>
      <c r="K423" s="15"/>
      <c r="L423" s="15"/>
      <c r="M423" s="15"/>
      <c r="N423" s="15"/>
      <c r="O423" s="15"/>
      <c r="P423" s="12"/>
      <c r="Q423" s="12"/>
      <c r="R423" s="12"/>
      <c r="S423" s="12"/>
      <c r="T423" s="12"/>
    </row>
    <row r="424">
      <c r="A424" s="9">
        <v>585.0</v>
      </c>
      <c r="B424" s="11" t="s">
        <v>1366</v>
      </c>
      <c r="C424" s="11" t="s">
        <v>1367</v>
      </c>
      <c r="D424" s="15"/>
      <c r="E424" s="15"/>
      <c r="F424" s="10"/>
      <c r="G424" s="11" t="s">
        <v>1368</v>
      </c>
      <c r="H424" s="15"/>
      <c r="I424" s="15"/>
      <c r="J424" s="15"/>
      <c r="K424" s="15"/>
      <c r="L424" s="15"/>
      <c r="M424" s="15"/>
      <c r="N424" s="15"/>
      <c r="O424" s="15"/>
      <c r="P424" s="12"/>
      <c r="Q424" s="12"/>
      <c r="R424" s="12"/>
      <c r="S424" s="12"/>
      <c r="T424" s="12"/>
    </row>
    <row r="425">
      <c r="A425" s="9">
        <v>588.0</v>
      </c>
      <c r="B425" s="11" t="s">
        <v>1369</v>
      </c>
      <c r="C425" s="11" t="s">
        <v>1370</v>
      </c>
      <c r="D425" s="15"/>
      <c r="E425" s="11" t="s">
        <v>1371</v>
      </c>
      <c r="F425" s="11" t="s">
        <v>1372</v>
      </c>
      <c r="G425" s="15"/>
      <c r="H425" s="15"/>
      <c r="I425" s="15"/>
      <c r="J425" s="15"/>
      <c r="K425" s="15"/>
      <c r="L425" s="15"/>
      <c r="M425" s="15"/>
      <c r="N425" s="15"/>
      <c r="O425" s="15"/>
      <c r="P425" s="12"/>
      <c r="Q425" s="12"/>
      <c r="R425" s="12"/>
      <c r="S425" s="12"/>
      <c r="T425" s="12"/>
    </row>
    <row r="426">
      <c r="A426" s="9">
        <v>589.0</v>
      </c>
      <c r="B426" s="11" t="s">
        <v>1373</v>
      </c>
      <c r="C426" s="11" t="s">
        <v>1374</v>
      </c>
      <c r="D426" s="10"/>
      <c r="E426" s="15"/>
      <c r="F426" s="15"/>
      <c r="G426" s="11" t="s">
        <v>1375</v>
      </c>
      <c r="H426" s="15"/>
      <c r="I426" s="15"/>
      <c r="J426" s="15"/>
      <c r="K426" s="15"/>
      <c r="L426" s="15"/>
      <c r="M426" s="15"/>
      <c r="N426" s="15"/>
      <c r="O426" s="15"/>
      <c r="P426" s="12"/>
      <c r="Q426" s="12"/>
      <c r="R426" s="12"/>
      <c r="S426" s="12"/>
      <c r="T426" s="12"/>
    </row>
    <row r="427">
      <c r="A427" s="9">
        <v>590.0</v>
      </c>
      <c r="B427" s="11" t="s">
        <v>989</v>
      </c>
      <c r="C427" s="11" t="s">
        <v>1376</v>
      </c>
      <c r="D427" s="15"/>
      <c r="E427" s="11" t="s">
        <v>1377</v>
      </c>
      <c r="F427" s="11" t="s">
        <v>1378</v>
      </c>
      <c r="G427" s="15"/>
      <c r="H427" s="15"/>
      <c r="I427" s="15"/>
      <c r="J427" s="15"/>
      <c r="K427" s="15"/>
      <c r="L427" s="15"/>
      <c r="M427" s="15"/>
      <c r="N427" s="15"/>
      <c r="O427" s="15"/>
      <c r="P427" s="12"/>
      <c r="Q427" s="12"/>
      <c r="R427" s="12"/>
      <c r="S427" s="12"/>
      <c r="T427" s="12"/>
    </row>
    <row r="428">
      <c r="A428" s="9">
        <v>591.0</v>
      </c>
      <c r="B428" s="11" t="s">
        <v>1379</v>
      </c>
      <c r="C428" s="11" t="s">
        <v>1380</v>
      </c>
      <c r="D428" s="15"/>
      <c r="E428" s="10"/>
      <c r="F428" s="10"/>
      <c r="G428" s="11" t="s">
        <v>1381</v>
      </c>
      <c r="H428" s="15"/>
      <c r="I428" s="15"/>
      <c r="J428" s="15"/>
      <c r="K428" s="15"/>
      <c r="L428" s="15"/>
      <c r="M428" s="15"/>
      <c r="N428" s="15"/>
      <c r="O428" s="15"/>
      <c r="P428" s="12"/>
      <c r="Q428" s="12"/>
      <c r="R428" s="12"/>
      <c r="S428" s="12"/>
      <c r="T428" s="12"/>
    </row>
    <row r="429">
      <c r="A429" s="9">
        <v>592.0</v>
      </c>
      <c r="B429" s="11" t="s">
        <v>1382</v>
      </c>
      <c r="C429" s="11" t="s">
        <v>1383</v>
      </c>
      <c r="D429" s="15"/>
      <c r="E429" s="11" t="s">
        <v>1384</v>
      </c>
      <c r="F429" s="11" t="s">
        <v>1385</v>
      </c>
      <c r="G429" s="15"/>
      <c r="H429" s="15"/>
      <c r="I429" s="15"/>
      <c r="J429" s="15"/>
      <c r="K429" s="15"/>
      <c r="L429" s="15"/>
      <c r="M429" s="15"/>
      <c r="N429" s="15"/>
      <c r="O429" s="15"/>
      <c r="P429" s="12"/>
      <c r="Q429" s="12"/>
      <c r="R429" s="12"/>
      <c r="S429" s="12"/>
      <c r="T429" s="12"/>
    </row>
    <row r="430">
      <c r="A430" s="9">
        <v>593.0</v>
      </c>
      <c r="B430" s="11" t="s">
        <v>1386</v>
      </c>
      <c r="C430" s="11" t="s">
        <v>1387</v>
      </c>
      <c r="D430" s="15"/>
      <c r="E430" s="11" t="s">
        <v>1388</v>
      </c>
      <c r="F430" s="11" t="s">
        <v>1389</v>
      </c>
      <c r="G430" s="15"/>
      <c r="H430" s="15"/>
      <c r="I430" s="15"/>
      <c r="J430" s="15"/>
      <c r="K430" s="15"/>
      <c r="L430" s="15"/>
      <c r="M430" s="15"/>
      <c r="N430" s="15"/>
      <c r="O430" s="15"/>
      <c r="P430" s="12"/>
      <c r="Q430" s="12"/>
      <c r="R430" s="12"/>
      <c r="S430" s="12"/>
      <c r="T430" s="12"/>
    </row>
    <row r="431">
      <c r="A431" s="9">
        <v>594.0</v>
      </c>
      <c r="B431" s="10"/>
      <c r="C431" s="10"/>
      <c r="D431" s="11" t="s">
        <v>1390</v>
      </c>
      <c r="E431" s="15"/>
      <c r="F431" s="10"/>
      <c r="G431" s="11" t="s">
        <v>1391</v>
      </c>
      <c r="H431" s="15"/>
      <c r="I431" s="15"/>
      <c r="J431" s="15"/>
      <c r="K431" s="15"/>
      <c r="L431" s="15"/>
      <c r="M431" s="15"/>
      <c r="N431" s="15"/>
      <c r="O431" s="15"/>
      <c r="P431" s="12"/>
      <c r="Q431" s="12"/>
      <c r="R431" s="12"/>
      <c r="S431" s="12"/>
      <c r="T431" s="12"/>
    </row>
    <row r="432">
      <c r="A432" s="9">
        <v>595.0</v>
      </c>
      <c r="B432" s="11" t="s">
        <v>1392</v>
      </c>
      <c r="C432" s="11" t="s">
        <v>855</v>
      </c>
      <c r="D432" s="15"/>
      <c r="E432" s="11" t="s">
        <v>1393</v>
      </c>
      <c r="F432" s="11" t="s">
        <v>227</v>
      </c>
      <c r="G432" s="15"/>
      <c r="H432" s="15"/>
      <c r="I432" s="15"/>
      <c r="J432" s="15"/>
      <c r="K432" s="15"/>
      <c r="L432" s="15"/>
      <c r="M432" s="15"/>
      <c r="N432" s="15"/>
      <c r="O432" s="15"/>
      <c r="P432" s="12"/>
      <c r="Q432" s="12"/>
      <c r="R432" s="12"/>
      <c r="S432" s="12"/>
      <c r="T432" s="12"/>
    </row>
    <row r="433">
      <c r="A433" s="9">
        <v>598.0</v>
      </c>
      <c r="B433" s="11" t="s">
        <v>1394</v>
      </c>
      <c r="C433" s="11" t="s">
        <v>1395</v>
      </c>
      <c r="D433" s="15"/>
      <c r="E433" s="11" t="s">
        <v>1396</v>
      </c>
      <c r="F433" s="11" t="s">
        <v>1397</v>
      </c>
      <c r="G433" s="15"/>
      <c r="H433" s="15"/>
      <c r="I433" s="15"/>
      <c r="J433" s="15"/>
      <c r="K433" s="15"/>
      <c r="L433" s="15"/>
      <c r="M433" s="15"/>
      <c r="N433" s="15"/>
      <c r="O433" s="15"/>
      <c r="P433" s="12"/>
      <c r="Q433" s="12"/>
      <c r="R433" s="12"/>
      <c r="S433" s="12"/>
      <c r="T433" s="12"/>
    </row>
    <row r="434">
      <c r="A434" s="9">
        <v>600.0</v>
      </c>
      <c r="B434" s="11" t="s">
        <v>860</v>
      </c>
      <c r="C434" s="11" t="s">
        <v>1398</v>
      </c>
      <c r="D434" s="10"/>
      <c r="E434" s="11" t="s">
        <v>611</v>
      </c>
      <c r="F434" s="11" t="s">
        <v>611</v>
      </c>
      <c r="G434" s="10"/>
      <c r="H434" s="15"/>
      <c r="I434" s="15"/>
      <c r="J434" s="15"/>
      <c r="K434" s="15"/>
      <c r="L434" s="15"/>
      <c r="M434" s="15"/>
      <c r="N434" s="15"/>
      <c r="O434" s="15"/>
      <c r="P434" s="12"/>
      <c r="Q434" s="12"/>
      <c r="R434" s="12"/>
      <c r="S434" s="12"/>
      <c r="T434" s="12"/>
    </row>
    <row r="435">
      <c r="B435" s="12"/>
      <c r="C435" s="12"/>
      <c r="D435" s="12"/>
      <c r="E435" s="12"/>
      <c r="F435" s="12"/>
      <c r="G435" s="12"/>
      <c r="H435" s="12"/>
      <c r="I435" s="12"/>
      <c r="J435" s="12"/>
      <c r="K435" s="12"/>
      <c r="L435" s="12"/>
      <c r="M435" s="12"/>
      <c r="N435" s="12"/>
      <c r="O435" s="12"/>
      <c r="P435" s="12"/>
      <c r="Q435" s="12"/>
      <c r="R435" s="12"/>
      <c r="S435" s="12"/>
      <c r="T435" s="12"/>
    </row>
    <row r="436">
      <c r="B436" s="12"/>
      <c r="C436" s="12"/>
      <c r="D436" s="12"/>
      <c r="E436" s="12"/>
      <c r="F436" s="12"/>
      <c r="G436" s="12"/>
      <c r="H436" s="12"/>
      <c r="I436" s="12"/>
      <c r="J436" s="12"/>
      <c r="K436" s="12"/>
      <c r="L436" s="12"/>
      <c r="M436" s="12"/>
      <c r="N436" s="12"/>
      <c r="O436" s="12"/>
      <c r="P436" s="12"/>
      <c r="Q436" s="12"/>
      <c r="R436" s="12"/>
      <c r="S436" s="12"/>
      <c r="T436" s="12"/>
    </row>
    <row r="437">
      <c r="B437" s="12"/>
      <c r="C437" s="12"/>
      <c r="D437" s="12"/>
      <c r="E437" s="12"/>
      <c r="F437" s="12"/>
      <c r="G437" s="12"/>
      <c r="H437" s="12"/>
      <c r="I437" s="12"/>
      <c r="J437" s="12"/>
      <c r="K437" s="12"/>
      <c r="L437" s="12"/>
      <c r="M437" s="12"/>
      <c r="N437" s="12"/>
      <c r="O437" s="12"/>
      <c r="P437" s="12"/>
      <c r="Q437" s="12"/>
      <c r="R437" s="12"/>
      <c r="S437" s="12"/>
      <c r="T437" s="12"/>
    </row>
    <row r="438">
      <c r="B438" s="12"/>
      <c r="C438" s="12"/>
      <c r="D438" s="12"/>
      <c r="E438" s="12"/>
      <c r="F438" s="12"/>
      <c r="G438" s="12"/>
      <c r="H438" s="12"/>
      <c r="I438" s="12"/>
      <c r="J438" s="12"/>
      <c r="K438" s="12"/>
      <c r="L438" s="12"/>
      <c r="M438" s="12"/>
      <c r="N438" s="12"/>
      <c r="O438" s="12"/>
      <c r="P438" s="12"/>
      <c r="Q438" s="12"/>
      <c r="R438" s="12"/>
      <c r="S438" s="12"/>
      <c r="T438" s="12"/>
    </row>
    <row r="439">
      <c r="B439" s="12"/>
      <c r="C439" s="12"/>
      <c r="D439" s="12"/>
      <c r="E439" s="12"/>
      <c r="F439" s="12"/>
      <c r="G439" s="12"/>
      <c r="H439" s="12"/>
      <c r="I439" s="12"/>
      <c r="J439" s="12"/>
      <c r="K439" s="12"/>
      <c r="L439" s="12"/>
      <c r="M439" s="12"/>
      <c r="N439" s="12"/>
      <c r="O439" s="12"/>
      <c r="P439" s="12"/>
      <c r="Q439" s="12"/>
      <c r="R439" s="12"/>
      <c r="S439" s="12"/>
      <c r="T439" s="12"/>
    </row>
    <row r="440">
      <c r="B440" s="12"/>
      <c r="C440" s="12"/>
      <c r="D440" s="12"/>
      <c r="E440" s="12"/>
      <c r="F440" s="12"/>
      <c r="G440" s="12"/>
      <c r="H440" s="12"/>
      <c r="I440" s="12"/>
      <c r="J440" s="12"/>
      <c r="K440" s="12"/>
      <c r="L440" s="12"/>
      <c r="M440" s="12"/>
      <c r="N440" s="12"/>
      <c r="O440" s="12"/>
      <c r="P440" s="12"/>
      <c r="Q440" s="12"/>
      <c r="R440" s="12"/>
      <c r="S440" s="12"/>
      <c r="T440" s="12"/>
    </row>
    <row r="441">
      <c r="B441" s="12"/>
      <c r="C441" s="12"/>
      <c r="D441" s="12"/>
      <c r="E441" s="12"/>
      <c r="F441" s="12"/>
      <c r="G441" s="12"/>
      <c r="H441" s="12"/>
      <c r="I441" s="12"/>
      <c r="J441" s="12"/>
      <c r="K441" s="12"/>
      <c r="L441" s="12"/>
      <c r="M441" s="12"/>
      <c r="N441" s="12"/>
      <c r="O441" s="12"/>
      <c r="P441" s="12"/>
      <c r="Q441" s="12"/>
      <c r="R441" s="12"/>
      <c r="S441" s="12"/>
      <c r="T441" s="12"/>
    </row>
    <row r="442">
      <c r="B442" s="12"/>
      <c r="C442" s="12"/>
      <c r="D442" s="12"/>
      <c r="E442" s="12"/>
      <c r="F442" s="12"/>
      <c r="G442" s="12"/>
      <c r="H442" s="12"/>
      <c r="I442" s="12"/>
      <c r="J442" s="12"/>
      <c r="K442" s="12"/>
      <c r="L442" s="12"/>
      <c r="M442" s="12"/>
      <c r="N442" s="12"/>
      <c r="O442" s="12"/>
      <c r="P442" s="12"/>
      <c r="Q442" s="12"/>
      <c r="R442" s="12"/>
      <c r="S442" s="12"/>
      <c r="T442" s="12"/>
    </row>
    <row r="443">
      <c r="B443" s="12"/>
      <c r="C443" s="12"/>
      <c r="D443" s="12"/>
      <c r="E443" s="12"/>
      <c r="F443" s="12"/>
      <c r="G443" s="12"/>
      <c r="H443" s="12"/>
      <c r="I443" s="12"/>
      <c r="J443" s="12"/>
      <c r="K443" s="12"/>
      <c r="L443" s="12"/>
      <c r="M443" s="12"/>
      <c r="N443" s="12"/>
      <c r="O443" s="12"/>
      <c r="P443" s="12"/>
      <c r="Q443" s="12"/>
      <c r="R443" s="12"/>
      <c r="S443" s="12"/>
      <c r="T443" s="12"/>
    </row>
    <row r="444">
      <c r="B444" s="12"/>
      <c r="C444" s="12"/>
      <c r="D444" s="12"/>
      <c r="E444" s="12"/>
      <c r="F444" s="12"/>
      <c r="G444" s="12"/>
      <c r="H444" s="12"/>
      <c r="I444" s="12"/>
      <c r="J444" s="12"/>
      <c r="K444" s="12"/>
      <c r="L444" s="12"/>
      <c r="M444" s="12"/>
      <c r="N444" s="12"/>
      <c r="O444" s="12"/>
      <c r="P444" s="12"/>
      <c r="Q444" s="12"/>
      <c r="R444" s="12"/>
      <c r="S444" s="12"/>
      <c r="T444" s="12"/>
    </row>
    <row r="445">
      <c r="B445" s="12"/>
      <c r="C445" s="12"/>
      <c r="D445" s="12"/>
      <c r="E445" s="12"/>
      <c r="F445" s="12"/>
      <c r="G445" s="12"/>
      <c r="H445" s="12"/>
      <c r="I445" s="12"/>
      <c r="J445" s="12"/>
      <c r="K445" s="12"/>
      <c r="L445" s="12"/>
      <c r="M445" s="12"/>
      <c r="N445" s="12"/>
      <c r="O445" s="12"/>
      <c r="P445" s="12"/>
      <c r="Q445" s="12"/>
      <c r="R445" s="12"/>
      <c r="S445" s="12"/>
      <c r="T445" s="12"/>
    </row>
    <row r="446">
      <c r="B446" s="12"/>
      <c r="C446" s="12"/>
      <c r="D446" s="12"/>
      <c r="E446" s="12"/>
      <c r="F446" s="12"/>
      <c r="G446" s="12"/>
      <c r="H446" s="12"/>
      <c r="I446" s="12"/>
      <c r="J446" s="12"/>
      <c r="K446" s="12"/>
      <c r="L446" s="12"/>
      <c r="M446" s="12"/>
      <c r="N446" s="12"/>
      <c r="O446" s="12"/>
      <c r="P446" s="12"/>
      <c r="Q446" s="12"/>
      <c r="R446" s="12"/>
      <c r="S446" s="12"/>
      <c r="T446" s="12"/>
    </row>
    <row r="447">
      <c r="B447" s="12"/>
      <c r="C447" s="12"/>
      <c r="D447" s="12"/>
      <c r="E447" s="12"/>
      <c r="F447" s="12"/>
      <c r="G447" s="12"/>
      <c r="H447" s="12"/>
      <c r="I447" s="12"/>
      <c r="J447" s="12"/>
      <c r="K447" s="12"/>
      <c r="L447" s="12"/>
      <c r="M447" s="12"/>
      <c r="N447" s="12"/>
      <c r="O447" s="12"/>
      <c r="P447" s="12"/>
      <c r="Q447" s="12"/>
      <c r="R447" s="12"/>
      <c r="S447" s="12"/>
      <c r="T447" s="12"/>
    </row>
    <row r="448">
      <c r="B448" s="12"/>
      <c r="C448" s="12"/>
      <c r="D448" s="12"/>
      <c r="E448" s="12"/>
      <c r="F448" s="12"/>
      <c r="G448" s="12"/>
      <c r="H448" s="12"/>
      <c r="I448" s="12"/>
      <c r="J448" s="12"/>
      <c r="K448" s="12"/>
      <c r="L448" s="12"/>
      <c r="M448" s="12"/>
      <c r="N448" s="12"/>
      <c r="O448" s="12"/>
      <c r="P448" s="12"/>
      <c r="Q448" s="12"/>
      <c r="R448" s="12"/>
      <c r="S448" s="12"/>
      <c r="T448" s="12"/>
    </row>
    <row r="449">
      <c r="B449" s="12"/>
      <c r="C449" s="12"/>
      <c r="D449" s="12"/>
      <c r="E449" s="12"/>
      <c r="F449" s="12"/>
      <c r="G449" s="12"/>
      <c r="H449" s="12"/>
      <c r="I449" s="12"/>
      <c r="J449" s="12"/>
      <c r="K449" s="12"/>
      <c r="L449" s="12"/>
      <c r="M449" s="12"/>
      <c r="N449" s="12"/>
      <c r="O449" s="12"/>
      <c r="P449" s="12"/>
      <c r="Q449" s="12"/>
      <c r="R449" s="12"/>
      <c r="S449" s="12"/>
      <c r="T449" s="12"/>
    </row>
    <row r="450">
      <c r="B450" s="12"/>
      <c r="C450" s="12"/>
      <c r="D450" s="12"/>
      <c r="E450" s="12"/>
      <c r="F450" s="12"/>
      <c r="G450" s="12"/>
      <c r="H450" s="12"/>
      <c r="I450" s="12"/>
      <c r="J450" s="12"/>
      <c r="K450" s="12"/>
      <c r="L450" s="12"/>
      <c r="M450" s="12"/>
      <c r="N450" s="12"/>
      <c r="O450" s="12"/>
      <c r="P450" s="12"/>
      <c r="Q450" s="12"/>
      <c r="R450" s="12"/>
      <c r="S450" s="12"/>
      <c r="T450" s="12"/>
    </row>
    <row r="451">
      <c r="B451" s="12"/>
      <c r="C451" s="12"/>
      <c r="D451" s="12"/>
      <c r="E451" s="12"/>
      <c r="F451" s="12"/>
      <c r="G451" s="12"/>
      <c r="H451" s="12"/>
      <c r="I451" s="12"/>
      <c r="J451" s="12"/>
      <c r="K451" s="12"/>
      <c r="L451" s="12"/>
      <c r="M451" s="12"/>
      <c r="N451" s="12"/>
      <c r="O451" s="12"/>
      <c r="P451" s="12"/>
      <c r="Q451" s="12"/>
      <c r="R451" s="12"/>
      <c r="S451" s="12"/>
      <c r="T451" s="12"/>
    </row>
    <row r="452">
      <c r="B452" s="12"/>
      <c r="C452" s="12"/>
      <c r="D452" s="12"/>
      <c r="E452" s="12"/>
      <c r="F452" s="12"/>
      <c r="G452" s="12"/>
      <c r="H452" s="12"/>
      <c r="I452" s="12"/>
      <c r="J452" s="12"/>
      <c r="K452" s="12"/>
      <c r="L452" s="12"/>
      <c r="M452" s="12"/>
      <c r="N452" s="12"/>
      <c r="O452" s="12"/>
      <c r="P452" s="12"/>
      <c r="Q452" s="12"/>
      <c r="R452" s="12"/>
      <c r="S452" s="12"/>
      <c r="T452" s="12"/>
    </row>
    <row r="453">
      <c r="B453" s="12"/>
      <c r="C453" s="12"/>
      <c r="D453" s="12"/>
      <c r="E453" s="12"/>
      <c r="F453" s="12"/>
      <c r="G453" s="12"/>
      <c r="H453" s="12"/>
      <c r="I453" s="12"/>
      <c r="J453" s="12"/>
      <c r="K453" s="12"/>
      <c r="L453" s="12"/>
      <c r="M453" s="12"/>
      <c r="N453" s="12"/>
      <c r="O453" s="12"/>
      <c r="P453" s="12"/>
      <c r="Q453" s="12"/>
      <c r="R453" s="12"/>
      <c r="S453" s="12"/>
      <c r="T453" s="12"/>
    </row>
    <row r="454">
      <c r="B454" s="12"/>
      <c r="C454" s="12"/>
      <c r="D454" s="12"/>
      <c r="E454" s="12"/>
      <c r="F454" s="12"/>
      <c r="G454" s="12"/>
      <c r="H454" s="12"/>
      <c r="I454" s="12"/>
      <c r="J454" s="12"/>
      <c r="K454" s="12"/>
      <c r="L454" s="12"/>
      <c r="M454" s="12"/>
      <c r="N454" s="12"/>
      <c r="O454" s="12"/>
      <c r="P454" s="12"/>
      <c r="Q454" s="12"/>
      <c r="R454" s="12"/>
      <c r="S454" s="12"/>
      <c r="T454" s="12"/>
    </row>
    <row r="455">
      <c r="B455" s="12"/>
      <c r="C455" s="12"/>
      <c r="D455" s="12"/>
      <c r="E455" s="12"/>
      <c r="F455" s="12"/>
      <c r="G455" s="12"/>
      <c r="H455" s="12"/>
      <c r="I455" s="12"/>
      <c r="J455" s="12"/>
      <c r="K455" s="12"/>
      <c r="L455" s="12"/>
      <c r="M455" s="12"/>
      <c r="N455" s="12"/>
      <c r="O455" s="12"/>
      <c r="P455" s="12"/>
      <c r="Q455" s="12"/>
      <c r="R455" s="12"/>
      <c r="S455" s="12"/>
      <c r="T455" s="12"/>
    </row>
    <row r="456">
      <c r="B456" s="12"/>
      <c r="C456" s="12"/>
      <c r="D456" s="12"/>
      <c r="E456" s="12"/>
      <c r="F456" s="12"/>
      <c r="G456" s="12"/>
      <c r="H456" s="12"/>
      <c r="I456" s="12"/>
      <c r="J456" s="12"/>
      <c r="K456" s="12"/>
      <c r="L456" s="12"/>
      <c r="M456" s="12"/>
      <c r="N456" s="12"/>
      <c r="O456" s="12"/>
      <c r="P456" s="12"/>
      <c r="Q456" s="12"/>
      <c r="R456" s="12"/>
      <c r="S456" s="12"/>
      <c r="T456" s="12"/>
    </row>
    <row r="457">
      <c r="B457" s="12"/>
      <c r="C457" s="12"/>
      <c r="D457" s="12"/>
      <c r="E457" s="12"/>
      <c r="F457" s="12"/>
      <c r="G457" s="12"/>
      <c r="H457" s="12"/>
      <c r="I457" s="12"/>
      <c r="J457" s="12"/>
      <c r="K457" s="12"/>
      <c r="L457" s="12"/>
      <c r="M457" s="12"/>
      <c r="N457" s="12"/>
      <c r="O457" s="12"/>
      <c r="P457" s="12"/>
      <c r="Q457" s="12"/>
      <c r="R457" s="12"/>
      <c r="S457" s="12"/>
      <c r="T457" s="12"/>
    </row>
    <row r="458">
      <c r="B458" s="12"/>
      <c r="C458" s="12"/>
      <c r="D458" s="12"/>
      <c r="E458" s="12"/>
      <c r="F458" s="12"/>
      <c r="G458" s="12"/>
      <c r="H458" s="12"/>
      <c r="I458" s="12"/>
      <c r="J458" s="12"/>
      <c r="K458" s="12"/>
      <c r="L458" s="12"/>
      <c r="M458" s="12"/>
      <c r="N458" s="12"/>
      <c r="O458" s="12"/>
      <c r="P458" s="12"/>
      <c r="Q458" s="12"/>
      <c r="R458" s="12"/>
      <c r="S458" s="12"/>
      <c r="T458" s="12"/>
    </row>
    <row r="459">
      <c r="B459" s="12"/>
      <c r="C459" s="12"/>
      <c r="D459" s="12"/>
      <c r="E459" s="12"/>
      <c r="F459" s="12"/>
      <c r="G459" s="12"/>
      <c r="H459" s="12"/>
      <c r="I459" s="12"/>
      <c r="J459" s="12"/>
      <c r="K459" s="12"/>
      <c r="L459" s="12"/>
      <c r="M459" s="12"/>
      <c r="N459" s="12"/>
      <c r="O459" s="12"/>
      <c r="P459" s="12"/>
      <c r="Q459" s="12"/>
      <c r="R459" s="12"/>
      <c r="S459" s="12"/>
      <c r="T459" s="12"/>
    </row>
    <row r="460">
      <c r="B460" s="12"/>
      <c r="C460" s="12"/>
      <c r="D460" s="12"/>
      <c r="E460" s="12"/>
      <c r="F460" s="12"/>
      <c r="G460" s="12"/>
      <c r="H460" s="12"/>
      <c r="I460" s="12"/>
      <c r="J460" s="12"/>
      <c r="K460" s="12"/>
      <c r="L460" s="12"/>
      <c r="M460" s="12"/>
      <c r="N460" s="12"/>
      <c r="O460" s="12"/>
      <c r="P460" s="12"/>
      <c r="Q460" s="12"/>
      <c r="R460" s="12"/>
      <c r="S460" s="12"/>
      <c r="T460" s="12"/>
    </row>
    <row r="461">
      <c r="B461" s="12"/>
      <c r="C461" s="12"/>
      <c r="D461" s="12"/>
      <c r="E461" s="12"/>
      <c r="F461" s="12"/>
      <c r="G461" s="12"/>
      <c r="H461" s="12"/>
      <c r="I461" s="12"/>
      <c r="J461" s="12"/>
      <c r="K461" s="12"/>
      <c r="L461" s="12"/>
      <c r="M461" s="12"/>
      <c r="N461" s="12"/>
      <c r="O461" s="12"/>
      <c r="P461" s="12"/>
      <c r="Q461" s="12"/>
      <c r="R461" s="12"/>
      <c r="S461" s="12"/>
      <c r="T461" s="12"/>
    </row>
    <row r="462">
      <c r="B462" s="12"/>
      <c r="C462" s="12"/>
      <c r="D462" s="12"/>
      <c r="E462" s="12"/>
      <c r="F462" s="12"/>
      <c r="G462" s="12"/>
      <c r="H462" s="12"/>
      <c r="I462" s="12"/>
      <c r="J462" s="12"/>
      <c r="K462" s="12"/>
      <c r="L462" s="12"/>
      <c r="M462" s="12"/>
      <c r="N462" s="12"/>
      <c r="O462" s="12"/>
      <c r="P462" s="12"/>
      <c r="Q462" s="12"/>
      <c r="R462" s="12"/>
      <c r="S462" s="12"/>
      <c r="T462" s="12"/>
    </row>
    <row r="463">
      <c r="B463" s="12"/>
      <c r="C463" s="12"/>
      <c r="D463" s="12"/>
      <c r="E463" s="12"/>
      <c r="F463" s="12"/>
      <c r="G463" s="12"/>
      <c r="H463" s="12"/>
      <c r="I463" s="12"/>
      <c r="J463" s="12"/>
      <c r="K463" s="12"/>
      <c r="L463" s="12"/>
      <c r="M463" s="12"/>
      <c r="N463" s="12"/>
      <c r="O463" s="12"/>
      <c r="P463" s="12"/>
      <c r="Q463" s="12"/>
      <c r="R463" s="12"/>
      <c r="S463" s="12"/>
      <c r="T463" s="12"/>
    </row>
    <row r="464">
      <c r="B464" s="12"/>
      <c r="C464" s="12"/>
      <c r="D464" s="12"/>
      <c r="E464" s="12"/>
      <c r="F464" s="12"/>
      <c r="G464" s="12"/>
      <c r="H464" s="12"/>
      <c r="I464" s="12"/>
      <c r="J464" s="12"/>
      <c r="K464" s="12"/>
      <c r="L464" s="12"/>
      <c r="M464" s="12"/>
      <c r="N464" s="12"/>
      <c r="O464" s="12"/>
      <c r="P464" s="12"/>
      <c r="Q464" s="12"/>
      <c r="R464" s="12"/>
      <c r="S464" s="12"/>
      <c r="T464" s="12"/>
    </row>
    <row r="465">
      <c r="B465" s="12"/>
      <c r="C465" s="12"/>
      <c r="D465" s="12"/>
      <c r="E465" s="12"/>
      <c r="F465" s="12"/>
      <c r="G465" s="12"/>
      <c r="H465" s="12"/>
      <c r="I465" s="12"/>
      <c r="J465" s="12"/>
      <c r="K465" s="12"/>
      <c r="L465" s="12"/>
      <c r="M465" s="12"/>
      <c r="N465" s="12"/>
      <c r="O465" s="12"/>
      <c r="P465" s="12"/>
      <c r="Q465" s="12"/>
      <c r="R465" s="12"/>
      <c r="S465" s="12"/>
      <c r="T465" s="12"/>
    </row>
    <row r="466">
      <c r="B466" s="12"/>
      <c r="C466" s="12"/>
      <c r="D466" s="12"/>
      <c r="E466" s="12"/>
      <c r="F466" s="12"/>
      <c r="G466" s="12"/>
      <c r="H466" s="12"/>
      <c r="I466" s="12"/>
      <c r="J466" s="12"/>
      <c r="K466" s="12"/>
      <c r="L466" s="12"/>
      <c r="M466" s="12"/>
      <c r="N466" s="12"/>
      <c r="O466" s="12"/>
      <c r="P466" s="12"/>
      <c r="Q466" s="12"/>
      <c r="R466" s="12"/>
      <c r="S466" s="12"/>
      <c r="T466" s="12"/>
    </row>
    <row r="467">
      <c r="B467" s="12"/>
      <c r="C467" s="12"/>
      <c r="D467" s="12"/>
      <c r="E467" s="12"/>
      <c r="F467" s="12"/>
      <c r="G467" s="12"/>
      <c r="H467" s="12"/>
      <c r="I467" s="12"/>
      <c r="J467" s="12"/>
      <c r="K467" s="12"/>
      <c r="L467" s="12"/>
      <c r="M467" s="12"/>
      <c r="N467" s="12"/>
      <c r="O467" s="12"/>
      <c r="P467" s="12"/>
      <c r="Q467" s="12"/>
      <c r="R467" s="12"/>
      <c r="S467" s="12"/>
      <c r="T467" s="12"/>
    </row>
    <row r="468">
      <c r="B468" s="12"/>
      <c r="C468" s="12"/>
      <c r="D468" s="12"/>
      <c r="E468" s="12"/>
      <c r="F468" s="12"/>
      <c r="G468" s="12"/>
      <c r="H468" s="12"/>
      <c r="I468" s="12"/>
      <c r="J468" s="12"/>
      <c r="K468" s="12"/>
      <c r="L468" s="12"/>
      <c r="M468" s="12"/>
      <c r="N468" s="12"/>
      <c r="O468" s="12"/>
      <c r="P468" s="12"/>
      <c r="Q468" s="12"/>
      <c r="R468" s="12"/>
      <c r="S468" s="12"/>
      <c r="T468" s="12"/>
    </row>
    <row r="469">
      <c r="B469" s="12"/>
      <c r="C469" s="12"/>
      <c r="D469" s="12"/>
      <c r="E469" s="12"/>
      <c r="F469" s="12"/>
      <c r="G469" s="12"/>
      <c r="H469" s="12"/>
      <c r="I469" s="12"/>
      <c r="J469" s="12"/>
      <c r="K469" s="12"/>
      <c r="L469" s="12"/>
      <c r="M469" s="12"/>
      <c r="N469" s="12"/>
      <c r="O469" s="12"/>
      <c r="P469" s="12"/>
      <c r="Q469" s="12"/>
      <c r="R469" s="12"/>
      <c r="S469" s="12"/>
      <c r="T469" s="12"/>
    </row>
    <row r="470">
      <c r="B470" s="12"/>
      <c r="C470" s="12"/>
      <c r="D470" s="12"/>
      <c r="E470" s="12"/>
      <c r="F470" s="12"/>
      <c r="G470" s="12"/>
      <c r="H470" s="12"/>
      <c r="I470" s="12"/>
      <c r="J470" s="12"/>
      <c r="K470" s="12"/>
      <c r="L470" s="12"/>
      <c r="M470" s="12"/>
      <c r="N470" s="12"/>
      <c r="O470" s="12"/>
      <c r="P470" s="12"/>
      <c r="Q470" s="12"/>
      <c r="R470" s="12"/>
      <c r="S470" s="12"/>
      <c r="T470" s="12"/>
    </row>
    <row r="471">
      <c r="B471" s="12"/>
      <c r="C471" s="12"/>
      <c r="D471" s="12"/>
      <c r="E471" s="12"/>
      <c r="F471" s="12"/>
      <c r="G471" s="12"/>
      <c r="H471" s="12"/>
      <c r="I471" s="12"/>
      <c r="J471" s="12"/>
      <c r="K471" s="12"/>
      <c r="L471" s="12"/>
      <c r="M471" s="12"/>
      <c r="N471" s="12"/>
      <c r="O471" s="12"/>
      <c r="P471" s="12"/>
      <c r="Q471" s="12"/>
      <c r="R471" s="12"/>
      <c r="S471" s="12"/>
      <c r="T471" s="12"/>
    </row>
    <row r="472">
      <c r="B472" s="12"/>
      <c r="C472" s="12"/>
      <c r="D472" s="12"/>
      <c r="E472" s="12"/>
      <c r="F472" s="12"/>
      <c r="G472" s="12"/>
      <c r="H472" s="12"/>
      <c r="I472" s="12"/>
      <c r="J472" s="12"/>
      <c r="K472" s="12"/>
      <c r="L472" s="12"/>
      <c r="M472" s="12"/>
      <c r="N472" s="12"/>
      <c r="O472" s="12"/>
      <c r="P472" s="12"/>
      <c r="Q472" s="12"/>
      <c r="R472" s="12"/>
      <c r="S472" s="12"/>
      <c r="T472" s="12"/>
    </row>
    <row r="473">
      <c r="B473" s="12"/>
      <c r="C473" s="12"/>
      <c r="D473" s="12"/>
      <c r="E473" s="12"/>
      <c r="F473" s="12"/>
      <c r="G473" s="12"/>
      <c r="H473" s="12"/>
      <c r="I473" s="12"/>
      <c r="J473" s="12"/>
      <c r="K473" s="12"/>
      <c r="L473" s="12"/>
      <c r="M473" s="12"/>
      <c r="N473" s="12"/>
      <c r="O473" s="12"/>
      <c r="P473" s="12"/>
      <c r="Q473" s="12"/>
      <c r="R473" s="12"/>
      <c r="S473" s="12"/>
      <c r="T473" s="12"/>
    </row>
    <row r="474">
      <c r="B474" s="12"/>
      <c r="C474" s="12"/>
      <c r="D474" s="12"/>
      <c r="E474" s="12"/>
      <c r="F474" s="12"/>
      <c r="G474" s="12"/>
      <c r="H474" s="12"/>
      <c r="I474" s="12"/>
      <c r="J474" s="12"/>
      <c r="K474" s="12"/>
      <c r="L474" s="12"/>
      <c r="M474" s="12"/>
      <c r="N474" s="12"/>
      <c r="O474" s="12"/>
      <c r="P474" s="12"/>
      <c r="Q474" s="12"/>
      <c r="R474" s="12"/>
      <c r="S474" s="12"/>
      <c r="T474" s="12"/>
    </row>
    <row r="475">
      <c r="B475" s="12"/>
      <c r="C475" s="12"/>
      <c r="D475" s="12"/>
      <c r="E475" s="12"/>
      <c r="F475" s="12"/>
      <c r="G475" s="12"/>
      <c r="H475" s="12"/>
      <c r="I475" s="12"/>
      <c r="J475" s="12"/>
      <c r="K475" s="12"/>
      <c r="L475" s="12"/>
      <c r="M475" s="12"/>
      <c r="N475" s="12"/>
      <c r="O475" s="12"/>
      <c r="P475" s="12"/>
      <c r="Q475" s="12"/>
      <c r="R475" s="12"/>
      <c r="S475" s="12"/>
      <c r="T475" s="12"/>
    </row>
    <row r="476">
      <c r="B476" s="12"/>
      <c r="C476" s="12"/>
      <c r="D476" s="12"/>
      <c r="E476" s="12"/>
      <c r="F476" s="12"/>
      <c r="G476" s="12"/>
      <c r="H476" s="12"/>
      <c r="I476" s="12"/>
      <c r="J476" s="12"/>
      <c r="K476" s="12"/>
      <c r="L476" s="12"/>
      <c r="M476" s="12"/>
      <c r="N476" s="12"/>
      <c r="O476" s="12"/>
      <c r="P476" s="12"/>
      <c r="Q476" s="12"/>
      <c r="R476" s="12"/>
      <c r="S476" s="12"/>
      <c r="T476" s="12"/>
    </row>
    <row r="477">
      <c r="B477" s="12"/>
      <c r="C477" s="12"/>
      <c r="D477" s="12"/>
      <c r="E477" s="12"/>
      <c r="F477" s="12"/>
      <c r="G477" s="12"/>
      <c r="H477" s="12"/>
      <c r="I477" s="12"/>
      <c r="J477" s="12"/>
      <c r="K477" s="12"/>
      <c r="L477" s="12"/>
      <c r="M477" s="12"/>
      <c r="N477" s="12"/>
      <c r="O477" s="12"/>
      <c r="P477" s="12"/>
      <c r="Q477" s="12"/>
      <c r="R477" s="12"/>
      <c r="S477" s="12"/>
      <c r="T477" s="12"/>
    </row>
    <row r="478">
      <c r="B478" s="12"/>
      <c r="C478" s="12"/>
      <c r="D478" s="12"/>
      <c r="E478" s="12"/>
      <c r="F478" s="12"/>
      <c r="G478" s="12"/>
      <c r="H478" s="12"/>
      <c r="I478" s="12"/>
      <c r="J478" s="12"/>
      <c r="K478" s="12"/>
      <c r="L478" s="12"/>
      <c r="M478" s="12"/>
      <c r="N478" s="12"/>
      <c r="O478" s="12"/>
      <c r="P478" s="12"/>
      <c r="Q478" s="12"/>
      <c r="R478" s="12"/>
      <c r="S478" s="12"/>
      <c r="T478" s="12"/>
    </row>
    <row r="479">
      <c r="B479" s="12"/>
      <c r="C479" s="12"/>
      <c r="D479" s="12"/>
      <c r="E479" s="12"/>
      <c r="F479" s="12"/>
      <c r="G479" s="12"/>
      <c r="H479" s="12"/>
      <c r="I479" s="12"/>
      <c r="J479" s="12"/>
      <c r="K479" s="12"/>
      <c r="L479" s="12"/>
      <c r="M479" s="12"/>
      <c r="N479" s="12"/>
      <c r="O479" s="12"/>
      <c r="P479" s="12"/>
      <c r="Q479" s="12"/>
      <c r="R479" s="12"/>
      <c r="S479" s="12"/>
      <c r="T479" s="12"/>
    </row>
    <row r="480">
      <c r="B480" s="12"/>
      <c r="C480" s="12"/>
      <c r="D480" s="12"/>
      <c r="E480" s="12"/>
      <c r="F480" s="12"/>
      <c r="G480" s="12"/>
      <c r="H480" s="12"/>
      <c r="I480" s="12"/>
      <c r="J480" s="12"/>
      <c r="K480" s="12"/>
      <c r="L480" s="12"/>
      <c r="M480" s="12"/>
      <c r="N480" s="12"/>
      <c r="O480" s="12"/>
      <c r="P480" s="12"/>
      <c r="Q480" s="12"/>
      <c r="R480" s="12"/>
      <c r="S480" s="12"/>
      <c r="T480" s="12"/>
    </row>
    <row r="481">
      <c r="B481" s="12"/>
      <c r="C481" s="12"/>
      <c r="D481" s="12"/>
      <c r="E481" s="12"/>
      <c r="F481" s="12"/>
      <c r="G481" s="12"/>
      <c r="H481" s="12"/>
      <c r="I481" s="12"/>
      <c r="J481" s="12"/>
      <c r="K481" s="12"/>
      <c r="L481" s="12"/>
      <c r="M481" s="12"/>
      <c r="N481" s="12"/>
      <c r="O481" s="12"/>
      <c r="P481" s="12"/>
      <c r="Q481" s="12"/>
      <c r="R481" s="12"/>
      <c r="S481" s="12"/>
      <c r="T481" s="12"/>
    </row>
    <row r="482">
      <c r="B482" s="12"/>
      <c r="C482" s="12"/>
      <c r="D482" s="12"/>
      <c r="E482" s="12"/>
      <c r="F482" s="12"/>
      <c r="G482" s="12"/>
      <c r="H482" s="12"/>
      <c r="I482" s="12"/>
      <c r="J482" s="12"/>
      <c r="K482" s="12"/>
      <c r="L482" s="12"/>
      <c r="M482" s="12"/>
      <c r="N482" s="12"/>
      <c r="O482" s="12"/>
      <c r="P482" s="12"/>
      <c r="Q482" s="12"/>
      <c r="R482" s="12"/>
      <c r="S482" s="12"/>
      <c r="T482" s="12"/>
    </row>
    <row r="483">
      <c r="B483" s="12"/>
      <c r="C483" s="12"/>
      <c r="D483" s="12"/>
      <c r="E483" s="12"/>
      <c r="F483" s="12"/>
      <c r="G483" s="12"/>
      <c r="H483" s="12"/>
      <c r="I483" s="12"/>
      <c r="J483" s="12"/>
      <c r="K483" s="12"/>
      <c r="L483" s="12"/>
      <c r="M483" s="12"/>
      <c r="N483" s="12"/>
      <c r="O483" s="12"/>
      <c r="P483" s="12"/>
      <c r="Q483" s="12"/>
      <c r="R483" s="12"/>
      <c r="S483" s="12"/>
      <c r="T483" s="12"/>
    </row>
    <row r="484">
      <c r="B484" s="12"/>
      <c r="C484" s="12"/>
      <c r="D484" s="12"/>
      <c r="E484" s="12"/>
      <c r="F484" s="12"/>
      <c r="G484" s="12"/>
      <c r="H484" s="12"/>
      <c r="I484" s="12"/>
      <c r="J484" s="12"/>
      <c r="K484" s="12"/>
      <c r="L484" s="12"/>
      <c r="M484" s="12"/>
      <c r="N484" s="12"/>
      <c r="O484" s="12"/>
      <c r="P484" s="12"/>
      <c r="Q484" s="12"/>
      <c r="R484" s="12"/>
      <c r="S484" s="12"/>
      <c r="T484" s="12"/>
    </row>
    <row r="485">
      <c r="B485" s="12"/>
      <c r="C485" s="12"/>
      <c r="D485" s="12"/>
      <c r="E485" s="12"/>
      <c r="F485" s="12"/>
      <c r="G485" s="12"/>
      <c r="H485" s="12"/>
      <c r="I485" s="12"/>
      <c r="J485" s="12"/>
      <c r="K485" s="12"/>
      <c r="L485" s="12"/>
      <c r="M485" s="12"/>
      <c r="N485" s="12"/>
      <c r="O485" s="12"/>
      <c r="P485" s="12"/>
      <c r="Q485" s="12"/>
      <c r="R485" s="12"/>
      <c r="S485" s="12"/>
      <c r="T485" s="12"/>
    </row>
    <row r="486">
      <c r="B486" s="12"/>
      <c r="C486" s="12"/>
      <c r="D486" s="12"/>
      <c r="E486" s="12"/>
      <c r="F486" s="12"/>
      <c r="G486" s="12"/>
      <c r="H486" s="12"/>
      <c r="I486" s="12"/>
      <c r="J486" s="12"/>
      <c r="K486" s="12"/>
      <c r="L486" s="12"/>
      <c r="M486" s="12"/>
      <c r="N486" s="12"/>
      <c r="O486" s="12"/>
      <c r="P486" s="12"/>
      <c r="Q486" s="12"/>
      <c r="R486" s="12"/>
      <c r="S486" s="12"/>
      <c r="T486" s="12"/>
    </row>
    <row r="487">
      <c r="B487" s="12"/>
      <c r="C487" s="12"/>
      <c r="D487" s="12"/>
      <c r="E487" s="12"/>
      <c r="F487" s="12"/>
      <c r="G487" s="12"/>
      <c r="H487" s="12"/>
      <c r="I487" s="12"/>
      <c r="J487" s="12"/>
      <c r="K487" s="12"/>
      <c r="L487" s="12"/>
      <c r="M487" s="12"/>
      <c r="N487" s="12"/>
      <c r="O487" s="12"/>
      <c r="P487" s="12"/>
      <c r="Q487" s="12"/>
      <c r="R487" s="12"/>
      <c r="S487" s="12"/>
      <c r="T487" s="12"/>
    </row>
    <row r="488">
      <c r="B488" s="12"/>
      <c r="C488" s="12"/>
      <c r="D488" s="12"/>
      <c r="E488" s="12"/>
      <c r="F488" s="12"/>
      <c r="G488" s="12"/>
      <c r="H488" s="12"/>
      <c r="I488" s="12"/>
      <c r="J488" s="12"/>
      <c r="K488" s="12"/>
      <c r="L488" s="12"/>
      <c r="M488" s="12"/>
      <c r="N488" s="12"/>
      <c r="O488" s="12"/>
      <c r="P488" s="12"/>
      <c r="Q488" s="12"/>
      <c r="R488" s="12"/>
      <c r="S488" s="12"/>
      <c r="T488" s="12"/>
    </row>
    <row r="489">
      <c r="B489" s="12"/>
      <c r="C489" s="12"/>
      <c r="D489" s="12"/>
      <c r="E489" s="12"/>
      <c r="F489" s="12"/>
      <c r="G489" s="12"/>
      <c r="H489" s="12"/>
      <c r="I489" s="12"/>
      <c r="J489" s="12"/>
      <c r="K489" s="12"/>
      <c r="L489" s="12"/>
      <c r="M489" s="12"/>
      <c r="N489" s="12"/>
      <c r="O489" s="12"/>
      <c r="P489" s="12"/>
      <c r="Q489" s="12"/>
      <c r="R489" s="12"/>
      <c r="S489" s="12"/>
      <c r="T489" s="12"/>
    </row>
    <row r="490">
      <c r="B490" s="12"/>
      <c r="C490" s="12"/>
      <c r="D490" s="12"/>
      <c r="E490" s="12"/>
      <c r="F490" s="12"/>
      <c r="G490" s="12"/>
      <c r="H490" s="12"/>
      <c r="I490" s="12"/>
      <c r="J490" s="12"/>
      <c r="K490" s="12"/>
      <c r="L490" s="12"/>
      <c r="M490" s="12"/>
      <c r="N490" s="12"/>
      <c r="O490" s="12"/>
      <c r="P490" s="12"/>
      <c r="Q490" s="12"/>
      <c r="R490" s="12"/>
      <c r="S490" s="12"/>
      <c r="T490" s="12"/>
    </row>
    <row r="491">
      <c r="B491" s="12"/>
      <c r="C491" s="12"/>
      <c r="D491" s="12"/>
      <c r="E491" s="12"/>
      <c r="F491" s="12"/>
      <c r="G491" s="12"/>
      <c r="H491" s="12"/>
      <c r="I491" s="12"/>
      <c r="J491" s="12"/>
      <c r="K491" s="12"/>
      <c r="L491" s="12"/>
      <c r="M491" s="12"/>
      <c r="N491" s="12"/>
      <c r="O491" s="12"/>
      <c r="P491" s="12"/>
      <c r="Q491" s="12"/>
      <c r="R491" s="12"/>
      <c r="S491" s="12"/>
      <c r="T491" s="12"/>
    </row>
    <row r="492">
      <c r="B492" s="12"/>
      <c r="C492" s="12"/>
      <c r="D492" s="12"/>
      <c r="E492" s="12"/>
      <c r="F492" s="12"/>
      <c r="G492" s="12"/>
      <c r="H492" s="12"/>
      <c r="I492" s="12"/>
      <c r="J492" s="12"/>
      <c r="K492" s="12"/>
      <c r="L492" s="12"/>
      <c r="M492" s="12"/>
      <c r="N492" s="12"/>
      <c r="O492" s="12"/>
      <c r="P492" s="12"/>
      <c r="Q492" s="12"/>
      <c r="R492" s="12"/>
      <c r="S492" s="12"/>
      <c r="T492" s="12"/>
    </row>
    <row r="493">
      <c r="B493" s="12"/>
      <c r="C493" s="12"/>
      <c r="D493" s="12"/>
      <c r="E493" s="12"/>
      <c r="F493" s="12"/>
      <c r="G493" s="12"/>
      <c r="H493" s="12"/>
      <c r="I493" s="12"/>
      <c r="J493" s="12"/>
      <c r="K493" s="12"/>
      <c r="L493" s="12"/>
      <c r="M493" s="12"/>
      <c r="N493" s="12"/>
      <c r="O493" s="12"/>
      <c r="P493" s="12"/>
      <c r="Q493" s="12"/>
      <c r="R493" s="12"/>
      <c r="S493" s="12"/>
      <c r="T493" s="12"/>
    </row>
    <row r="494">
      <c r="B494" s="12"/>
      <c r="C494" s="12"/>
      <c r="D494" s="12"/>
      <c r="E494" s="12"/>
      <c r="F494" s="12"/>
      <c r="G494" s="12"/>
      <c r="H494" s="12"/>
      <c r="I494" s="12"/>
      <c r="J494" s="12"/>
      <c r="K494" s="12"/>
      <c r="L494" s="12"/>
      <c r="M494" s="12"/>
      <c r="N494" s="12"/>
      <c r="O494" s="12"/>
      <c r="P494" s="12"/>
      <c r="Q494" s="12"/>
      <c r="R494" s="12"/>
      <c r="S494" s="12"/>
      <c r="T494" s="12"/>
    </row>
    <row r="495">
      <c r="B495" s="12"/>
      <c r="C495" s="12"/>
      <c r="D495" s="12"/>
      <c r="E495" s="12"/>
      <c r="F495" s="12"/>
      <c r="G495" s="12"/>
      <c r="H495" s="12"/>
      <c r="I495" s="12"/>
      <c r="J495" s="12"/>
      <c r="K495" s="12"/>
      <c r="L495" s="12"/>
      <c r="M495" s="12"/>
      <c r="N495" s="12"/>
      <c r="O495" s="12"/>
      <c r="P495" s="12"/>
      <c r="Q495" s="12"/>
      <c r="R495" s="12"/>
      <c r="S495" s="12"/>
      <c r="T495" s="12"/>
    </row>
    <row r="496">
      <c r="B496" s="12"/>
      <c r="C496" s="12"/>
      <c r="D496" s="12"/>
      <c r="E496" s="12"/>
      <c r="F496" s="12"/>
      <c r="G496" s="12"/>
      <c r="H496" s="12"/>
      <c r="I496" s="12"/>
      <c r="J496" s="12"/>
      <c r="K496" s="12"/>
      <c r="L496" s="12"/>
      <c r="M496" s="12"/>
      <c r="N496" s="12"/>
      <c r="O496" s="12"/>
      <c r="P496" s="12"/>
      <c r="Q496" s="12"/>
      <c r="R496" s="12"/>
      <c r="S496" s="12"/>
      <c r="T496" s="12"/>
    </row>
    <row r="497">
      <c r="B497" s="12"/>
      <c r="C497" s="12"/>
      <c r="D497" s="12"/>
      <c r="E497" s="12"/>
      <c r="F497" s="12"/>
      <c r="G497" s="12"/>
      <c r="H497" s="12"/>
      <c r="I497" s="12"/>
      <c r="J497" s="12"/>
      <c r="K497" s="12"/>
      <c r="L497" s="12"/>
      <c r="M497" s="12"/>
      <c r="N497" s="12"/>
      <c r="O497" s="12"/>
      <c r="P497" s="12"/>
      <c r="Q497" s="12"/>
      <c r="R497" s="12"/>
      <c r="S497" s="12"/>
      <c r="T497" s="12"/>
    </row>
    <row r="498">
      <c r="B498" s="12"/>
      <c r="C498" s="12"/>
      <c r="D498" s="12"/>
      <c r="E498" s="12"/>
      <c r="F498" s="12"/>
      <c r="G498" s="12"/>
      <c r="H498" s="12"/>
      <c r="I498" s="12"/>
      <c r="J498" s="12"/>
      <c r="K498" s="12"/>
      <c r="L498" s="12"/>
      <c r="M498" s="12"/>
      <c r="N498" s="12"/>
      <c r="O498" s="12"/>
      <c r="P498" s="12"/>
      <c r="Q498" s="12"/>
      <c r="R498" s="12"/>
      <c r="S498" s="12"/>
      <c r="T498" s="12"/>
    </row>
    <row r="499">
      <c r="B499" s="12"/>
      <c r="C499" s="12"/>
      <c r="D499" s="12"/>
      <c r="E499" s="12"/>
      <c r="F499" s="12"/>
      <c r="G499" s="12"/>
      <c r="H499" s="12"/>
      <c r="I499" s="12"/>
      <c r="J499" s="12"/>
      <c r="K499" s="12"/>
      <c r="L499" s="12"/>
      <c r="M499" s="12"/>
      <c r="N499" s="12"/>
      <c r="O499" s="12"/>
      <c r="P499" s="12"/>
      <c r="Q499" s="12"/>
      <c r="R499" s="12"/>
      <c r="S499" s="12"/>
      <c r="T499" s="12"/>
    </row>
    <row r="500">
      <c r="B500" s="12"/>
      <c r="C500" s="12"/>
      <c r="D500" s="12"/>
      <c r="E500" s="12"/>
      <c r="F500" s="12"/>
      <c r="G500" s="12"/>
      <c r="H500" s="12"/>
      <c r="I500" s="12"/>
      <c r="J500" s="12"/>
      <c r="K500" s="12"/>
      <c r="L500" s="12"/>
      <c r="M500" s="12"/>
      <c r="N500" s="12"/>
      <c r="O500" s="12"/>
      <c r="P500" s="12"/>
      <c r="Q500" s="12"/>
      <c r="R500" s="12"/>
      <c r="S500" s="12"/>
      <c r="T500" s="12"/>
    </row>
    <row r="501">
      <c r="B501" s="12"/>
      <c r="C501" s="12"/>
      <c r="D501" s="12"/>
      <c r="E501" s="12"/>
      <c r="F501" s="12"/>
      <c r="G501" s="12"/>
      <c r="H501" s="12"/>
      <c r="I501" s="12"/>
      <c r="J501" s="12"/>
      <c r="K501" s="12"/>
      <c r="L501" s="12"/>
      <c r="M501" s="12"/>
      <c r="N501" s="12"/>
      <c r="O501" s="12"/>
      <c r="P501" s="12"/>
      <c r="Q501" s="12"/>
      <c r="R501" s="12"/>
      <c r="S501" s="12"/>
      <c r="T501" s="12"/>
    </row>
    <row r="502">
      <c r="B502" s="12"/>
      <c r="C502" s="12"/>
      <c r="D502" s="12"/>
      <c r="E502" s="12"/>
      <c r="F502" s="12"/>
      <c r="G502" s="12"/>
      <c r="H502" s="12"/>
      <c r="I502" s="12"/>
      <c r="J502" s="12"/>
      <c r="K502" s="12"/>
      <c r="L502" s="12"/>
      <c r="M502" s="12"/>
      <c r="N502" s="12"/>
      <c r="O502" s="12"/>
      <c r="P502" s="12"/>
      <c r="Q502" s="12"/>
      <c r="R502" s="12"/>
      <c r="S502" s="12"/>
      <c r="T502" s="12"/>
    </row>
    <row r="503">
      <c r="B503" s="12"/>
      <c r="C503" s="12"/>
      <c r="D503" s="12"/>
      <c r="E503" s="12"/>
      <c r="F503" s="12"/>
      <c r="G503" s="12"/>
      <c r="H503" s="12"/>
      <c r="I503" s="12"/>
      <c r="J503" s="12"/>
      <c r="K503" s="12"/>
      <c r="L503" s="12"/>
      <c r="M503" s="12"/>
      <c r="N503" s="12"/>
      <c r="O503" s="12"/>
      <c r="P503" s="12"/>
      <c r="Q503" s="12"/>
      <c r="R503" s="12"/>
      <c r="S503" s="12"/>
      <c r="T503" s="12"/>
    </row>
    <row r="504">
      <c r="B504" s="12"/>
      <c r="C504" s="12"/>
      <c r="D504" s="12"/>
      <c r="E504" s="12"/>
      <c r="F504" s="12"/>
      <c r="G504" s="12"/>
      <c r="H504" s="12"/>
      <c r="I504" s="12"/>
      <c r="J504" s="12"/>
      <c r="K504" s="12"/>
      <c r="L504" s="12"/>
      <c r="M504" s="12"/>
      <c r="N504" s="12"/>
      <c r="O504" s="12"/>
      <c r="P504" s="12"/>
      <c r="Q504" s="12"/>
      <c r="R504" s="12"/>
      <c r="S504" s="12"/>
      <c r="T504" s="12"/>
    </row>
    <row r="505">
      <c r="B505" s="12"/>
      <c r="C505" s="12"/>
      <c r="D505" s="12"/>
      <c r="E505" s="12"/>
      <c r="F505" s="12"/>
      <c r="G505" s="12"/>
      <c r="H505" s="12"/>
      <c r="I505" s="12"/>
      <c r="J505" s="12"/>
      <c r="K505" s="12"/>
      <c r="L505" s="12"/>
      <c r="M505" s="12"/>
      <c r="N505" s="12"/>
      <c r="O505" s="12"/>
      <c r="P505" s="12"/>
      <c r="Q505" s="12"/>
      <c r="R505" s="12"/>
      <c r="S505" s="12"/>
      <c r="T505" s="12"/>
    </row>
    <row r="506">
      <c r="B506" s="12"/>
      <c r="C506" s="12"/>
      <c r="D506" s="12"/>
      <c r="E506" s="12"/>
      <c r="F506" s="12"/>
      <c r="G506" s="12"/>
      <c r="H506" s="12"/>
      <c r="I506" s="12"/>
      <c r="J506" s="12"/>
      <c r="K506" s="12"/>
      <c r="L506" s="12"/>
      <c r="M506" s="12"/>
      <c r="N506" s="12"/>
      <c r="O506" s="12"/>
      <c r="P506" s="12"/>
      <c r="Q506" s="12"/>
      <c r="R506" s="12"/>
      <c r="S506" s="12"/>
      <c r="T506" s="12"/>
    </row>
    <row r="507">
      <c r="B507" s="12"/>
      <c r="C507" s="12"/>
      <c r="D507" s="12"/>
      <c r="E507" s="12"/>
      <c r="F507" s="12"/>
      <c r="G507" s="12"/>
      <c r="H507" s="12"/>
      <c r="I507" s="12"/>
      <c r="J507" s="12"/>
      <c r="K507" s="12"/>
      <c r="L507" s="12"/>
      <c r="M507" s="12"/>
      <c r="N507" s="12"/>
      <c r="O507" s="12"/>
      <c r="P507" s="12"/>
      <c r="Q507" s="12"/>
      <c r="R507" s="12"/>
      <c r="S507" s="12"/>
      <c r="T507" s="12"/>
    </row>
    <row r="508">
      <c r="B508" s="12"/>
      <c r="C508" s="12"/>
      <c r="D508" s="12"/>
      <c r="E508" s="12"/>
      <c r="F508" s="12"/>
      <c r="G508" s="12"/>
      <c r="H508" s="12"/>
      <c r="I508" s="12"/>
      <c r="J508" s="12"/>
      <c r="K508" s="12"/>
      <c r="L508" s="12"/>
      <c r="M508" s="12"/>
      <c r="N508" s="12"/>
      <c r="O508" s="12"/>
      <c r="P508" s="12"/>
      <c r="Q508" s="12"/>
      <c r="R508" s="12"/>
      <c r="S508" s="12"/>
      <c r="T508" s="12"/>
    </row>
    <row r="509">
      <c r="B509" s="12"/>
      <c r="C509" s="12"/>
      <c r="D509" s="12"/>
      <c r="E509" s="12"/>
      <c r="F509" s="12"/>
      <c r="G509" s="12"/>
      <c r="H509" s="12"/>
      <c r="I509" s="12"/>
      <c r="J509" s="12"/>
      <c r="K509" s="12"/>
      <c r="L509" s="12"/>
      <c r="M509" s="12"/>
      <c r="N509" s="12"/>
      <c r="O509" s="12"/>
      <c r="P509" s="12"/>
      <c r="Q509" s="12"/>
      <c r="R509" s="12"/>
      <c r="S509" s="12"/>
      <c r="T509" s="12"/>
    </row>
    <row r="510">
      <c r="B510" s="12"/>
      <c r="C510" s="12"/>
      <c r="D510" s="12"/>
      <c r="E510" s="12"/>
      <c r="F510" s="12"/>
      <c r="G510" s="12"/>
      <c r="H510" s="12"/>
      <c r="I510" s="12"/>
      <c r="J510" s="12"/>
      <c r="K510" s="12"/>
      <c r="L510" s="12"/>
      <c r="M510" s="12"/>
      <c r="N510" s="12"/>
      <c r="O510" s="12"/>
      <c r="P510" s="12"/>
      <c r="Q510" s="12"/>
      <c r="R510" s="12"/>
      <c r="S510" s="12"/>
      <c r="T510" s="12"/>
    </row>
    <row r="511">
      <c r="B511" s="12"/>
      <c r="C511" s="12"/>
      <c r="D511" s="12"/>
      <c r="E511" s="12"/>
      <c r="F511" s="12"/>
      <c r="G511" s="12"/>
      <c r="H511" s="12"/>
      <c r="I511" s="12"/>
      <c r="J511" s="12"/>
      <c r="K511" s="12"/>
      <c r="L511" s="12"/>
      <c r="M511" s="12"/>
      <c r="N511" s="12"/>
      <c r="O511" s="12"/>
      <c r="P511" s="12"/>
      <c r="Q511" s="12"/>
      <c r="R511" s="12"/>
      <c r="S511" s="12"/>
      <c r="T511" s="12"/>
    </row>
    <row r="512">
      <c r="B512" s="12"/>
      <c r="C512" s="12"/>
      <c r="D512" s="12"/>
      <c r="E512" s="12"/>
      <c r="F512" s="12"/>
      <c r="G512" s="12"/>
      <c r="H512" s="12"/>
      <c r="I512" s="12"/>
      <c r="J512" s="12"/>
      <c r="K512" s="12"/>
      <c r="L512" s="12"/>
      <c r="M512" s="12"/>
      <c r="N512" s="12"/>
      <c r="O512" s="12"/>
      <c r="P512" s="12"/>
      <c r="Q512" s="12"/>
      <c r="R512" s="12"/>
      <c r="S512" s="12"/>
      <c r="T512" s="12"/>
    </row>
    <row r="513">
      <c r="B513" s="12"/>
      <c r="C513" s="12"/>
      <c r="D513" s="12"/>
      <c r="E513" s="12"/>
      <c r="F513" s="12"/>
      <c r="G513" s="12"/>
      <c r="H513" s="12"/>
      <c r="I513" s="12"/>
      <c r="J513" s="12"/>
      <c r="K513" s="12"/>
      <c r="L513" s="12"/>
      <c r="M513" s="12"/>
      <c r="N513" s="12"/>
      <c r="O513" s="12"/>
      <c r="P513" s="12"/>
      <c r="Q513" s="12"/>
      <c r="R513" s="12"/>
      <c r="S513" s="12"/>
      <c r="T513" s="12"/>
    </row>
    <row r="514">
      <c r="B514" s="12"/>
      <c r="C514" s="12"/>
      <c r="D514" s="12"/>
      <c r="E514" s="12"/>
      <c r="F514" s="12"/>
      <c r="G514" s="12"/>
      <c r="H514" s="12"/>
      <c r="I514" s="12"/>
      <c r="J514" s="12"/>
      <c r="K514" s="12"/>
      <c r="L514" s="12"/>
      <c r="M514" s="12"/>
      <c r="N514" s="12"/>
      <c r="O514" s="12"/>
      <c r="P514" s="12"/>
      <c r="Q514" s="12"/>
      <c r="R514" s="12"/>
      <c r="S514" s="12"/>
      <c r="T514" s="12"/>
    </row>
    <row r="515">
      <c r="B515" s="12"/>
      <c r="C515" s="12"/>
      <c r="D515" s="12"/>
      <c r="E515" s="12"/>
      <c r="F515" s="12"/>
      <c r="G515" s="12"/>
      <c r="H515" s="12"/>
      <c r="I515" s="12"/>
      <c r="J515" s="12"/>
      <c r="K515" s="12"/>
      <c r="L515" s="12"/>
      <c r="M515" s="12"/>
      <c r="N515" s="12"/>
      <c r="O515" s="12"/>
      <c r="P515" s="12"/>
      <c r="Q515" s="12"/>
      <c r="R515" s="12"/>
      <c r="S515" s="12"/>
      <c r="T515" s="12"/>
    </row>
    <row r="516">
      <c r="B516" s="12"/>
      <c r="C516" s="12"/>
      <c r="D516" s="12"/>
      <c r="E516" s="12"/>
      <c r="F516" s="12"/>
      <c r="G516" s="12"/>
      <c r="H516" s="12"/>
      <c r="I516" s="12"/>
      <c r="J516" s="12"/>
      <c r="K516" s="12"/>
      <c r="L516" s="12"/>
      <c r="M516" s="12"/>
      <c r="N516" s="12"/>
      <c r="O516" s="12"/>
      <c r="P516" s="12"/>
      <c r="Q516" s="12"/>
      <c r="R516" s="12"/>
      <c r="S516" s="12"/>
      <c r="T516" s="12"/>
    </row>
    <row r="517">
      <c r="B517" s="12"/>
      <c r="C517" s="12"/>
      <c r="D517" s="12"/>
      <c r="E517" s="12"/>
      <c r="F517" s="12"/>
      <c r="G517" s="12"/>
      <c r="H517" s="12"/>
      <c r="I517" s="12"/>
      <c r="J517" s="12"/>
      <c r="K517" s="12"/>
      <c r="L517" s="12"/>
      <c r="M517" s="12"/>
      <c r="N517" s="12"/>
      <c r="O517" s="12"/>
      <c r="P517" s="12"/>
      <c r="Q517" s="12"/>
      <c r="R517" s="12"/>
      <c r="S517" s="12"/>
      <c r="T517" s="12"/>
    </row>
    <row r="518">
      <c r="B518" s="12"/>
      <c r="C518" s="12"/>
      <c r="D518" s="12"/>
      <c r="E518" s="12"/>
      <c r="F518" s="12"/>
      <c r="G518" s="12"/>
      <c r="H518" s="12"/>
      <c r="I518" s="12"/>
      <c r="J518" s="12"/>
      <c r="K518" s="12"/>
      <c r="L518" s="12"/>
      <c r="M518" s="12"/>
      <c r="N518" s="12"/>
      <c r="O518" s="12"/>
      <c r="P518" s="12"/>
      <c r="Q518" s="12"/>
      <c r="R518" s="12"/>
      <c r="S518" s="12"/>
      <c r="T518" s="12"/>
    </row>
    <row r="519">
      <c r="B519" s="12"/>
      <c r="C519" s="12"/>
      <c r="D519" s="12"/>
      <c r="E519" s="12"/>
      <c r="F519" s="12"/>
      <c r="G519" s="12"/>
      <c r="H519" s="12"/>
      <c r="I519" s="12"/>
      <c r="J519" s="12"/>
      <c r="K519" s="12"/>
      <c r="L519" s="12"/>
      <c r="M519" s="12"/>
      <c r="N519" s="12"/>
      <c r="O519" s="12"/>
      <c r="P519" s="12"/>
      <c r="Q519" s="12"/>
      <c r="R519" s="12"/>
      <c r="S519" s="12"/>
      <c r="T519" s="12"/>
    </row>
    <row r="520">
      <c r="B520" s="12"/>
      <c r="C520" s="12"/>
      <c r="D520" s="12"/>
      <c r="E520" s="12"/>
      <c r="F520" s="12"/>
      <c r="G520" s="12"/>
      <c r="H520" s="12"/>
      <c r="I520" s="12"/>
      <c r="J520" s="12"/>
      <c r="K520" s="12"/>
      <c r="L520" s="12"/>
      <c r="M520" s="12"/>
      <c r="N520" s="12"/>
      <c r="O520" s="12"/>
      <c r="P520" s="12"/>
      <c r="Q520" s="12"/>
      <c r="R520" s="12"/>
      <c r="S520" s="12"/>
      <c r="T520" s="12"/>
    </row>
    <row r="521">
      <c r="B521" s="12"/>
      <c r="C521" s="12"/>
      <c r="D521" s="12"/>
      <c r="E521" s="12"/>
      <c r="F521" s="12"/>
      <c r="G521" s="12"/>
      <c r="H521" s="12"/>
      <c r="I521" s="12"/>
      <c r="J521" s="12"/>
      <c r="K521" s="12"/>
      <c r="L521" s="12"/>
      <c r="M521" s="12"/>
      <c r="N521" s="12"/>
      <c r="O521" s="12"/>
      <c r="P521" s="12"/>
      <c r="Q521" s="12"/>
      <c r="R521" s="12"/>
      <c r="S521" s="12"/>
      <c r="T521" s="12"/>
    </row>
    <row r="522">
      <c r="B522" s="12"/>
      <c r="C522" s="12"/>
      <c r="D522" s="12"/>
      <c r="E522" s="12"/>
      <c r="F522" s="12"/>
      <c r="G522" s="12"/>
      <c r="H522" s="12"/>
      <c r="I522" s="12"/>
      <c r="J522" s="12"/>
      <c r="K522" s="12"/>
      <c r="L522" s="12"/>
      <c r="M522" s="12"/>
      <c r="N522" s="12"/>
      <c r="O522" s="12"/>
      <c r="P522" s="12"/>
      <c r="Q522" s="12"/>
      <c r="R522" s="12"/>
      <c r="S522" s="12"/>
      <c r="T522" s="12"/>
    </row>
    <row r="523">
      <c r="B523" s="12"/>
      <c r="C523" s="12"/>
      <c r="D523" s="12"/>
      <c r="E523" s="12"/>
      <c r="F523" s="12"/>
      <c r="G523" s="12"/>
      <c r="H523" s="12"/>
      <c r="I523" s="12"/>
      <c r="J523" s="12"/>
      <c r="K523" s="12"/>
      <c r="L523" s="12"/>
      <c r="M523" s="12"/>
      <c r="N523" s="12"/>
      <c r="O523" s="12"/>
      <c r="P523" s="12"/>
      <c r="Q523" s="12"/>
      <c r="R523" s="12"/>
      <c r="S523" s="12"/>
      <c r="T523" s="12"/>
    </row>
    <row r="524">
      <c r="B524" s="12"/>
      <c r="C524" s="12"/>
      <c r="D524" s="12"/>
      <c r="E524" s="12"/>
      <c r="F524" s="12"/>
      <c r="G524" s="12"/>
      <c r="H524" s="12"/>
      <c r="I524" s="12"/>
      <c r="J524" s="12"/>
      <c r="K524" s="12"/>
      <c r="L524" s="12"/>
      <c r="M524" s="12"/>
      <c r="N524" s="12"/>
      <c r="O524" s="12"/>
      <c r="P524" s="12"/>
      <c r="Q524" s="12"/>
      <c r="R524" s="12"/>
      <c r="S524" s="12"/>
      <c r="T524" s="12"/>
    </row>
    <row r="525">
      <c r="B525" s="12"/>
      <c r="C525" s="12"/>
      <c r="D525" s="12"/>
      <c r="E525" s="12"/>
      <c r="F525" s="12"/>
      <c r="G525" s="12"/>
      <c r="H525" s="12"/>
      <c r="I525" s="12"/>
      <c r="J525" s="12"/>
      <c r="K525" s="12"/>
      <c r="L525" s="12"/>
      <c r="M525" s="12"/>
      <c r="N525" s="12"/>
      <c r="O525" s="12"/>
      <c r="P525" s="12"/>
      <c r="Q525" s="12"/>
      <c r="R525" s="12"/>
      <c r="S525" s="12"/>
      <c r="T525" s="12"/>
    </row>
    <row r="526">
      <c r="B526" s="12"/>
      <c r="C526" s="12"/>
      <c r="D526" s="12"/>
      <c r="E526" s="12"/>
      <c r="F526" s="12"/>
      <c r="G526" s="12"/>
      <c r="H526" s="12"/>
      <c r="I526" s="12"/>
      <c r="J526" s="12"/>
      <c r="K526" s="12"/>
      <c r="L526" s="12"/>
      <c r="M526" s="12"/>
      <c r="N526" s="12"/>
      <c r="O526" s="12"/>
      <c r="P526" s="12"/>
      <c r="Q526" s="12"/>
      <c r="R526" s="12"/>
      <c r="S526" s="12"/>
      <c r="T526" s="12"/>
    </row>
    <row r="527">
      <c r="B527" s="12"/>
      <c r="C527" s="12"/>
      <c r="D527" s="12"/>
      <c r="E527" s="12"/>
      <c r="F527" s="12"/>
      <c r="G527" s="12"/>
      <c r="H527" s="12"/>
      <c r="I527" s="12"/>
      <c r="J527" s="12"/>
      <c r="K527" s="12"/>
      <c r="L527" s="12"/>
      <c r="M527" s="12"/>
      <c r="N527" s="12"/>
      <c r="O527" s="12"/>
      <c r="P527" s="12"/>
      <c r="Q527" s="12"/>
      <c r="R527" s="12"/>
      <c r="S527" s="12"/>
      <c r="T527" s="12"/>
    </row>
    <row r="528">
      <c r="B528" s="12"/>
      <c r="C528" s="12"/>
      <c r="D528" s="12"/>
      <c r="E528" s="12"/>
      <c r="F528" s="12"/>
      <c r="G528" s="12"/>
      <c r="H528" s="12"/>
      <c r="I528" s="12"/>
      <c r="J528" s="12"/>
      <c r="K528" s="12"/>
      <c r="L528" s="12"/>
      <c r="M528" s="12"/>
      <c r="N528" s="12"/>
      <c r="O528" s="12"/>
      <c r="P528" s="12"/>
      <c r="Q528" s="12"/>
      <c r="R528" s="12"/>
      <c r="S528" s="12"/>
      <c r="T528" s="12"/>
    </row>
    <row r="529">
      <c r="B529" s="12"/>
      <c r="C529" s="12"/>
      <c r="D529" s="12"/>
      <c r="E529" s="12"/>
      <c r="F529" s="12"/>
      <c r="G529" s="12"/>
      <c r="H529" s="12"/>
      <c r="I529" s="12"/>
      <c r="J529" s="12"/>
      <c r="K529" s="12"/>
      <c r="L529" s="12"/>
      <c r="M529" s="12"/>
      <c r="N529" s="12"/>
      <c r="O529" s="12"/>
      <c r="P529" s="12"/>
      <c r="Q529" s="12"/>
      <c r="R529" s="12"/>
      <c r="S529" s="12"/>
      <c r="T529" s="12"/>
    </row>
    <row r="530">
      <c r="B530" s="12"/>
      <c r="C530" s="12"/>
      <c r="D530" s="12"/>
      <c r="E530" s="12"/>
      <c r="F530" s="12"/>
      <c r="G530" s="12"/>
      <c r="H530" s="12"/>
      <c r="I530" s="12"/>
      <c r="J530" s="12"/>
      <c r="K530" s="12"/>
      <c r="L530" s="12"/>
      <c r="M530" s="12"/>
      <c r="N530" s="12"/>
      <c r="O530" s="12"/>
      <c r="P530" s="12"/>
      <c r="Q530" s="12"/>
      <c r="R530" s="12"/>
      <c r="S530" s="12"/>
      <c r="T530" s="12"/>
    </row>
    <row r="531">
      <c r="B531" s="12"/>
      <c r="C531" s="12"/>
      <c r="D531" s="12"/>
      <c r="E531" s="12"/>
      <c r="F531" s="12"/>
      <c r="G531" s="12"/>
      <c r="H531" s="12"/>
      <c r="I531" s="12"/>
      <c r="J531" s="12"/>
      <c r="K531" s="12"/>
      <c r="L531" s="12"/>
      <c r="M531" s="12"/>
      <c r="N531" s="12"/>
      <c r="O531" s="12"/>
      <c r="P531" s="12"/>
      <c r="Q531" s="12"/>
      <c r="R531" s="12"/>
      <c r="S531" s="12"/>
      <c r="T531" s="12"/>
    </row>
    <row r="532">
      <c r="B532" s="12"/>
      <c r="C532" s="12"/>
      <c r="D532" s="12"/>
      <c r="E532" s="12"/>
      <c r="F532" s="12"/>
      <c r="G532" s="12"/>
      <c r="H532" s="12"/>
      <c r="I532" s="12"/>
      <c r="J532" s="12"/>
      <c r="K532" s="12"/>
      <c r="L532" s="12"/>
      <c r="M532" s="12"/>
      <c r="N532" s="12"/>
      <c r="O532" s="12"/>
      <c r="P532" s="12"/>
      <c r="Q532" s="12"/>
      <c r="R532" s="12"/>
      <c r="S532" s="12"/>
      <c r="T532" s="12"/>
    </row>
    <row r="533">
      <c r="B533" s="12"/>
      <c r="C533" s="12"/>
      <c r="D533" s="12"/>
      <c r="E533" s="12"/>
      <c r="F533" s="12"/>
      <c r="G533" s="12"/>
      <c r="H533" s="12"/>
      <c r="I533" s="12"/>
      <c r="J533" s="12"/>
      <c r="K533" s="12"/>
      <c r="L533" s="12"/>
      <c r="M533" s="12"/>
      <c r="N533" s="12"/>
      <c r="O533" s="12"/>
      <c r="P533" s="12"/>
      <c r="Q533" s="12"/>
      <c r="R533" s="12"/>
      <c r="S533" s="12"/>
      <c r="T533" s="12"/>
    </row>
    <row r="534">
      <c r="B534" s="12"/>
      <c r="C534" s="12"/>
      <c r="D534" s="12"/>
      <c r="E534" s="12"/>
      <c r="F534" s="12"/>
      <c r="G534" s="12"/>
      <c r="H534" s="12"/>
      <c r="I534" s="12"/>
      <c r="J534" s="12"/>
      <c r="K534" s="12"/>
      <c r="L534" s="12"/>
      <c r="M534" s="12"/>
      <c r="N534" s="12"/>
      <c r="O534" s="12"/>
      <c r="P534" s="12"/>
      <c r="Q534" s="12"/>
      <c r="R534" s="12"/>
      <c r="S534" s="12"/>
      <c r="T534" s="12"/>
    </row>
    <row r="535">
      <c r="B535" s="12"/>
      <c r="C535" s="12"/>
      <c r="D535" s="12"/>
      <c r="E535" s="12"/>
      <c r="F535" s="12"/>
      <c r="G535" s="12"/>
      <c r="H535" s="12"/>
      <c r="I535" s="12"/>
      <c r="J535" s="12"/>
      <c r="K535" s="12"/>
      <c r="L535" s="12"/>
      <c r="M535" s="12"/>
      <c r="N535" s="12"/>
      <c r="O535" s="12"/>
      <c r="P535" s="12"/>
      <c r="Q535" s="12"/>
      <c r="R535" s="12"/>
      <c r="S535" s="12"/>
      <c r="T535" s="12"/>
    </row>
    <row r="536">
      <c r="B536" s="12"/>
      <c r="C536" s="12"/>
      <c r="D536" s="12"/>
      <c r="E536" s="12"/>
      <c r="F536" s="12"/>
      <c r="G536" s="12"/>
      <c r="H536" s="12"/>
      <c r="I536" s="12"/>
      <c r="J536" s="12"/>
      <c r="K536" s="12"/>
      <c r="L536" s="12"/>
      <c r="M536" s="12"/>
      <c r="N536" s="12"/>
      <c r="O536" s="12"/>
      <c r="P536" s="12"/>
      <c r="Q536" s="12"/>
      <c r="R536" s="12"/>
      <c r="S536" s="12"/>
      <c r="T536" s="12"/>
    </row>
    <row r="537">
      <c r="B537" s="12"/>
      <c r="C537" s="12"/>
      <c r="D537" s="12"/>
      <c r="E537" s="12"/>
      <c r="F537" s="12"/>
      <c r="G537" s="12"/>
      <c r="H537" s="12"/>
      <c r="I537" s="12"/>
      <c r="J537" s="12"/>
      <c r="K537" s="12"/>
      <c r="L537" s="12"/>
      <c r="M537" s="12"/>
      <c r="N537" s="12"/>
      <c r="O537" s="12"/>
      <c r="P537" s="12"/>
      <c r="Q537" s="12"/>
      <c r="R537" s="12"/>
      <c r="S537" s="12"/>
      <c r="T537" s="12"/>
    </row>
    <row r="538">
      <c r="B538" s="12"/>
      <c r="C538" s="12"/>
      <c r="D538" s="12"/>
      <c r="E538" s="12"/>
      <c r="F538" s="12"/>
      <c r="G538" s="12"/>
      <c r="H538" s="12"/>
      <c r="I538" s="12"/>
      <c r="J538" s="12"/>
      <c r="K538" s="12"/>
      <c r="L538" s="12"/>
      <c r="M538" s="12"/>
      <c r="N538" s="12"/>
      <c r="O538" s="12"/>
      <c r="P538" s="12"/>
      <c r="Q538" s="12"/>
      <c r="R538" s="12"/>
      <c r="S538" s="12"/>
      <c r="T538" s="12"/>
    </row>
    <row r="539">
      <c r="B539" s="12"/>
      <c r="C539" s="12"/>
      <c r="D539" s="12"/>
      <c r="E539" s="12"/>
      <c r="F539" s="12"/>
      <c r="G539" s="12"/>
      <c r="H539" s="12"/>
      <c r="I539" s="12"/>
      <c r="J539" s="12"/>
      <c r="K539" s="12"/>
      <c r="L539" s="12"/>
      <c r="M539" s="12"/>
      <c r="N539" s="12"/>
      <c r="O539" s="12"/>
      <c r="P539" s="12"/>
      <c r="Q539" s="12"/>
      <c r="R539" s="12"/>
      <c r="S539" s="12"/>
      <c r="T539" s="12"/>
    </row>
    <row r="540">
      <c r="B540" s="12"/>
      <c r="C540" s="12"/>
      <c r="D540" s="12"/>
      <c r="E540" s="12"/>
      <c r="F540" s="12"/>
      <c r="G540" s="12"/>
      <c r="H540" s="12"/>
      <c r="I540" s="12"/>
      <c r="J540" s="12"/>
      <c r="K540" s="12"/>
      <c r="L540" s="12"/>
      <c r="M540" s="12"/>
      <c r="N540" s="12"/>
      <c r="O540" s="12"/>
      <c r="P540" s="12"/>
      <c r="Q540" s="12"/>
      <c r="R540" s="12"/>
      <c r="S540" s="12"/>
      <c r="T540" s="12"/>
    </row>
    <row r="541">
      <c r="B541" s="12"/>
      <c r="C541" s="12"/>
      <c r="D541" s="12"/>
      <c r="E541" s="12"/>
      <c r="F541" s="12"/>
      <c r="G541" s="12"/>
      <c r="H541" s="12"/>
      <c r="I541" s="12"/>
      <c r="J541" s="12"/>
      <c r="K541" s="12"/>
      <c r="L541" s="12"/>
      <c r="M541" s="12"/>
      <c r="N541" s="12"/>
      <c r="O541" s="12"/>
      <c r="P541" s="12"/>
      <c r="Q541" s="12"/>
      <c r="R541" s="12"/>
      <c r="S541" s="12"/>
      <c r="T541" s="12"/>
    </row>
    <row r="542">
      <c r="B542" s="12"/>
      <c r="C542" s="12"/>
      <c r="D542" s="12"/>
      <c r="E542" s="12"/>
      <c r="F542" s="12"/>
      <c r="G542" s="12"/>
      <c r="H542" s="12"/>
      <c r="I542" s="12"/>
      <c r="J542" s="12"/>
      <c r="K542" s="12"/>
      <c r="L542" s="12"/>
      <c r="M542" s="12"/>
      <c r="N542" s="12"/>
      <c r="O542" s="12"/>
      <c r="P542" s="12"/>
      <c r="Q542" s="12"/>
      <c r="R542" s="12"/>
      <c r="S542" s="12"/>
      <c r="T542" s="12"/>
    </row>
    <row r="543">
      <c r="B543" s="12"/>
      <c r="C543" s="12"/>
      <c r="D543" s="12"/>
      <c r="E543" s="12"/>
      <c r="F543" s="12"/>
      <c r="G543" s="12"/>
      <c r="H543" s="12"/>
      <c r="I543" s="12"/>
      <c r="J543" s="12"/>
      <c r="K543" s="12"/>
      <c r="L543" s="12"/>
      <c r="M543" s="12"/>
      <c r="N543" s="12"/>
      <c r="O543" s="12"/>
      <c r="P543" s="12"/>
      <c r="Q543" s="12"/>
      <c r="R543" s="12"/>
      <c r="S543" s="12"/>
      <c r="T543" s="12"/>
    </row>
    <row r="544">
      <c r="B544" s="12"/>
      <c r="C544" s="12"/>
      <c r="D544" s="12"/>
      <c r="E544" s="12"/>
      <c r="F544" s="12"/>
      <c r="G544" s="12"/>
      <c r="H544" s="12"/>
      <c r="I544" s="12"/>
      <c r="J544" s="12"/>
      <c r="K544" s="12"/>
      <c r="L544" s="12"/>
      <c r="M544" s="12"/>
      <c r="N544" s="12"/>
      <c r="O544" s="12"/>
      <c r="P544" s="12"/>
      <c r="Q544" s="12"/>
      <c r="R544" s="12"/>
      <c r="S544" s="12"/>
      <c r="T544" s="12"/>
    </row>
    <row r="545">
      <c r="B545" s="12"/>
      <c r="C545" s="12"/>
      <c r="D545" s="12"/>
      <c r="E545" s="12"/>
      <c r="F545" s="12"/>
      <c r="G545" s="12"/>
      <c r="H545" s="12"/>
      <c r="I545" s="12"/>
      <c r="J545" s="12"/>
      <c r="K545" s="12"/>
      <c r="L545" s="12"/>
      <c r="M545" s="12"/>
      <c r="N545" s="12"/>
      <c r="O545" s="12"/>
      <c r="P545" s="12"/>
      <c r="Q545" s="12"/>
      <c r="R545" s="12"/>
      <c r="S545" s="12"/>
      <c r="T545" s="12"/>
    </row>
    <row r="546">
      <c r="B546" s="12"/>
      <c r="C546" s="12"/>
      <c r="D546" s="12"/>
      <c r="E546" s="12"/>
      <c r="F546" s="12"/>
      <c r="G546" s="12"/>
      <c r="H546" s="12"/>
      <c r="I546" s="12"/>
      <c r="J546" s="12"/>
      <c r="K546" s="12"/>
      <c r="L546" s="12"/>
      <c r="M546" s="12"/>
      <c r="N546" s="12"/>
      <c r="O546" s="12"/>
      <c r="P546" s="12"/>
      <c r="Q546" s="12"/>
      <c r="R546" s="12"/>
      <c r="S546" s="12"/>
      <c r="T546" s="12"/>
    </row>
    <row r="547">
      <c r="B547" s="12"/>
      <c r="C547" s="12"/>
      <c r="D547" s="12"/>
      <c r="E547" s="12"/>
      <c r="F547" s="12"/>
      <c r="G547" s="12"/>
      <c r="H547" s="12"/>
      <c r="I547" s="12"/>
      <c r="J547" s="12"/>
      <c r="K547" s="12"/>
      <c r="L547" s="12"/>
      <c r="M547" s="12"/>
      <c r="N547" s="12"/>
      <c r="O547" s="12"/>
      <c r="P547" s="12"/>
      <c r="Q547" s="12"/>
      <c r="R547" s="12"/>
      <c r="S547" s="12"/>
      <c r="T547" s="12"/>
    </row>
    <row r="548">
      <c r="B548" s="12"/>
      <c r="C548" s="12"/>
      <c r="D548" s="12"/>
      <c r="E548" s="12"/>
      <c r="F548" s="12"/>
      <c r="G548" s="12"/>
      <c r="H548" s="12"/>
      <c r="I548" s="12"/>
      <c r="J548" s="12"/>
      <c r="K548" s="12"/>
      <c r="L548" s="12"/>
      <c r="M548" s="12"/>
      <c r="N548" s="12"/>
      <c r="O548" s="12"/>
      <c r="P548" s="12"/>
      <c r="Q548" s="12"/>
      <c r="R548" s="12"/>
      <c r="S548" s="12"/>
      <c r="T548" s="12"/>
    </row>
    <row r="549">
      <c r="B549" s="12"/>
      <c r="C549" s="12"/>
      <c r="D549" s="12"/>
      <c r="E549" s="12"/>
      <c r="F549" s="12"/>
      <c r="G549" s="12"/>
      <c r="H549" s="12"/>
      <c r="I549" s="12"/>
      <c r="J549" s="12"/>
      <c r="K549" s="12"/>
      <c r="L549" s="12"/>
      <c r="M549" s="12"/>
      <c r="N549" s="12"/>
      <c r="O549" s="12"/>
      <c r="P549" s="12"/>
      <c r="Q549" s="12"/>
      <c r="R549" s="12"/>
      <c r="S549" s="12"/>
      <c r="T549" s="12"/>
    </row>
    <row r="550">
      <c r="B550" s="12"/>
      <c r="C550" s="12"/>
      <c r="D550" s="12"/>
      <c r="E550" s="12"/>
      <c r="F550" s="12"/>
      <c r="G550" s="12"/>
      <c r="H550" s="12"/>
      <c r="I550" s="12"/>
      <c r="J550" s="12"/>
      <c r="K550" s="12"/>
      <c r="L550" s="12"/>
      <c r="M550" s="12"/>
      <c r="N550" s="12"/>
      <c r="O550" s="12"/>
      <c r="P550" s="12"/>
      <c r="Q550" s="12"/>
      <c r="R550" s="12"/>
      <c r="S550" s="12"/>
      <c r="T550" s="12"/>
    </row>
    <row r="551">
      <c r="B551" s="12"/>
      <c r="C551" s="12"/>
      <c r="D551" s="12"/>
      <c r="E551" s="12"/>
      <c r="F551" s="12"/>
      <c r="G551" s="12"/>
      <c r="H551" s="12"/>
      <c r="I551" s="12"/>
      <c r="J551" s="12"/>
      <c r="K551" s="12"/>
      <c r="L551" s="12"/>
      <c r="M551" s="12"/>
      <c r="N551" s="12"/>
      <c r="O551" s="12"/>
      <c r="P551" s="12"/>
      <c r="Q551" s="12"/>
      <c r="R551" s="12"/>
      <c r="S551" s="12"/>
      <c r="T551" s="12"/>
    </row>
    <row r="552">
      <c r="B552" s="12"/>
      <c r="C552" s="12"/>
      <c r="D552" s="12"/>
      <c r="E552" s="12"/>
      <c r="F552" s="12"/>
      <c r="G552" s="12"/>
      <c r="H552" s="12"/>
      <c r="I552" s="12"/>
      <c r="J552" s="12"/>
      <c r="K552" s="12"/>
      <c r="L552" s="12"/>
      <c r="M552" s="12"/>
      <c r="N552" s="12"/>
      <c r="O552" s="12"/>
      <c r="P552" s="12"/>
      <c r="Q552" s="12"/>
      <c r="R552" s="12"/>
      <c r="S552" s="12"/>
      <c r="T552" s="12"/>
    </row>
    <row r="553">
      <c r="B553" s="12"/>
      <c r="C553" s="12"/>
      <c r="D553" s="12"/>
      <c r="E553" s="12"/>
      <c r="F553" s="12"/>
      <c r="G553" s="12"/>
      <c r="H553" s="12"/>
      <c r="I553" s="12"/>
      <c r="J553" s="12"/>
      <c r="K553" s="12"/>
      <c r="L553" s="12"/>
      <c r="M553" s="12"/>
      <c r="N553" s="12"/>
      <c r="O553" s="12"/>
      <c r="P553" s="12"/>
      <c r="Q553" s="12"/>
      <c r="R553" s="12"/>
      <c r="S553" s="12"/>
      <c r="T553" s="12"/>
    </row>
    <row r="554">
      <c r="B554" s="12"/>
      <c r="C554" s="12"/>
      <c r="D554" s="12"/>
      <c r="E554" s="12"/>
      <c r="F554" s="12"/>
      <c r="G554" s="12"/>
      <c r="H554" s="12"/>
      <c r="I554" s="12"/>
      <c r="J554" s="12"/>
      <c r="K554" s="12"/>
      <c r="L554" s="12"/>
      <c r="M554" s="12"/>
      <c r="N554" s="12"/>
      <c r="O554" s="12"/>
      <c r="P554" s="12"/>
      <c r="Q554" s="12"/>
      <c r="R554" s="12"/>
      <c r="S554" s="12"/>
      <c r="T554" s="12"/>
    </row>
    <row r="555">
      <c r="B555" s="12"/>
      <c r="C555" s="12"/>
      <c r="D555" s="12"/>
      <c r="E555" s="12"/>
      <c r="F555" s="12"/>
      <c r="G555" s="12"/>
      <c r="H555" s="12"/>
      <c r="I555" s="12"/>
      <c r="J555" s="12"/>
      <c r="K555" s="12"/>
      <c r="L555" s="12"/>
      <c r="M555" s="12"/>
      <c r="N555" s="12"/>
      <c r="O555" s="12"/>
      <c r="P555" s="12"/>
      <c r="Q555" s="12"/>
      <c r="R555" s="12"/>
      <c r="S555" s="12"/>
      <c r="T555" s="12"/>
    </row>
    <row r="556">
      <c r="B556" s="12"/>
      <c r="C556" s="12"/>
      <c r="D556" s="12"/>
      <c r="E556" s="12"/>
      <c r="F556" s="12"/>
      <c r="G556" s="12"/>
      <c r="H556" s="12"/>
      <c r="I556" s="12"/>
      <c r="J556" s="12"/>
      <c r="K556" s="12"/>
      <c r="L556" s="12"/>
      <c r="M556" s="12"/>
      <c r="N556" s="12"/>
      <c r="O556" s="12"/>
      <c r="P556" s="12"/>
      <c r="Q556" s="12"/>
      <c r="R556" s="12"/>
      <c r="S556" s="12"/>
      <c r="T556" s="12"/>
    </row>
    <row r="557">
      <c r="B557" s="12"/>
      <c r="C557" s="12"/>
      <c r="D557" s="12"/>
      <c r="E557" s="12"/>
      <c r="F557" s="12"/>
      <c r="G557" s="12"/>
      <c r="H557" s="12"/>
      <c r="I557" s="12"/>
      <c r="J557" s="12"/>
      <c r="K557" s="12"/>
      <c r="L557" s="12"/>
      <c r="M557" s="12"/>
      <c r="N557" s="12"/>
      <c r="O557" s="12"/>
      <c r="P557" s="12"/>
      <c r="Q557" s="12"/>
      <c r="R557" s="12"/>
      <c r="S557" s="12"/>
      <c r="T557" s="12"/>
    </row>
    <row r="558">
      <c r="B558" s="12"/>
      <c r="C558" s="12"/>
      <c r="D558" s="12"/>
      <c r="E558" s="12"/>
      <c r="F558" s="12"/>
      <c r="G558" s="12"/>
      <c r="H558" s="12"/>
      <c r="I558" s="12"/>
      <c r="J558" s="12"/>
      <c r="K558" s="12"/>
      <c r="L558" s="12"/>
      <c r="M558" s="12"/>
      <c r="N558" s="12"/>
      <c r="O558" s="12"/>
      <c r="P558" s="12"/>
      <c r="Q558" s="12"/>
      <c r="R558" s="12"/>
      <c r="S558" s="12"/>
      <c r="T558" s="12"/>
    </row>
    <row r="559">
      <c r="B559" s="12"/>
      <c r="C559" s="12"/>
      <c r="D559" s="12"/>
      <c r="E559" s="12"/>
      <c r="F559" s="12"/>
      <c r="G559" s="12"/>
      <c r="H559" s="12"/>
      <c r="I559" s="12"/>
      <c r="J559" s="12"/>
      <c r="K559" s="12"/>
      <c r="L559" s="12"/>
      <c r="M559" s="12"/>
      <c r="N559" s="12"/>
      <c r="O559" s="12"/>
      <c r="P559" s="12"/>
      <c r="Q559" s="12"/>
      <c r="R559" s="12"/>
      <c r="S559" s="12"/>
      <c r="T559" s="12"/>
    </row>
    <row r="560">
      <c r="B560" s="12"/>
      <c r="C560" s="12"/>
      <c r="D560" s="12"/>
      <c r="E560" s="12"/>
      <c r="F560" s="12"/>
      <c r="G560" s="12"/>
      <c r="H560" s="12"/>
      <c r="I560" s="12"/>
      <c r="J560" s="12"/>
      <c r="K560" s="12"/>
      <c r="L560" s="12"/>
      <c r="M560" s="12"/>
      <c r="N560" s="12"/>
      <c r="O560" s="12"/>
      <c r="P560" s="12"/>
      <c r="Q560" s="12"/>
      <c r="R560" s="12"/>
      <c r="S560" s="12"/>
      <c r="T560" s="12"/>
    </row>
    <row r="561">
      <c r="B561" s="12"/>
      <c r="C561" s="12"/>
      <c r="D561" s="12"/>
      <c r="E561" s="12"/>
      <c r="F561" s="12"/>
      <c r="G561" s="12"/>
      <c r="H561" s="12"/>
      <c r="I561" s="12"/>
      <c r="J561" s="12"/>
      <c r="K561" s="12"/>
      <c r="L561" s="12"/>
      <c r="M561" s="12"/>
      <c r="N561" s="12"/>
      <c r="O561" s="12"/>
      <c r="P561" s="12"/>
      <c r="Q561" s="12"/>
      <c r="R561" s="12"/>
      <c r="S561" s="12"/>
      <c r="T561" s="12"/>
    </row>
    <row r="562">
      <c r="B562" s="12"/>
      <c r="C562" s="12"/>
      <c r="D562" s="12"/>
      <c r="E562" s="12"/>
      <c r="F562" s="12"/>
      <c r="G562" s="12"/>
      <c r="H562" s="12"/>
      <c r="I562" s="12"/>
      <c r="J562" s="12"/>
      <c r="K562" s="12"/>
      <c r="L562" s="12"/>
      <c r="M562" s="12"/>
      <c r="N562" s="12"/>
      <c r="O562" s="12"/>
      <c r="P562" s="12"/>
      <c r="Q562" s="12"/>
      <c r="R562" s="12"/>
      <c r="S562" s="12"/>
      <c r="T562" s="12"/>
    </row>
    <row r="563">
      <c r="B563" s="12"/>
      <c r="C563" s="12"/>
      <c r="D563" s="12"/>
      <c r="E563" s="12"/>
      <c r="F563" s="12"/>
      <c r="G563" s="12"/>
      <c r="H563" s="12"/>
      <c r="I563" s="12"/>
      <c r="J563" s="12"/>
      <c r="K563" s="12"/>
      <c r="L563" s="12"/>
      <c r="M563" s="12"/>
      <c r="N563" s="12"/>
      <c r="O563" s="12"/>
      <c r="P563" s="12"/>
      <c r="Q563" s="12"/>
      <c r="R563" s="12"/>
      <c r="S563" s="12"/>
      <c r="T563" s="12"/>
    </row>
    <row r="564">
      <c r="B564" s="12"/>
      <c r="C564" s="12"/>
      <c r="D564" s="12"/>
      <c r="E564" s="12"/>
      <c r="F564" s="12"/>
      <c r="G564" s="12"/>
      <c r="H564" s="12"/>
      <c r="I564" s="12"/>
      <c r="J564" s="12"/>
      <c r="K564" s="12"/>
      <c r="L564" s="12"/>
      <c r="M564" s="12"/>
      <c r="N564" s="12"/>
      <c r="O564" s="12"/>
      <c r="P564" s="12"/>
      <c r="Q564" s="12"/>
      <c r="R564" s="12"/>
      <c r="S564" s="12"/>
      <c r="T564" s="12"/>
    </row>
    <row r="565">
      <c r="B565" s="12"/>
      <c r="C565" s="12"/>
      <c r="D565" s="12"/>
      <c r="E565" s="12"/>
      <c r="F565" s="12"/>
      <c r="G565" s="12"/>
      <c r="H565" s="12"/>
      <c r="I565" s="12"/>
      <c r="J565" s="12"/>
      <c r="K565" s="12"/>
      <c r="L565" s="12"/>
      <c r="M565" s="12"/>
      <c r="N565" s="12"/>
      <c r="O565" s="12"/>
      <c r="P565" s="12"/>
      <c r="Q565" s="12"/>
      <c r="R565" s="12"/>
      <c r="S565" s="12"/>
      <c r="T565" s="12"/>
    </row>
    <row r="566">
      <c r="B566" s="12"/>
      <c r="C566" s="12"/>
      <c r="D566" s="12"/>
      <c r="E566" s="12"/>
      <c r="F566" s="12"/>
      <c r="G566" s="12"/>
      <c r="H566" s="12"/>
      <c r="I566" s="12"/>
      <c r="J566" s="12"/>
      <c r="K566" s="12"/>
      <c r="L566" s="12"/>
      <c r="M566" s="12"/>
      <c r="N566" s="12"/>
      <c r="O566" s="12"/>
      <c r="P566" s="12"/>
      <c r="Q566" s="12"/>
      <c r="R566" s="12"/>
      <c r="S566" s="12"/>
      <c r="T566" s="12"/>
    </row>
    <row r="567">
      <c r="B567" s="12"/>
      <c r="C567" s="12"/>
      <c r="D567" s="12"/>
      <c r="E567" s="12"/>
      <c r="F567" s="12"/>
      <c r="G567" s="12"/>
      <c r="H567" s="12"/>
      <c r="I567" s="12"/>
      <c r="J567" s="12"/>
      <c r="K567" s="12"/>
      <c r="L567" s="12"/>
      <c r="M567" s="12"/>
      <c r="N567" s="12"/>
      <c r="O567" s="12"/>
      <c r="P567" s="12"/>
      <c r="Q567" s="12"/>
      <c r="R567" s="12"/>
      <c r="S567" s="12"/>
      <c r="T567" s="12"/>
    </row>
    <row r="568">
      <c r="B568" s="12"/>
      <c r="C568" s="12"/>
      <c r="D568" s="12"/>
      <c r="E568" s="12"/>
      <c r="F568" s="12"/>
      <c r="G568" s="12"/>
      <c r="H568" s="12"/>
      <c r="I568" s="12"/>
      <c r="J568" s="12"/>
      <c r="K568" s="12"/>
      <c r="L568" s="12"/>
      <c r="M568" s="12"/>
      <c r="N568" s="12"/>
      <c r="O568" s="12"/>
      <c r="P568" s="12"/>
      <c r="Q568" s="12"/>
      <c r="R568" s="12"/>
      <c r="S568" s="12"/>
      <c r="T568" s="12"/>
    </row>
    <row r="569">
      <c r="B569" s="12"/>
      <c r="C569" s="12"/>
      <c r="D569" s="12"/>
      <c r="E569" s="12"/>
      <c r="F569" s="12"/>
      <c r="G569" s="12"/>
      <c r="H569" s="12"/>
      <c r="I569" s="12"/>
      <c r="J569" s="12"/>
      <c r="K569" s="12"/>
      <c r="L569" s="12"/>
      <c r="M569" s="12"/>
      <c r="N569" s="12"/>
      <c r="O569" s="12"/>
      <c r="P569" s="12"/>
      <c r="Q569" s="12"/>
      <c r="R569" s="12"/>
      <c r="S569" s="12"/>
      <c r="T569" s="12"/>
    </row>
    <row r="570">
      <c r="B570" s="12"/>
      <c r="C570" s="12"/>
      <c r="D570" s="12"/>
      <c r="E570" s="12"/>
      <c r="F570" s="12"/>
      <c r="G570" s="12"/>
      <c r="H570" s="12"/>
      <c r="I570" s="12"/>
      <c r="J570" s="12"/>
      <c r="K570" s="12"/>
      <c r="L570" s="12"/>
      <c r="M570" s="12"/>
      <c r="N570" s="12"/>
      <c r="O570" s="12"/>
      <c r="P570" s="12"/>
      <c r="Q570" s="12"/>
      <c r="R570" s="12"/>
      <c r="S570" s="12"/>
      <c r="T570" s="12"/>
    </row>
    <row r="571">
      <c r="B571" s="12"/>
      <c r="C571" s="12"/>
      <c r="D571" s="12"/>
      <c r="E571" s="12"/>
      <c r="F571" s="12"/>
      <c r="G571" s="12"/>
      <c r="H571" s="12"/>
      <c r="I571" s="12"/>
      <c r="J571" s="12"/>
      <c r="K571" s="12"/>
      <c r="L571" s="12"/>
      <c r="M571" s="12"/>
      <c r="N571" s="12"/>
      <c r="O571" s="12"/>
      <c r="P571" s="12"/>
      <c r="Q571" s="12"/>
      <c r="R571" s="12"/>
      <c r="S571" s="12"/>
      <c r="T571" s="12"/>
    </row>
    <row r="572">
      <c r="B572" s="12"/>
      <c r="C572" s="12"/>
      <c r="D572" s="12"/>
      <c r="E572" s="12"/>
      <c r="F572" s="12"/>
      <c r="G572" s="12"/>
      <c r="H572" s="12"/>
      <c r="I572" s="12"/>
      <c r="J572" s="12"/>
      <c r="K572" s="12"/>
      <c r="L572" s="12"/>
      <c r="M572" s="12"/>
      <c r="N572" s="12"/>
      <c r="O572" s="12"/>
      <c r="P572" s="12"/>
      <c r="Q572" s="12"/>
      <c r="R572" s="12"/>
      <c r="S572" s="12"/>
      <c r="T572" s="12"/>
    </row>
    <row r="573">
      <c r="B573" s="12"/>
      <c r="C573" s="12"/>
      <c r="D573" s="12"/>
      <c r="E573" s="12"/>
      <c r="F573" s="12"/>
      <c r="G573" s="12"/>
      <c r="H573" s="12"/>
      <c r="I573" s="12"/>
      <c r="J573" s="12"/>
      <c r="K573" s="12"/>
      <c r="L573" s="12"/>
      <c r="M573" s="12"/>
      <c r="N573" s="12"/>
      <c r="O573" s="12"/>
      <c r="P573" s="12"/>
      <c r="Q573" s="12"/>
      <c r="R573" s="12"/>
      <c r="S573" s="12"/>
      <c r="T573" s="12"/>
    </row>
    <row r="574">
      <c r="B574" s="12"/>
      <c r="C574" s="12"/>
      <c r="D574" s="12"/>
      <c r="E574" s="12"/>
      <c r="F574" s="12"/>
      <c r="G574" s="12"/>
      <c r="H574" s="12"/>
      <c r="I574" s="12"/>
      <c r="J574" s="12"/>
      <c r="K574" s="12"/>
      <c r="L574" s="12"/>
      <c r="M574" s="12"/>
      <c r="N574" s="12"/>
      <c r="O574" s="12"/>
      <c r="P574" s="12"/>
      <c r="Q574" s="12"/>
      <c r="R574" s="12"/>
      <c r="S574" s="12"/>
      <c r="T574" s="12"/>
    </row>
    <row r="575">
      <c r="B575" s="12"/>
      <c r="C575" s="12"/>
      <c r="D575" s="12"/>
      <c r="E575" s="12"/>
      <c r="F575" s="12"/>
      <c r="G575" s="12"/>
      <c r="H575" s="12"/>
      <c r="I575" s="12"/>
      <c r="J575" s="12"/>
      <c r="K575" s="12"/>
      <c r="L575" s="12"/>
      <c r="M575" s="12"/>
      <c r="N575" s="12"/>
      <c r="O575" s="12"/>
      <c r="P575" s="12"/>
      <c r="Q575" s="12"/>
      <c r="R575" s="12"/>
      <c r="S575" s="12"/>
      <c r="T575" s="12"/>
    </row>
    <row r="576">
      <c r="B576" s="12"/>
      <c r="C576" s="12"/>
      <c r="D576" s="12"/>
      <c r="E576" s="12"/>
      <c r="F576" s="12"/>
      <c r="G576" s="12"/>
      <c r="H576" s="12"/>
      <c r="I576" s="12"/>
      <c r="J576" s="12"/>
      <c r="K576" s="12"/>
      <c r="L576" s="12"/>
      <c r="M576" s="12"/>
      <c r="N576" s="12"/>
      <c r="O576" s="12"/>
      <c r="P576" s="12"/>
      <c r="Q576" s="12"/>
      <c r="R576" s="12"/>
      <c r="S576" s="12"/>
      <c r="T576" s="12"/>
    </row>
    <row r="577">
      <c r="B577" s="12"/>
      <c r="C577" s="12"/>
      <c r="D577" s="12"/>
      <c r="E577" s="12"/>
      <c r="F577" s="12"/>
      <c r="G577" s="12"/>
      <c r="H577" s="12"/>
      <c r="I577" s="12"/>
      <c r="J577" s="12"/>
      <c r="K577" s="12"/>
      <c r="L577" s="12"/>
      <c r="M577" s="12"/>
      <c r="N577" s="12"/>
      <c r="O577" s="12"/>
      <c r="P577" s="12"/>
      <c r="Q577" s="12"/>
      <c r="R577" s="12"/>
      <c r="S577" s="12"/>
      <c r="T577" s="12"/>
    </row>
    <row r="578">
      <c r="B578" s="12"/>
      <c r="C578" s="12"/>
      <c r="D578" s="12"/>
      <c r="E578" s="12"/>
      <c r="F578" s="12"/>
      <c r="G578" s="12"/>
      <c r="H578" s="12"/>
      <c r="I578" s="12"/>
      <c r="J578" s="12"/>
      <c r="K578" s="12"/>
      <c r="L578" s="12"/>
      <c r="M578" s="12"/>
      <c r="N578" s="12"/>
      <c r="O578" s="12"/>
      <c r="P578" s="12"/>
      <c r="Q578" s="12"/>
      <c r="R578" s="12"/>
      <c r="S578" s="12"/>
      <c r="T578" s="12"/>
    </row>
    <row r="579">
      <c r="B579" s="12"/>
      <c r="C579" s="12"/>
      <c r="D579" s="12"/>
      <c r="E579" s="12"/>
      <c r="F579" s="12"/>
      <c r="G579" s="12"/>
      <c r="H579" s="12"/>
      <c r="I579" s="12"/>
      <c r="J579" s="12"/>
      <c r="K579" s="12"/>
      <c r="L579" s="12"/>
      <c r="M579" s="12"/>
      <c r="N579" s="12"/>
      <c r="O579" s="12"/>
      <c r="P579" s="12"/>
      <c r="Q579" s="12"/>
      <c r="R579" s="12"/>
      <c r="S579" s="12"/>
      <c r="T579" s="12"/>
    </row>
    <row r="580">
      <c r="B580" s="12"/>
      <c r="C580" s="12"/>
      <c r="D580" s="12"/>
      <c r="E580" s="12"/>
      <c r="F580" s="12"/>
      <c r="G580" s="12"/>
      <c r="H580" s="12"/>
      <c r="I580" s="12"/>
      <c r="J580" s="12"/>
      <c r="K580" s="12"/>
      <c r="L580" s="12"/>
      <c r="M580" s="12"/>
      <c r="N580" s="12"/>
      <c r="O580" s="12"/>
      <c r="P580" s="12"/>
      <c r="Q580" s="12"/>
      <c r="R580" s="12"/>
      <c r="S580" s="12"/>
      <c r="T580" s="12"/>
    </row>
    <row r="581">
      <c r="B581" s="12"/>
      <c r="C581" s="12"/>
      <c r="D581" s="12"/>
      <c r="E581" s="12"/>
      <c r="F581" s="12"/>
      <c r="G581" s="12"/>
      <c r="H581" s="12"/>
      <c r="I581" s="12"/>
      <c r="J581" s="12"/>
      <c r="K581" s="12"/>
      <c r="L581" s="12"/>
      <c r="M581" s="12"/>
      <c r="N581" s="12"/>
      <c r="O581" s="12"/>
      <c r="P581" s="12"/>
      <c r="Q581" s="12"/>
      <c r="R581" s="12"/>
      <c r="S581" s="12"/>
      <c r="T581" s="12"/>
    </row>
    <row r="582">
      <c r="B582" s="12"/>
      <c r="C582" s="12"/>
      <c r="D582" s="12"/>
      <c r="E582" s="12"/>
      <c r="F582" s="12"/>
      <c r="G582" s="12"/>
      <c r="H582" s="12"/>
      <c r="I582" s="12"/>
      <c r="J582" s="12"/>
      <c r="K582" s="12"/>
      <c r="L582" s="12"/>
      <c r="M582" s="12"/>
      <c r="N582" s="12"/>
      <c r="O582" s="12"/>
      <c r="P582" s="12"/>
      <c r="Q582" s="12"/>
      <c r="R582" s="12"/>
      <c r="S582" s="12"/>
      <c r="T582" s="12"/>
    </row>
    <row r="583">
      <c r="B583" s="12"/>
      <c r="C583" s="12"/>
      <c r="D583" s="12"/>
      <c r="E583" s="12"/>
      <c r="F583" s="12"/>
      <c r="G583" s="12"/>
      <c r="H583" s="12"/>
      <c r="I583" s="12"/>
      <c r="J583" s="12"/>
      <c r="K583" s="12"/>
      <c r="L583" s="12"/>
      <c r="M583" s="12"/>
      <c r="N583" s="12"/>
      <c r="O583" s="12"/>
      <c r="P583" s="12"/>
      <c r="Q583" s="12"/>
      <c r="R583" s="12"/>
      <c r="S583" s="12"/>
      <c r="T583" s="12"/>
    </row>
    <row r="584">
      <c r="B584" s="12"/>
      <c r="C584" s="12"/>
      <c r="D584" s="12"/>
      <c r="E584" s="12"/>
      <c r="F584" s="12"/>
      <c r="G584" s="12"/>
      <c r="H584" s="12"/>
      <c r="I584" s="12"/>
      <c r="J584" s="12"/>
      <c r="K584" s="12"/>
      <c r="L584" s="12"/>
      <c r="M584" s="12"/>
      <c r="N584" s="12"/>
      <c r="O584" s="12"/>
      <c r="P584" s="12"/>
      <c r="Q584" s="12"/>
      <c r="R584" s="12"/>
      <c r="S584" s="12"/>
      <c r="T584" s="12"/>
    </row>
    <row r="585">
      <c r="B585" s="12"/>
      <c r="C585" s="12"/>
      <c r="D585" s="12"/>
      <c r="E585" s="12"/>
      <c r="F585" s="12"/>
      <c r="G585" s="12"/>
      <c r="H585" s="12"/>
      <c r="I585" s="12"/>
      <c r="J585" s="12"/>
      <c r="K585" s="12"/>
      <c r="L585" s="12"/>
      <c r="M585" s="12"/>
      <c r="N585" s="12"/>
      <c r="O585" s="12"/>
      <c r="P585" s="12"/>
      <c r="Q585" s="12"/>
      <c r="R585" s="12"/>
      <c r="S585" s="12"/>
      <c r="T585" s="12"/>
    </row>
    <row r="586">
      <c r="B586" s="12"/>
      <c r="C586" s="12"/>
      <c r="D586" s="12"/>
      <c r="E586" s="12"/>
      <c r="F586" s="12"/>
      <c r="G586" s="12"/>
      <c r="H586" s="12"/>
      <c r="I586" s="12"/>
      <c r="J586" s="12"/>
      <c r="K586" s="12"/>
      <c r="L586" s="12"/>
      <c r="M586" s="12"/>
      <c r="N586" s="12"/>
      <c r="O586" s="12"/>
      <c r="P586" s="12"/>
      <c r="Q586" s="12"/>
      <c r="R586" s="12"/>
      <c r="S586" s="12"/>
      <c r="T586" s="12"/>
    </row>
    <row r="587">
      <c r="B587" s="12"/>
      <c r="C587" s="12"/>
      <c r="D587" s="12"/>
      <c r="E587" s="12"/>
      <c r="F587" s="12"/>
      <c r="G587" s="12"/>
      <c r="H587" s="12"/>
      <c r="I587" s="12"/>
      <c r="J587" s="12"/>
      <c r="K587" s="12"/>
      <c r="L587" s="12"/>
      <c r="M587" s="12"/>
      <c r="N587" s="12"/>
      <c r="O587" s="12"/>
      <c r="P587" s="12"/>
      <c r="Q587" s="12"/>
      <c r="R587" s="12"/>
      <c r="S587" s="12"/>
      <c r="T587" s="12"/>
    </row>
    <row r="588">
      <c r="B588" s="12"/>
      <c r="C588" s="12"/>
      <c r="D588" s="12"/>
      <c r="E588" s="12"/>
      <c r="F588" s="12"/>
      <c r="G588" s="12"/>
      <c r="H588" s="12"/>
      <c r="I588" s="12"/>
      <c r="J588" s="12"/>
      <c r="K588" s="12"/>
      <c r="L588" s="12"/>
      <c r="M588" s="12"/>
      <c r="N588" s="12"/>
      <c r="O588" s="12"/>
      <c r="P588" s="12"/>
      <c r="Q588" s="12"/>
      <c r="R588" s="12"/>
      <c r="S588" s="12"/>
      <c r="T588" s="12"/>
    </row>
    <row r="589">
      <c r="B589" s="12"/>
      <c r="C589" s="12"/>
      <c r="D589" s="12"/>
      <c r="E589" s="12"/>
      <c r="F589" s="12"/>
      <c r="G589" s="12"/>
      <c r="H589" s="12"/>
      <c r="I589" s="12"/>
      <c r="J589" s="12"/>
      <c r="K589" s="12"/>
      <c r="L589" s="12"/>
      <c r="M589" s="12"/>
      <c r="N589" s="12"/>
      <c r="O589" s="12"/>
      <c r="P589" s="12"/>
      <c r="Q589" s="12"/>
      <c r="R589" s="12"/>
      <c r="S589" s="12"/>
      <c r="T589" s="12"/>
    </row>
    <row r="590">
      <c r="B590" s="12"/>
      <c r="C590" s="12"/>
      <c r="D590" s="12"/>
      <c r="E590" s="12"/>
      <c r="F590" s="12"/>
      <c r="G590" s="12"/>
      <c r="H590" s="12"/>
      <c r="I590" s="12"/>
      <c r="J590" s="12"/>
      <c r="K590" s="12"/>
      <c r="L590" s="12"/>
      <c r="M590" s="12"/>
      <c r="N590" s="12"/>
      <c r="O590" s="12"/>
      <c r="P590" s="12"/>
      <c r="Q590" s="12"/>
      <c r="R590" s="12"/>
      <c r="S590" s="12"/>
      <c r="T590" s="12"/>
    </row>
    <row r="591">
      <c r="B591" s="12"/>
      <c r="C591" s="12"/>
      <c r="D591" s="12"/>
      <c r="E591" s="12"/>
      <c r="F591" s="12"/>
      <c r="G591" s="12"/>
      <c r="H591" s="12"/>
      <c r="I591" s="12"/>
      <c r="J591" s="12"/>
      <c r="K591" s="12"/>
      <c r="L591" s="12"/>
      <c r="M591" s="12"/>
      <c r="N591" s="12"/>
      <c r="O591" s="12"/>
      <c r="P591" s="12"/>
      <c r="Q591" s="12"/>
      <c r="R591" s="12"/>
      <c r="S591" s="12"/>
      <c r="T591" s="12"/>
    </row>
    <row r="592">
      <c r="B592" s="12"/>
      <c r="C592" s="12"/>
      <c r="D592" s="12"/>
      <c r="E592" s="12"/>
      <c r="F592" s="12"/>
      <c r="G592" s="12"/>
      <c r="H592" s="12"/>
      <c r="I592" s="12"/>
      <c r="J592" s="12"/>
      <c r="K592" s="12"/>
      <c r="L592" s="12"/>
      <c r="M592" s="12"/>
      <c r="N592" s="12"/>
      <c r="O592" s="12"/>
      <c r="P592" s="12"/>
      <c r="Q592" s="12"/>
      <c r="R592" s="12"/>
      <c r="S592" s="12"/>
      <c r="T592" s="12"/>
    </row>
    <row r="593">
      <c r="B593" s="12"/>
      <c r="C593" s="12"/>
      <c r="D593" s="12"/>
      <c r="E593" s="12"/>
      <c r="F593" s="12"/>
      <c r="G593" s="12"/>
      <c r="H593" s="12"/>
      <c r="I593" s="12"/>
      <c r="J593" s="12"/>
      <c r="K593" s="12"/>
      <c r="L593" s="12"/>
      <c r="M593" s="12"/>
      <c r="N593" s="12"/>
      <c r="O593" s="12"/>
      <c r="P593" s="12"/>
      <c r="Q593" s="12"/>
      <c r="R593" s="12"/>
      <c r="S593" s="12"/>
      <c r="T593" s="12"/>
    </row>
    <row r="594">
      <c r="B594" s="12"/>
      <c r="C594" s="12"/>
      <c r="D594" s="12"/>
      <c r="E594" s="12"/>
      <c r="F594" s="12"/>
      <c r="G594" s="12"/>
      <c r="H594" s="12"/>
      <c r="I594" s="12"/>
      <c r="J594" s="12"/>
      <c r="K594" s="12"/>
      <c r="L594" s="12"/>
      <c r="M594" s="12"/>
      <c r="N594" s="12"/>
      <c r="O594" s="12"/>
      <c r="P594" s="12"/>
      <c r="Q594" s="12"/>
      <c r="R594" s="12"/>
      <c r="S594" s="12"/>
      <c r="T594" s="12"/>
    </row>
    <row r="595">
      <c r="B595" s="12"/>
      <c r="C595" s="12"/>
      <c r="D595" s="12"/>
      <c r="E595" s="12"/>
      <c r="F595" s="12"/>
      <c r="G595" s="12"/>
      <c r="H595" s="12"/>
      <c r="I595" s="12"/>
      <c r="J595" s="12"/>
      <c r="K595" s="12"/>
      <c r="L595" s="12"/>
      <c r="M595" s="12"/>
      <c r="N595" s="12"/>
      <c r="O595" s="12"/>
      <c r="P595" s="12"/>
      <c r="Q595" s="12"/>
      <c r="R595" s="12"/>
      <c r="S595" s="12"/>
      <c r="T595" s="12"/>
    </row>
    <row r="596">
      <c r="B596" s="12"/>
      <c r="C596" s="12"/>
      <c r="D596" s="12"/>
      <c r="E596" s="12"/>
      <c r="F596" s="12"/>
      <c r="G596" s="12"/>
      <c r="H596" s="12"/>
      <c r="I596" s="12"/>
      <c r="J596" s="12"/>
      <c r="K596" s="12"/>
      <c r="L596" s="12"/>
      <c r="M596" s="12"/>
      <c r="N596" s="12"/>
      <c r="O596" s="12"/>
      <c r="P596" s="12"/>
      <c r="Q596" s="12"/>
      <c r="R596" s="12"/>
      <c r="S596" s="12"/>
      <c r="T596" s="12"/>
    </row>
    <row r="597">
      <c r="B597" s="12"/>
      <c r="C597" s="12"/>
      <c r="D597" s="12"/>
      <c r="E597" s="12"/>
      <c r="F597" s="12"/>
      <c r="G597" s="12"/>
      <c r="H597" s="12"/>
      <c r="I597" s="12"/>
      <c r="J597" s="12"/>
      <c r="K597" s="12"/>
      <c r="L597" s="12"/>
      <c r="M597" s="12"/>
      <c r="N597" s="12"/>
      <c r="O597" s="12"/>
      <c r="P597" s="12"/>
      <c r="Q597" s="12"/>
      <c r="R597" s="12"/>
      <c r="S597" s="12"/>
      <c r="T597" s="12"/>
    </row>
    <row r="598">
      <c r="B598" s="12"/>
      <c r="C598" s="12"/>
      <c r="D598" s="12"/>
      <c r="E598" s="12"/>
      <c r="F598" s="12"/>
      <c r="G598" s="12"/>
      <c r="H598" s="12"/>
      <c r="I598" s="12"/>
      <c r="J598" s="12"/>
      <c r="K598" s="12"/>
      <c r="L598" s="12"/>
      <c r="M598" s="12"/>
      <c r="N598" s="12"/>
      <c r="O598" s="12"/>
      <c r="P598" s="12"/>
      <c r="Q598" s="12"/>
      <c r="R598" s="12"/>
      <c r="S598" s="12"/>
      <c r="T598" s="12"/>
    </row>
    <row r="599">
      <c r="B599" s="12"/>
      <c r="C599" s="12"/>
      <c r="D599" s="12"/>
      <c r="E599" s="12"/>
      <c r="F599" s="12"/>
      <c r="G599" s="12"/>
      <c r="H599" s="12"/>
      <c r="I599" s="12"/>
      <c r="J599" s="12"/>
      <c r="K599" s="12"/>
      <c r="L599" s="12"/>
      <c r="M599" s="12"/>
      <c r="N599" s="12"/>
      <c r="O599" s="12"/>
      <c r="P599" s="12"/>
      <c r="Q599" s="12"/>
      <c r="R599" s="12"/>
      <c r="S599" s="12"/>
      <c r="T599" s="12"/>
    </row>
    <row r="600">
      <c r="B600" s="12"/>
      <c r="C600" s="12"/>
      <c r="D600" s="12"/>
      <c r="E600" s="12"/>
      <c r="F600" s="12"/>
      <c r="G600" s="12"/>
      <c r="H600" s="12"/>
      <c r="I600" s="12"/>
      <c r="J600" s="12"/>
      <c r="K600" s="12"/>
      <c r="L600" s="12"/>
      <c r="M600" s="12"/>
      <c r="N600" s="12"/>
      <c r="O600" s="12"/>
      <c r="P600" s="12"/>
      <c r="Q600" s="12"/>
      <c r="R600" s="12"/>
      <c r="S600" s="12"/>
      <c r="T600" s="12"/>
    </row>
    <row r="601">
      <c r="B601" s="12"/>
      <c r="C601" s="12"/>
      <c r="D601" s="12"/>
      <c r="E601" s="12"/>
      <c r="F601" s="12"/>
      <c r="G601" s="12"/>
      <c r="H601" s="12"/>
      <c r="I601" s="12"/>
      <c r="J601" s="12"/>
      <c r="K601" s="12"/>
      <c r="L601" s="12"/>
      <c r="M601" s="12"/>
      <c r="N601" s="12"/>
      <c r="O601" s="12"/>
      <c r="P601" s="12"/>
      <c r="Q601" s="12"/>
      <c r="R601" s="12"/>
      <c r="S601" s="12"/>
      <c r="T601" s="12"/>
    </row>
    <row r="602">
      <c r="B602" s="12"/>
      <c r="C602" s="12"/>
      <c r="D602" s="12"/>
      <c r="E602" s="12"/>
      <c r="F602" s="12"/>
      <c r="G602" s="12"/>
      <c r="H602" s="12"/>
      <c r="I602" s="12"/>
      <c r="J602" s="12"/>
      <c r="K602" s="12"/>
      <c r="L602" s="12"/>
      <c r="M602" s="12"/>
      <c r="N602" s="12"/>
      <c r="O602" s="12"/>
      <c r="P602" s="12"/>
      <c r="Q602" s="12"/>
      <c r="R602" s="12"/>
      <c r="S602" s="12"/>
      <c r="T602" s="12"/>
    </row>
    <row r="603">
      <c r="B603" s="12"/>
      <c r="C603" s="12"/>
      <c r="D603" s="12"/>
      <c r="E603" s="12"/>
      <c r="F603" s="12"/>
      <c r="G603" s="12"/>
      <c r="H603" s="12"/>
      <c r="I603" s="12"/>
      <c r="J603" s="12"/>
      <c r="K603" s="12"/>
      <c r="L603" s="12"/>
      <c r="M603" s="12"/>
      <c r="N603" s="12"/>
      <c r="O603" s="12"/>
      <c r="P603" s="12"/>
      <c r="Q603" s="12"/>
      <c r="R603" s="12"/>
      <c r="S603" s="12"/>
      <c r="T603" s="12"/>
    </row>
    <row r="604">
      <c r="B604" s="12"/>
      <c r="C604" s="12"/>
      <c r="D604" s="12"/>
      <c r="E604" s="12"/>
      <c r="F604" s="12"/>
      <c r="G604" s="12"/>
      <c r="H604" s="12"/>
      <c r="I604" s="12"/>
      <c r="J604" s="12"/>
      <c r="K604" s="12"/>
      <c r="L604" s="12"/>
      <c r="M604" s="12"/>
      <c r="N604" s="12"/>
      <c r="O604" s="12"/>
      <c r="P604" s="12"/>
      <c r="Q604" s="12"/>
      <c r="R604" s="12"/>
      <c r="S604" s="12"/>
      <c r="T604" s="12"/>
    </row>
    <row r="605">
      <c r="B605" s="12"/>
      <c r="C605" s="12"/>
      <c r="D605" s="12"/>
      <c r="E605" s="12"/>
      <c r="F605" s="12"/>
      <c r="G605" s="12"/>
      <c r="H605" s="12"/>
      <c r="I605" s="12"/>
      <c r="J605" s="12"/>
      <c r="K605" s="12"/>
      <c r="L605" s="12"/>
      <c r="M605" s="12"/>
      <c r="N605" s="12"/>
      <c r="O605" s="12"/>
      <c r="P605" s="12"/>
      <c r="Q605" s="12"/>
      <c r="R605" s="12"/>
      <c r="S605" s="12"/>
      <c r="T605" s="12"/>
    </row>
    <row r="606">
      <c r="B606" s="12"/>
      <c r="C606" s="12"/>
      <c r="D606" s="12"/>
      <c r="E606" s="12"/>
      <c r="F606" s="12"/>
      <c r="G606" s="12"/>
      <c r="H606" s="12"/>
      <c r="I606" s="12"/>
      <c r="J606" s="12"/>
      <c r="K606" s="12"/>
      <c r="L606" s="12"/>
      <c r="M606" s="12"/>
      <c r="N606" s="12"/>
      <c r="O606" s="12"/>
      <c r="P606" s="12"/>
      <c r="Q606" s="12"/>
      <c r="R606" s="12"/>
      <c r="S606" s="12"/>
      <c r="T606" s="12"/>
    </row>
    <row r="607">
      <c r="B607" s="12"/>
      <c r="C607" s="12"/>
      <c r="D607" s="12"/>
      <c r="E607" s="12"/>
      <c r="F607" s="12"/>
      <c r="G607" s="12"/>
      <c r="H607" s="12"/>
      <c r="I607" s="12"/>
      <c r="J607" s="12"/>
      <c r="K607" s="12"/>
      <c r="L607" s="12"/>
      <c r="M607" s="12"/>
      <c r="N607" s="12"/>
      <c r="O607" s="12"/>
      <c r="P607" s="12"/>
      <c r="Q607" s="12"/>
      <c r="R607" s="12"/>
      <c r="S607" s="12"/>
      <c r="T607" s="12"/>
    </row>
    <row r="608">
      <c r="B608" s="12"/>
      <c r="C608" s="12"/>
      <c r="D608" s="12"/>
      <c r="E608" s="12"/>
      <c r="F608" s="12"/>
      <c r="G608" s="12"/>
      <c r="H608" s="12"/>
      <c r="I608" s="12"/>
      <c r="J608" s="12"/>
      <c r="K608" s="12"/>
      <c r="L608" s="12"/>
      <c r="M608" s="12"/>
      <c r="N608" s="12"/>
      <c r="O608" s="12"/>
      <c r="P608" s="12"/>
      <c r="Q608" s="12"/>
      <c r="R608" s="12"/>
      <c r="S608" s="12"/>
      <c r="T608" s="12"/>
    </row>
    <row r="609">
      <c r="B609" s="12"/>
      <c r="C609" s="12"/>
      <c r="D609" s="12"/>
      <c r="E609" s="12"/>
      <c r="F609" s="12"/>
      <c r="G609" s="12"/>
      <c r="H609" s="12"/>
      <c r="I609" s="12"/>
      <c r="J609" s="12"/>
      <c r="K609" s="12"/>
      <c r="L609" s="12"/>
      <c r="M609" s="12"/>
      <c r="N609" s="12"/>
      <c r="O609" s="12"/>
      <c r="P609" s="12"/>
      <c r="Q609" s="12"/>
      <c r="R609" s="12"/>
      <c r="S609" s="12"/>
      <c r="T609" s="12"/>
    </row>
    <row r="610">
      <c r="B610" s="12"/>
      <c r="C610" s="12"/>
      <c r="D610" s="12"/>
      <c r="E610" s="12"/>
      <c r="F610" s="12"/>
      <c r="G610" s="12"/>
      <c r="H610" s="12"/>
      <c r="I610" s="12"/>
      <c r="J610" s="12"/>
      <c r="K610" s="12"/>
      <c r="L610" s="12"/>
      <c r="M610" s="12"/>
      <c r="N610" s="12"/>
      <c r="O610" s="12"/>
      <c r="P610" s="12"/>
      <c r="Q610" s="12"/>
      <c r="R610" s="12"/>
      <c r="S610" s="12"/>
      <c r="T610" s="12"/>
    </row>
    <row r="611">
      <c r="B611" s="12"/>
      <c r="C611" s="12"/>
      <c r="D611" s="12"/>
      <c r="E611" s="12"/>
      <c r="F611" s="12"/>
      <c r="G611" s="12"/>
      <c r="H611" s="12"/>
      <c r="I611" s="12"/>
      <c r="J611" s="12"/>
      <c r="K611" s="12"/>
      <c r="L611" s="12"/>
      <c r="M611" s="12"/>
      <c r="N611" s="12"/>
      <c r="O611" s="12"/>
      <c r="P611" s="12"/>
      <c r="Q611" s="12"/>
      <c r="R611" s="12"/>
      <c r="S611" s="12"/>
      <c r="T611" s="12"/>
    </row>
    <row r="612">
      <c r="B612" s="12"/>
      <c r="C612" s="12"/>
      <c r="D612" s="12"/>
      <c r="E612" s="12"/>
      <c r="F612" s="12"/>
      <c r="G612" s="12"/>
      <c r="H612" s="12"/>
      <c r="I612" s="12"/>
      <c r="J612" s="12"/>
      <c r="K612" s="12"/>
      <c r="L612" s="12"/>
      <c r="M612" s="12"/>
      <c r="N612" s="12"/>
      <c r="O612" s="12"/>
      <c r="P612" s="12"/>
      <c r="Q612" s="12"/>
      <c r="R612" s="12"/>
      <c r="S612" s="12"/>
      <c r="T612" s="12"/>
    </row>
    <row r="613">
      <c r="B613" s="12"/>
      <c r="C613" s="12"/>
      <c r="D613" s="12"/>
      <c r="E613" s="12"/>
      <c r="F613" s="12"/>
      <c r="G613" s="12"/>
      <c r="H613" s="12"/>
      <c r="I613" s="12"/>
      <c r="J613" s="12"/>
      <c r="K613" s="12"/>
      <c r="L613" s="12"/>
      <c r="M613" s="12"/>
      <c r="N613" s="12"/>
      <c r="O613" s="12"/>
      <c r="P613" s="12"/>
      <c r="Q613" s="12"/>
      <c r="R613" s="12"/>
      <c r="S613" s="12"/>
      <c r="T613" s="12"/>
    </row>
    <row r="614">
      <c r="B614" s="12"/>
      <c r="C614" s="12"/>
      <c r="D614" s="12"/>
      <c r="E614" s="12"/>
      <c r="F614" s="12"/>
      <c r="G614" s="12"/>
      <c r="H614" s="12"/>
      <c r="I614" s="12"/>
      <c r="J614" s="12"/>
      <c r="K614" s="12"/>
      <c r="L614" s="12"/>
      <c r="M614" s="12"/>
      <c r="N614" s="12"/>
      <c r="O614" s="12"/>
      <c r="P614" s="12"/>
      <c r="Q614" s="12"/>
      <c r="R614" s="12"/>
      <c r="S614" s="12"/>
      <c r="T614" s="12"/>
    </row>
    <row r="615">
      <c r="B615" s="12"/>
      <c r="C615" s="12"/>
      <c r="D615" s="12"/>
      <c r="E615" s="12"/>
      <c r="F615" s="12"/>
      <c r="G615" s="12"/>
      <c r="H615" s="12"/>
      <c r="I615" s="12"/>
      <c r="J615" s="12"/>
      <c r="K615" s="12"/>
      <c r="L615" s="12"/>
      <c r="M615" s="12"/>
      <c r="N615" s="12"/>
      <c r="O615" s="12"/>
      <c r="P615" s="12"/>
      <c r="Q615" s="12"/>
      <c r="R615" s="12"/>
      <c r="S615" s="12"/>
      <c r="T615" s="12"/>
    </row>
    <row r="616">
      <c r="B616" s="12"/>
      <c r="C616" s="12"/>
      <c r="D616" s="12"/>
      <c r="E616" s="12"/>
      <c r="F616" s="12"/>
      <c r="G616" s="12"/>
      <c r="H616" s="12"/>
      <c r="I616" s="12"/>
      <c r="J616" s="12"/>
      <c r="K616" s="12"/>
      <c r="L616" s="12"/>
      <c r="M616" s="12"/>
      <c r="N616" s="12"/>
      <c r="O616" s="12"/>
      <c r="P616" s="12"/>
      <c r="Q616" s="12"/>
      <c r="R616" s="12"/>
      <c r="S616" s="12"/>
      <c r="T616" s="12"/>
    </row>
    <row r="617">
      <c r="B617" s="12"/>
      <c r="C617" s="12"/>
      <c r="D617" s="12"/>
      <c r="E617" s="12"/>
      <c r="F617" s="12"/>
      <c r="G617" s="12"/>
      <c r="H617" s="12"/>
      <c r="I617" s="12"/>
      <c r="J617" s="12"/>
      <c r="K617" s="12"/>
      <c r="L617" s="12"/>
      <c r="M617" s="12"/>
      <c r="N617" s="12"/>
      <c r="O617" s="12"/>
      <c r="P617" s="12"/>
      <c r="Q617" s="12"/>
      <c r="R617" s="12"/>
      <c r="S617" s="12"/>
      <c r="T617" s="12"/>
    </row>
    <row r="618">
      <c r="B618" s="12"/>
      <c r="C618" s="12"/>
      <c r="D618" s="12"/>
      <c r="E618" s="12"/>
      <c r="F618" s="12"/>
      <c r="G618" s="12"/>
      <c r="H618" s="12"/>
      <c r="I618" s="12"/>
      <c r="J618" s="12"/>
      <c r="K618" s="12"/>
      <c r="L618" s="12"/>
      <c r="M618" s="12"/>
      <c r="N618" s="12"/>
      <c r="O618" s="12"/>
      <c r="P618" s="12"/>
      <c r="Q618" s="12"/>
      <c r="R618" s="12"/>
      <c r="S618" s="12"/>
      <c r="T618" s="12"/>
    </row>
    <row r="619">
      <c r="B619" s="12"/>
      <c r="C619" s="12"/>
      <c r="D619" s="12"/>
      <c r="E619" s="12"/>
      <c r="F619" s="12"/>
      <c r="G619" s="12"/>
      <c r="H619" s="12"/>
      <c r="I619" s="12"/>
      <c r="J619" s="12"/>
      <c r="K619" s="12"/>
      <c r="L619" s="12"/>
      <c r="M619" s="12"/>
      <c r="N619" s="12"/>
      <c r="O619" s="12"/>
      <c r="P619" s="12"/>
      <c r="Q619" s="12"/>
      <c r="R619" s="12"/>
      <c r="S619" s="12"/>
      <c r="T619" s="12"/>
    </row>
    <row r="620">
      <c r="B620" s="12"/>
      <c r="C620" s="12"/>
      <c r="D620" s="12"/>
      <c r="E620" s="12"/>
      <c r="F620" s="12"/>
      <c r="G620" s="12"/>
      <c r="H620" s="12"/>
      <c r="I620" s="12"/>
      <c r="J620" s="12"/>
      <c r="K620" s="12"/>
      <c r="L620" s="12"/>
      <c r="M620" s="12"/>
      <c r="N620" s="12"/>
      <c r="O620" s="12"/>
      <c r="P620" s="12"/>
      <c r="Q620" s="12"/>
      <c r="R620" s="12"/>
      <c r="S620" s="12"/>
      <c r="T620" s="12"/>
    </row>
    <row r="621">
      <c r="B621" s="12"/>
      <c r="C621" s="12"/>
      <c r="D621" s="12"/>
      <c r="E621" s="12"/>
      <c r="F621" s="12"/>
      <c r="G621" s="12"/>
      <c r="H621" s="12"/>
      <c r="I621" s="12"/>
      <c r="J621" s="12"/>
      <c r="K621" s="12"/>
      <c r="L621" s="12"/>
      <c r="M621" s="12"/>
      <c r="N621" s="12"/>
      <c r="O621" s="12"/>
      <c r="P621" s="12"/>
      <c r="Q621" s="12"/>
      <c r="R621" s="12"/>
      <c r="S621" s="12"/>
      <c r="T621" s="12"/>
    </row>
    <row r="622">
      <c r="B622" s="12"/>
      <c r="C622" s="12"/>
      <c r="D622" s="12"/>
      <c r="E622" s="12"/>
      <c r="F622" s="12"/>
      <c r="G622" s="12"/>
      <c r="H622" s="12"/>
      <c r="I622" s="12"/>
      <c r="J622" s="12"/>
      <c r="K622" s="12"/>
      <c r="L622" s="12"/>
      <c r="M622" s="12"/>
      <c r="N622" s="12"/>
      <c r="O622" s="12"/>
      <c r="P622" s="12"/>
      <c r="Q622" s="12"/>
      <c r="R622" s="12"/>
      <c r="S622" s="12"/>
      <c r="T622" s="12"/>
    </row>
    <row r="623">
      <c r="B623" s="12"/>
      <c r="C623" s="12"/>
      <c r="D623" s="12"/>
      <c r="E623" s="12"/>
      <c r="F623" s="12"/>
      <c r="G623" s="12"/>
      <c r="H623" s="12"/>
      <c r="I623" s="12"/>
      <c r="J623" s="12"/>
      <c r="K623" s="12"/>
      <c r="L623" s="12"/>
      <c r="M623" s="12"/>
      <c r="N623" s="12"/>
      <c r="O623" s="12"/>
      <c r="P623" s="12"/>
      <c r="Q623" s="12"/>
      <c r="R623" s="12"/>
      <c r="S623" s="12"/>
      <c r="T623" s="12"/>
    </row>
    <row r="624">
      <c r="B624" s="12"/>
      <c r="C624" s="12"/>
      <c r="D624" s="12"/>
      <c r="E624" s="12"/>
      <c r="F624" s="12"/>
      <c r="G624" s="12"/>
      <c r="H624" s="12"/>
      <c r="I624" s="12"/>
      <c r="J624" s="12"/>
      <c r="K624" s="12"/>
      <c r="L624" s="12"/>
      <c r="M624" s="12"/>
      <c r="N624" s="12"/>
      <c r="O624" s="12"/>
      <c r="P624" s="12"/>
      <c r="Q624" s="12"/>
      <c r="R624" s="12"/>
      <c r="S624" s="12"/>
      <c r="T624" s="12"/>
    </row>
    <row r="625">
      <c r="B625" s="12"/>
      <c r="C625" s="12"/>
      <c r="D625" s="12"/>
      <c r="E625" s="12"/>
      <c r="F625" s="12"/>
      <c r="G625" s="12"/>
      <c r="H625" s="12"/>
      <c r="I625" s="12"/>
      <c r="J625" s="12"/>
      <c r="K625" s="12"/>
      <c r="L625" s="12"/>
      <c r="M625" s="12"/>
      <c r="N625" s="12"/>
      <c r="O625" s="12"/>
      <c r="P625" s="12"/>
      <c r="Q625" s="12"/>
      <c r="R625" s="12"/>
      <c r="S625" s="12"/>
      <c r="T625" s="12"/>
    </row>
    <row r="626">
      <c r="B626" s="12"/>
      <c r="C626" s="12"/>
      <c r="D626" s="12"/>
      <c r="E626" s="12"/>
      <c r="F626" s="12"/>
      <c r="G626" s="12"/>
      <c r="H626" s="12"/>
      <c r="I626" s="12"/>
      <c r="J626" s="12"/>
      <c r="K626" s="12"/>
      <c r="L626" s="12"/>
      <c r="M626" s="12"/>
      <c r="N626" s="12"/>
      <c r="O626" s="12"/>
      <c r="P626" s="12"/>
      <c r="Q626" s="12"/>
      <c r="R626" s="12"/>
      <c r="S626" s="12"/>
      <c r="T626" s="12"/>
    </row>
    <row r="627">
      <c r="B627" s="12"/>
      <c r="C627" s="12"/>
      <c r="D627" s="12"/>
      <c r="E627" s="12"/>
      <c r="F627" s="12"/>
      <c r="G627" s="12"/>
      <c r="H627" s="12"/>
      <c r="I627" s="12"/>
      <c r="J627" s="12"/>
      <c r="K627" s="12"/>
      <c r="L627" s="12"/>
      <c r="M627" s="12"/>
      <c r="N627" s="12"/>
      <c r="O627" s="12"/>
      <c r="P627" s="12"/>
      <c r="Q627" s="12"/>
      <c r="R627" s="12"/>
      <c r="S627" s="12"/>
      <c r="T627" s="12"/>
    </row>
    <row r="628">
      <c r="B628" s="12"/>
      <c r="C628" s="12"/>
      <c r="D628" s="12"/>
      <c r="E628" s="12"/>
      <c r="F628" s="12"/>
      <c r="G628" s="12"/>
      <c r="H628" s="12"/>
      <c r="I628" s="12"/>
      <c r="J628" s="12"/>
      <c r="K628" s="12"/>
      <c r="L628" s="12"/>
      <c r="M628" s="12"/>
      <c r="N628" s="12"/>
      <c r="O628" s="12"/>
      <c r="P628" s="12"/>
      <c r="Q628" s="12"/>
      <c r="R628" s="12"/>
      <c r="S628" s="12"/>
      <c r="T628" s="12"/>
    </row>
    <row r="629">
      <c r="B629" s="12"/>
      <c r="C629" s="12"/>
      <c r="D629" s="12"/>
      <c r="E629" s="12"/>
      <c r="F629" s="12"/>
      <c r="G629" s="12"/>
      <c r="H629" s="12"/>
      <c r="I629" s="12"/>
      <c r="J629" s="12"/>
      <c r="K629" s="12"/>
      <c r="L629" s="12"/>
      <c r="M629" s="12"/>
      <c r="N629" s="12"/>
      <c r="O629" s="12"/>
      <c r="P629" s="12"/>
      <c r="Q629" s="12"/>
      <c r="R629" s="12"/>
      <c r="S629" s="12"/>
      <c r="T629" s="12"/>
    </row>
    <row r="630">
      <c r="B630" s="12"/>
      <c r="C630" s="12"/>
      <c r="D630" s="12"/>
      <c r="E630" s="12"/>
      <c r="F630" s="12"/>
      <c r="G630" s="12"/>
      <c r="H630" s="12"/>
      <c r="I630" s="12"/>
      <c r="J630" s="12"/>
      <c r="K630" s="12"/>
      <c r="L630" s="12"/>
      <c r="M630" s="12"/>
      <c r="N630" s="12"/>
      <c r="O630" s="12"/>
      <c r="P630" s="12"/>
      <c r="Q630" s="12"/>
      <c r="R630" s="12"/>
      <c r="S630" s="12"/>
      <c r="T630" s="12"/>
    </row>
    <row r="631">
      <c r="B631" s="12"/>
      <c r="C631" s="12"/>
      <c r="D631" s="12"/>
      <c r="E631" s="12"/>
      <c r="F631" s="12"/>
      <c r="G631" s="12"/>
      <c r="H631" s="12"/>
      <c r="I631" s="12"/>
      <c r="J631" s="12"/>
      <c r="K631" s="12"/>
      <c r="L631" s="12"/>
      <c r="M631" s="12"/>
      <c r="N631" s="12"/>
      <c r="O631" s="12"/>
      <c r="P631" s="12"/>
      <c r="Q631" s="12"/>
      <c r="R631" s="12"/>
      <c r="S631" s="12"/>
      <c r="T631" s="12"/>
    </row>
    <row r="632">
      <c r="B632" s="12"/>
      <c r="C632" s="12"/>
      <c r="D632" s="12"/>
      <c r="E632" s="12"/>
      <c r="F632" s="12"/>
      <c r="G632" s="12"/>
      <c r="H632" s="12"/>
      <c r="I632" s="12"/>
      <c r="J632" s="12"/>
      <c r="K632" s="12"/>
      <c r="L632" s="12"/>
      <c r="M632" s="12"/>
      <c r="N632" s="12"/>
      <c r="O632" s="12"/>
      <c r="P632" s="12"/>
      <c r="Q632" s="12"/>
      <c r="R632" s="12"/>
      <c r="S632" s="12"/>
      <c r="T632" s="12"/>
    </row>
    <row r="633">
      <c r="B633" s="12"/>
      <c r="C633" s="12"/>
      <c r="D633" s="12"/>
      <c r="E633" s="12"/>
      <c r="F633" s="12"/>
      <c r="G633" s="12"/>
      <c r="H633" s="12"/>
      <c r="I633" s="12"/>
      <c r="J633" s="12"/>
      <c r="K633" s="12"/>
      <c r="L633" s="12"/>
      <c r="M633" s="12"/>
      <c r="N633" s="12"/>
      <c r="O633" s="12"/>
      <c r="P633" s="12"/>
      <c r="Q633" s="12"/>
      <c r="R633" s="12"/>
      <c r="S633" s="12"/>
      <c r="T633" s="12"/>
    </row>
    <row r="634">
      <c r="B634" s="12"/>
      <c r="C634" s="12"/>
      <c r="D634" s="12"/>
      <c r="E634" s="12"/>
      <c r="F634" s="12"/>
      <c r="G634" s="12"/>
      <c r="H634" s="12"/>
      <c r="I634" s="12"/>
      <c r="J634" s="12"/>
      <c r="K634" s="12"/>
      <c r="L634" s="12"/>
      <c r="M634" s="12"/>
      <c r="N634" s="12"/>
      <c r="O634" s="12"/>
      <c r="P634" s="12"/>
      <c r="Q634" s="12"/>
      <c r="R634" s="12"/>
      <c r="S634" s="12"/>
      <c r="T634" s="12"/>
    </row>
    <row r="635">
      <c r="B635" s="12"/>
      <c r="C635" s="12"/>
      <c r="D635" s="12"/>
      <c r="E635" s="12"/>
      <c r="F635" s="12"/>
      <c r="G635" s="12"/>
      <c r="H635" s="12"/>
      <c r="I635" s="12"/>
      <c r="J635" s="12"/>
      <c r="K635" s="12"/>
      <c r="L635" s="12"/>
      <c r="M635" s="12"/>
      <c r="N635" s="12"/>
      <c r="O635" s="12"/>
      <c r="P635" s="12"/>
      <c r="Q635" s="12"/>
      <c r="R635" s="12"/>
      <c r="S635" s="12"/>
      <c r="T635" s="12"/>
    </row>
    <row r="636">
      <c r="B636" s="12"/>
      <c r="C636" s="12"/>
      <c r="D636" s="12"/>
      <c r="E636" s="12"/>
      <c r="F636" s="12"/>
      <c r="G636" s="12"/>
      <c r="H636" s="12"/>
      <c r="I636" s="12"/>
      <c r="J636" s="12"/>
      <c r="K636" s="12"/>
      <c r="L636" s="12"/>
      <c r="M636" s="12"/>
      <c r="N636" s="12"/>
      <c r="O636" s="12"/>
      <c r="P636" s="12"/>
      <c r="Q636" s="12"/>
      <c r="R636" s="12"/>
      <c r="S636" s="12"/>
      <c r="T636" s="12"/>
    </row>
    <row r="637">
      <c r="B637" s="12"/>
      <c r="C637" s="12"/>
      <c r="D637" s="12"/>
      <c r="E637" s="12"/>
      <c r="F637" s="12"/>
      <c r="G637" s="12"/>
      <c r="H637" s="12"/>
      <c r="I637" s="12"/>
      <c r="J637" s="12"/>
      <c r="K637" s="12"/>
      <c r="L637" s="12"/>
      <c r="M637" s="12"/>
      <c r="N637" s="12"/>
      <c r="O637" s="12"/>
      <c r="P637" s="12"/>
      <c r="Q637" s="12"/>
      <c r="R637" s="12"/>
      <c r="S637" s="12"/>
      <c r="T637" s="12"/>
    </row>
    <row r="638">
      <c r="B638" s="12"/>
      <c r="C638" s="12"/>
      <c r="D638" s="12"/>
      <c r="E638" s="12"/>
      <c r="F638" s="12"/>
      <c r="G638" s="12"/>
      <c r="H638" s="12"/>
      <c r="I638" s="12"/>
      <c r="J638" s="12"/>
      <c r="K638" s="12"/>
      <c r="L638" s="12"/>
      <c r="M638" s="12"/>
      <c r="N638" s="12"/>
      <c r="O638" s="12"/>
      <c r="P638" s="12"/>
      <c r="Q638" s="12"/>
      <c r="R638" s="12"/>
      <c r="S638" s="12"/>
      <c r="T638" s="12"/>
    </row>
    <row r="639">
      <c r="B639" s="12"/>
      <c r="C639" s="12"/>
      <c r="D639" s="12"/>
      <c r="E639" s="12"/>
      <c r="F639" s="12"/>
      <c r="G639" s="12"/>
      <c r="H639" s="12"/>
      <c r="I639" s="12"/>
      <c r="J639" s="12"/>
      <c r="K639" s="12"/>
      <c r="L639" s="12"/>
      <c r="M639" s="12"/>
      <c r="N639" s="12"/>
      <c r="O639" s="12"/>
      <c r="P639" s="12"/>
      <c r="Q639" s="12"/>
      <c r="R639" s="12"/>
      <c r="S639" s="12"/>
      <c r="T639" s="12"/>
    </row>
    <row r="640">
      <c r="B640" s="12"/>
      <c r="C640" s="12"/>
      <c r="D640" s="12"/>
      <c r="E640" s="12"/>
      <c r="F640" s="12"/>
      <c r="G640" s="12"/>
      <c r="H640" s="12"/>
      <c r="I640" s="12"/>
      <c r="J640" s="12"/>
      <c r="K640" s="12"/>
      <c r="L640" s="12"/>
      <c r="M640" s="12"/>
      <c r="N640" s="12"/>
      <c r="O640" s="12"/>
      <c r="P640" s="12"/>
      <c r="Q640" s="12"/>
      <c r="R640" s="12"/>
      <c r="S640" s="12"/>
      <c r="T640" s="12"/>
    </row>
    <row r="641">
      <c r="B641" s="12"/>
      <c r="C641" s="12"/>
      <c r="D641" s="12"/>
      <c r="E641" s="12"/>
      <c r="F641" s="12"/>
      <c r="G641" s="12"/>
      <c r="H641" s="12"/>
      <c r="I641" s="12"/>
      <c r="J641" s="12"/>
      <c r="K641" s="12"/>
      <c r="L641" s="12"/>
      <c r="M641" s="12"/>
      <c r="N641" s="12"/>
      <c r="O641" s="12"/>
      <c r="P641" s="12"/>
      <c r="Q641" s="12"/>
      <c r="R641" s="12"/>
      <c r="S641" s="12"/>
      <c r="T641" s="12"/>
    </row>
    <row r="642">
      <c r="B642" s="12"/>
      <c r="C642" s="12"/>
      <c r="D642" s="12"/>
      <c r="E642" s="12"/>
      <c r="F642" s="12"/>
      <c r="G642" s="12"/>
      <c r="H642" s="12"/>
      <c r="I642" s="12"/>
      <c r="J642" s="12"/>
      <c r="K642" s="12"/>
      <c r="L642" s="12"/>
      <c r="M642" s="12"/>
      <c r="N642" s="12"/>
      <c r="O642" s="12"/>
      <c r="P642" s="12"/>
      <c r="Q642" s="12"/>
      <c r="R642" s="12"/>
      <c r="S642" s="12"/>
      <c r="T642" s="12"/>
    </row>
    <row r="643">
      <c r="B643" s="12"/>
      <c r="C643" s="12"/>
      <c r="D643" s="12"/>
      <c r="E643" s="12"/>
      <c r="F643" s="12"/>
      <c r="G643" s="12"/>
      <c r="H643" s="12"/>
      <c r="I643" s="12"/>
      <c r="J643" s="12"/>
      <c r="K643" s="12"/>
      <c r="L643" s="12"/>
      <c r="M643" s="12"/>
      <c r="N643" s="12"/>
      <c r="O643" s="12"/>
      <c r="P643" s="12"/>
      <c r="Q643" s="12"/>
      <c r="R643" s="12"/>
      <c r="S643" s="12"/>
      <c r="T643" s="12"/>
    </row>
    <row r="644">
      <c r="B644" s="12"/>
      <c r="C644" s="12"/>
      <c r="D644" s="12"/>
      <c r="E644" s="12"/>
      <c r="F644" s="12"/>
      <c r="G644" s="12"/>
      <c r="H644" s="12"/>
      <c r="I644" s="12"/>
      <c r="J644" s="12"/>
      <c r="K644" s="12"/>
      <c r="L644" s="12"/>
      <c r="M644" s="12"/>
      <c r="N644" s="12"/>
      <c r="O644" s="12"/>
      <c r="P644" s="12"/>
      <c r="Q644" s="12"/>
      <c r="R644" s="12"/>
      <c r="S644" s="12"/>
      <c r="T644" s="12"/>
    </row>
    <row r="645">
      <c r="B645" s="12"/>
      <c r="C645" s="12"/>
      <c r="D645" s="12"/>
      <c r="E645" s="12"/>
      <c r="F645" s="12"/>
      <c r="G645" s="12"/>
      <c r="H645" s="12"/>
      <c r="I645" s="12"/>
      <c r="J645" s="12"/>
      <c r="K645" s="12"/>
      <c r="L645" s="12"/>
      <c r="M645" s="12"/>
      <c r="N645" s="12"/>
      <c r="O645" s="12"/>
      <c r="P645" s="12"/>
      <c r="Q645" s="12"/>
      <c r="R645" s="12"/>
      <c r="S645" s="12"/>
      <c r="T645" s="12"/>
    </row>
    <row r="646">
      <c r="B646" s="12"/>
      <c r="C646" s="12"/>
      <c r="D646" s="12"/>
      <c r="E646" s="12"/>
      <c r="F646" s="12"/>
      <c r="G646" s="12"/>
      <c r="H646" s="12"/>
      <c r="I646" s="12"/>
      <c r="J646" s="12"/>
      <c r="K646" s="12"/>
      <c r="L646" s="12"/>
      <c r="M646" s="12"/>
      <c r="N646" s="12"/>
      <c r="O646" s="12"/>
      <c r="P646" s="12"/>
      <c r="Q646" s="12"/>
      <c r="R646" s="12"/>
      <c r="S646" s="12"/>
      <c r="T646" s="12"/>
    </row>
    <row r="647">
      <c r="B647" s="12"/>
      <c r="C647" s="12"/>
      <c r="D647" s="12"/>
      <c r="E647" s="12"/>
      <c r="F647" s="12"/>
      <c r="G647" s="12"/>
      <c r="H647" s="12"/>
      <c r="I647" s="12"/>
      <c r="J647" s="12"/>
      <c r="K647" s="12"/>
      <c r="L647" s="12"/>
      <c r="M647" s="12"/>
      <c r="N647" s="12"/>
      <c r="O647" s="12"/>
      <c r="P647" s="12"/>
      <c r="Q647" s="12"/>
      <c r="R647" s="12"/>
      <c r="S647" s="12"/>
      <c r="T647" s="12"/>
    </row>
    <row r="648">
      <c r="B648" s="12"/>
      <c r="C648" s="12"/>
      <c r="D648" s="12"/>
      <c r="E648" s="12"/>
      <c r="F648" s="12"/>
      <c r="G648" s="12"/>
      <c r="H648" s="12"/>
      <c r="I648" s="12"/>
      <c r="J648" s="12"/>
      <c r="K648" s="12"/>
      <c r="L648" s="12"/>
      <c r="M648" s="12"/>
      <c r="N648" s="12"/>
      <c r="O648" s="12"/>
      <c r="P648" s="12"/>
      <c r="Q648" s="12"/>
      <c r="R648" s="12"/>
      <c r="S648" s="12"/>
      <c r="T648" s="12"/>
    </row>
    <row r="649">
      <c r="B649" s="12"/>
      <c r="C649" s="12"/>
      <c r="D649" s="12"/>
      <c r="E649" s="12"/>
      <c r="F649" s="12"/>
      <c r="G649" s="12"/>
      <c r="H649" s="12"/>
      <c r="I649" s="12"/>
      <c r="J649" s="12"/>
      <c r="K649" s="12"/>
      <c r="L649" s="12"/>
      <c r="M649" s="12"/>
      <c r="N649" s="12"/>
      <c r="O649" s="12"/>
      <c r="P649" s="12"/>
      <c r="Q649" s="12"/>
      <c r="R649" s="12"/>
      <c r="S649" s="12"/>
      <c r="T649" s="12"/>
    </row>
    <row r="650">
      <c r="B650" s="12"/>
      <c r="C650" s="12"/>
      <c r="D650" s="12"/>
      <c r="E650" s="12"/>
      <c r="F650" s="12"/>
      <c r="G650" s="12"/>
      <c r="H650" s="12"/>
      <c r="I650" s="12"/>
      <c r="J650" s="12"/>
      <c r="K650" s="12"/>
      <c r="L650" s="12"/>
      <c r="M650" s="12"/>
      <c r="N650" s="12"/>
      <c r="O650" s="12"/>
      <c r="P650" s="12"/>
      <c r="Q650" s="12"/>
      <c r="R650" s="12"/>
      <c r="S650" s="12"/>
      <c r="T650" s="12"/>
    </row>
    <row r="651">
      <c r="B651" s="12"/>
      <c r="C651" s="12"/>
      <c r="D651" s="12"/>
      <c r="E651" s="12"/>
      <c r="F651" s="12"/>
      <c r="G651" s="12"/>
      <c r="H651" s="12"/>
      <c r="I651" s="12"/>
      <c r="J651" s="12"/>
      <c r="K651" s="12"/>
      <c r="L651" s="12"/>
      <c r="M651" s="12"/>
      <c r="N651" s="12"/>
      <c r="O651" s="12"/>
      <c r="P651" s="12"/>
      <c r="Q651" s="12"/>
      <c r="R651" s="12"/>
      <c r="S651" s="12"/>
      <c r="T651" s="12"/>
    </row>
    <row r="652">
      <c r="B652" s="12"/>
      <c r="C652" s="12"/>
      <c r="D652" s="12"/>
      <c r="E652" s="12"/>
      <c r="F652" s="12"/>
      <c r="G652" s="12"/>
      <c r="H652" s="12"/>
      <c r="I652" s="12"/>
      <c r="J652" s="12"/>
      <c r="K652" s="12"/>
      <c r="L652" s="12"/>
      <c r="M652" s="12"/>
      <c r="N652" s="12"/>
      <c r="O652" s="12"/>
      <c r="P652" s="12"/>
      <c r="Q652" s="12"/>
      <c r="R652" s="12"/>
      <c r="S652" s="12"/>
      <c r="T652" s="12"/>
    </row>
    <row r="653">
      <c r="B653" s="12"/>
      <c r="C653" s="12"/>
      <c r="D653" s="12"/>
      <c r="E653" s="12"/>
      <c r="F653" s="12"/>
      <c r="G653" s="12"/>
      <c r="H653" s="12"/>
      <c r="I653" s="12"/>
      <c r="J653" s="12"/>
      <c r="K653" s="12"/>
      <c r="L653" s="12"/>
      <c r="M653" s="12"/>
      <c r="N653" s="12"/>
      <c r="O653" s="12"/>
      <c r="P653" s="12"/>
      <c r="Q653" s="12"/>
      <c r="R653" s="12"/>
      <c r="S653" s="12"/>
      <c r="T653" s="12"/>
    </row>
    <row r="654">
      <c r="B654" s="12"/>
      <c r="C654" s="12"/>
      <c r="D654" s="12"/>
      <c r="E654" s="12"/>
      <c r="F654" s="12"/>
      <c r="G654" s="12"/>
      <c r="H654" s="12"/>
      <c r="I654" s="12"/>
      <c r="J654" s="12"/>
      <c r="K654" s="12"/>
      <c r="L654" s="12"/>
      <c r="M654" s="12"/>
      <c r="N654" s="12"/>
      <c r="O654" s="12"/>
      <c r="P654" s="12"/>
      <c r="Q654" s="12"/>
      <c r="R654" s="12"/>
      <c r="S654" s="12"/>
      <c r="T654" s="12"/>
    </row>
    <row r="655">
      <c r="B655" s="12"/>
      <c r="C655" s="12"/>
      <c r="D655" s="12"/>
      <c r="E655" s="12"/>
      <c r="F655" s="12"/>
      <c r="G655" s="12"/>
      <c r="H655" s="12"/>
      <c r="I655" s="12"/>
      <c r="J655" s="12"/>
      <c r="K655" s="12"/>
      <c r="L655" s="12"/>
      <c r="M655" s="12"/>
      <c r="N655" s="12"/>
      <c r="O655" s="12"/>
      <c r="P655" s="12"/>
      <c r="Q655" s="12"/>
      <c r="R655" s="12"/>
      <c r="S655" s="12"/>
      <c r="T655" s="12"/>
    </row>
    <row r="656">
      <c r="B656" s="12"/>
      <c r="C656" s="12"/>
      <c r="D656" s="12"/>
      <c r="E656" s="12"/>
      <c r="F656" s="12"/>
      <c r="G656" s="12"/>
      <c r="H656" s="12"/>
      <c r="I656" s="12"/>
      <c r="J656" s="12"/>
      <c r="K656" s="12"/>
      <c r="L656" s="12"/>
      <c r="M656" s="12"/>
      <c r="N656" s="12"/>
      <c r="O656" s="12"/>
      <c r="P656" s="12"/>
      <c r="Q656" s="12"/>
      <c r="R656" s="12"/>
      <c r="S656" s="12"/>
      <c r="T656" s="12"/>
    </row>
    <row r="657">
      <c r="B657" s="12"/>
      <c r="C657" s="12"/>
      <c r="D657" s="12"/>
      <c r="E657" s="12"/>
      <c r="F657" s="12"/>
      <c r="G657" s="12"/>
      <c r="H657" s="12"/>
      <c r="I657" s="12"/>
      <c r="J657" s="12"/>
      <c r="K657" s="12"/>
      <c r="L657" s="12"/>
      <c r="M657" s="12"/>
      <c r="N657" s="12"/>
      <c r="O657" s="12"/>
      <c r="P657" s="12"/>
      <c r="Q657" s="12"/>
      <c r="R657" s="12"/>
      <c r="S657" s="12"/>
      <c r="T657" s="12"/>
    </row>
    <row r="658">
      <c r="B658" s="12"/>
      <c r="C658" s="12"/>
      <c r="D658" s="12"/>
      <c r="E658" s="12"/>
      <c r="F658" s="12"/>
      <c r="G658" s="12"/>
      <c r="H658" s="12"/>
      <c r="I658" s="12"/>
      <c r="J658" s="12"/>
      <c r="K658" s="12"/>
      <c r="L658" s="12"/>
      <c r="M658" s="12"/>
      <c r="N658" s="12"/>
      <c r="O658" s="12"/>
      <c r="P658" s="12"/>
      <c r="Q658" s="12"/>
      <c r="R658" s="12"/>
      <c r="S658" s="12"/>
      <c r="T658" s="12"/>
    </row>
    <row r="659">
      <c r="B659" s="12"/>
      <c r="C659" s="12"/>
      <c r="D659" s="12"/>
      <c r="E659" s="12"/>
      <c r="F659" s="12"/>
      <c r="G659" s="12"/>
      <c r="H659" s="12"/>
      <c r="I659" s="12"/>
      <c r="J659" s="12"/>
      <c r="K659" s="12"/>
      <c r="L659" s="12"/>
      <c r="M659" s="12"/>
      <c r="N659" s="12"/>
      <c r="O659" s="12"/>
      <c r="P659" s="12"/>
      <c r="Q659" s="12"/>
      <c r="R659" s="12"/>
      <c r="S659" s="12"/>
      <c r="T659" s="12"/>
    </row>
    <row r="660">
      <c r="B660" s="12"/>
      <c r="C660" s="12"/>
      <c r="D660" s="12"/>
      <c r="E660" s="12"/>
      <c r="F660" s="12"/>
      <c r="G660" s="12"/>
      <c r="H660" s="12"/>
      <c r="I660" s="12"/>
      <c r="J660" s="12"/>
      <c r="K660" s="12"/>
      <c r="L660" s="12"/>
      <c r="M660" s="12"/>
      <c r="N660" s="12"/>
      <c r="O660" s="12"/>
      <c r="P660" s="12"/>
      <c r="Q660" s="12"/>
      <c r="R660" s="12"/>
      <c r="S660" s="12"/>
      <c r="T660" s="12"/>
    </row>
    <row r="661">
      <c r="B661" s="12"/>
      <c r="C661" s="12"/>
      <c r="D661" s="12"/>
      <c r="E661" s="12"/>
      <c r="F661" s="12"/>
      <c r="G661" s="12"/>
      <c r="H661" s="12"/>
      <c r="I661" s="12"/>
      <c r="J661" s="12"/>
      <c r="K661" s="12"/>
      <c r="L661" s="12"/>
      <c r="M661" s="12"/>
      <c r="N661" s="12"/>
      <c r="O661" s="12"/>
      <c r="P661" s="12"/>
      <c r="Q661" s="12"/>
      <c r="R661" s="12"/>
      <c r="S661" s="12"/>
      <c r="T661" s="12"/>
    </row>
    <row r="662">
      <c r="B662" s="12"/>
      <c r="C662" s="12"/>
      <c r="D662" s="12"/>
      <c r="E662" s="12"/>
      <c r="F662" s="12"/>
      <c r="G662" s="12"/>
      <c r="H662" s="12"/>
      <c r="I662" s="12"/>
      <c r="J662" s="12"/>
      <c r="K662" s="12"/>
      <c r="L662" s="12"/>
      <c r="M662" s="12"/>
      <c r="N662" s="12"/>
      <c r="O662" s="12"/>
      <c r="P662" s="12"/>
      <c r="Q662" s="12"/>
      <c r="R662" s="12"/>
      <c r="S662" s="12"/>
      <c r="T662" s="12"/>
    </row>
    <row r="663">
      <c r="B663" s="12"/>
      <c r="C663" s="12"/>
      <c r="D663" s="12"/>
      <c r="E663" s="12"/>
      <c r="F663" s="12"/>
      <c r="G663" s="12"/>
      <c r="H663" s="12"/>
      <c r="I663" s="12"/>
      <c r="J663" s="12"/>
      <c r="K663" s="12"/>
      <c r="L663" s="12"/>
      <c r="M663" s="12"/>
      <c r="N663" s="12"/>
      <c r="O663" s="12"/>
      <c r="P663" s="12"/>
      <c r="Q663" s="12"/>
      <c r="R663" s="12"/>
      <c r="S663" s="12"/>
      <c r="T663" s="12"/>
    </row>
    <row r="664">
      <c r="B664" s="12"/>
      <c r="C664" s="12"/>
      <c r="D664" s="12"/>
      <c r="E664" s="12"/>
      <c r="F664" s="12"/>
      <c r="G664" s="12"/>
      <c r="H664" s="12"/>
      <c r="I664" s="12"/>
      <c r="J664" s="12"/>
      <c r="K664" s="12"/>
      <c r="L664" s="12"/>
      <c r="M664" s="12"/>
      <c r="N664" s="12"/>
      <c r="O664" s="12"/>
      <c r="P664" s="12"/>
      <c r="Q664" s="12"/>
      <c r="R664" s="12"/>
      <c r="S664" s="12"/>
      <c r="T664" s="12"/>
    </row>
    <row r="665">
      <c r="B665" s="12"/>
      <c r="C665" s="12"/>
      <c r="D665" s="12"/>
      <c r="E665" s="12"/>
      <c r="F665" s="12"/>
      <c r="G665" s="12"/>
      <c r="H665" s="12"/>
      <c r="I665" s="12"/>
      <c r="J665" s="12"/>
      <c r="K665" s="12"/>
      <c r="L665" s="12"/>
      <c r="M665" s="12"/>
      <c r="N665" s="12"/>
      <c r="O665" s="12"/>
      <c r="P665" s="12"/>
      <c r="Q665" s="12"/>
      <c r="R665" s="12"/>
      <c r="S665" s="12"/>
      <c r="T665" s="12"/>
    </row>
    <row r="666">
      <c r="B666" s="12"/>
      <c r="C666" s="12"/>
      <c r="D666" s="12"/>
      <c r="E666" s="12"/>
      <c r="F666" s="12"/>
      <c r="G666" s="12"/>
      <c r="H666" s="12"/>
      <c r="I666" s="12"/>
      <c r="J666" s="12"/>
      <c r="K666" s="12"/>
      <c r="L666" s="12"/>
      <c r="M666" s="12"/>
      <c r="N666" s="12"/>
      <c r="O666" s="12"/>
      <c r="P666" s="12"/>
      <c r="Q666" s="12"/>
      <c r="R666" s="12"/>
      <c r="S666" s="12"/>
      <c r="T666" s="12"/>
    </row>
    <row r="667">
      <c r="B667" s="12"/>
      <c r="C667" s="12"/>
      <c r="D667" s="12"/>
      <c r="E667" s="12"/>
      <c r="F667" s="12"/>
      <c r="G667" s="12"/>
      <c r="H667" s="12"/>
      <c r="I667" s="12"/>
      <c r="J667" s="12"/>
      <c r="K667" s="12"/>
      <c r="L667" s="12"/>
      <c r="M667" s="12"/>
      <c r="N667" s="12"/>
      <c r="O667" s="12"/>
      <c r="P667" s="12"/>
      <c r="Q667" s="12"/>
      <c r="R667" s="12"/>
      <c r="S667" s="12"/>
      <c r="T667" s="12"/>
    </row>
    <row r="668">
      <c r="B668" s="12"/>
      <c r="C668" s="12"/>
      <c r="D668" s="12"/>
      <c r="E668" s="12"/>
      <c r="F668" s="12"/>
      <c r="G668" s="12"/>
      <c r="H668" s="12"/>
      <c r="I668" s="12"/>
      <c r="J668" s="12"/>
      <c r="K668" s="12"/>
      <c r="L668" s="12"/>
      <c r="M668" s="12"/>
      <c r="N668" s="12"/>
      <c r="O668" s="12"/>
      <c r="P668" s="12"/>
      <c r="Q668" s="12"/>
      <c r="R668" s="12"/>
      <c r="S668" s="12"/>
      <c r="T668" s="12"/>
    </row>
    <row r="669">
      <c r="B669" s="12"/>
      <c r="C669" s="12"/>
      <c r="D669" s="12"/>
      <c r="E669" s="12"/>
      <c r="F669" s="12"/>
      <c r="G669" s="12"/>
      <c r="H669" s="12"/>
      <c r="I669" s="12"/>
      <c r="J669" s="12"/>
      <c r="K669" s="12"/>
      <c r="L669" s="12"/>
      <c r="M669" s="12"/>
      <c r="N669" s="12"/>
      <c r="O669" s="12"/>
      <c r="P669" s="12"/>
      <c r="Q669" s="12"/>
      <c r="R669" s="12"/>
      <c r="S669" s="12"/>
      <c r="T669" s="12"/>
    </row>
    <row r="670">
      <c r="B670" s="12"/>
      <c r="C670" s="12"/>
      <c r="D670" s="12"/>
      <c r="E670" s="12"/>
      <c r="F670" s="12"/>
      <c r="G670" s="12"/>
      <c r="H670" s="12"/>
      <c r="I670" s="12"/>
      <c r="J670" s="12"/>
      <c r="K670" s="12"/>
      <c r="L670" s="12"/>
      <c r="M670" s="12"/>
      <c r="N670" s="12"/>
      <c r="O670" s="12"/>
      <c r="P670" s="12"/>
      <c r="Q670" s="12"/>
      <c r="R670" s="12"/>
      <c r="S670" s="12"/>
      <c r="T670" s="12"/>
    </row>
    <row r="671">
      <c r="B671" s="12"/>
      <c r="C671" s="12"/>
      <c r="D671" s="12"/>
      <c r="E671" s="12"/>
      <c r="F671" s="12"/>
      <c r="G671" s="12"/>
      <c r="H671" s="12"/>
      <c r="I671" s="12"/>
      <c r="J671" s="12"/>
      <c r="K671" s="12"/>
      <c r="L671" s="12"/>
      <c r="M671" s="12"/>
      <c r="N671" s="12"/>
      <c r="O671" s="12"/>
      <c r="P671" s="12"/>
      <c r="Q671" s="12"/>
      <c r="R671" s="12"/>
      <c r="S671" s="12"/>
      <c r="T671" s="12"/>
    </row>
    <row r="672">
      <c r="B672" s="12"/>
      <c r="C672" s="12"/>
      <c r="D672" s="12"/>
      <c r="E672" s="12"/>
      <c r="F672" s="12"/>
      <c r="G672" s="12"/>
      <c r="H672" s="12"/>
      <c r="I672" s="12"/>
      <c r="J672" s="12"/>
      <c r="K672" s="12"/>
      <c r="L672" s="12"/>
      <c r="M672" s="12"/>
      <c r="N672" s="12"/>
      <c r="O672" s="12"/>
      <c r="P672" s="12"/>
      <c r="Q672" s="12"/>
      <c r="R672" s="12"/>
      <c r="S672" s="12"/>
      <c r="T672" s="12"/>
    </row>
    <row r="673">
      <c r="B673" s="12"/>
      <c r="C673" s="12"/>
      <c r="D673" s="12"/>
      <c r="E673" s="12"/>
      <c r="F673" s="12"/>
      <c r="G673" s="12"/>
      <c r="H673" s="12"/>
      <c r="I673" s="12"/>
      <c r="J673" s="12"/>
      <c r="K673" s="12"/>
      <c r="L673" s="12"/>
      <c r="M673" s="12"/>
      <c r="N673" s="12"/>
      <c r="O673" s="12"/>
      <c r="P673" s="12"/>
      <c r="Q673" s="12"/>
      <c r="R673" s="12"/>
      <c r="S673" s="12"/>
      <c r="T673" s="12"/>
    </row>
    <row r="674">
      <c r="B674" s="12"/>
      <c r="C674" s="12"/>
      <c r="D674" s="12"/>
      <c r="E674" s="12"/>
      <c r="F674" s="12"/>
      <c r="G674" s="12"/>
      <c r="H674" s="12"/>
      <c r="I674" s="12"/>
      <c r="J674" s="12"/>
      <c r="K674" s="12"/>
      <c r="L674" s="12"/>
      <c r="M674" s="12"/>
      <c r="N674" s="12"/>
      <c r="O674" s="12"/>
      <c r="P674" s="12"/>
      <c r="Q674" s="12"/>
      <c r="R674" s="12"/>
      <c r="S674" s="12"/>
      <c r="T674" s="12"/>
    </row>
    <row r="675">
      <c r="B675" s="12"/>
      <c r="C675" s="12"/>
      <c r="D675" s="12"/>
      <c r="E675" s="12"/>
      <c r="F675" s="12"/>
      <c r="G675" s="12"/>
      <c r="H675" s="12"/>
      <c r="I675" s="12"/>
      <c r="J675" s="12"/>
      <c r="K675" s="12"/>
      <c r="L675" s="12"/>
      <c r="M675" s="12"/>
      <c r="N675" s="12"/>
      <c r="O675" s="12"/>
      <c r="P675" s="12"/>
      <c r="Q675" s="12"/>
      <c r="R675" s="12"/>
      <c r="S675" s="12"/>
      <c r="T675" s="12"/>
    </row>
    <row r="676">
      <c r="B676" s="12"/>
      <c r="C676" s="12"/>
      <c r="D676" s="12"/>
      <c r="E676" s="12"/>
      <c r="F676" s="12"/>
      <c r="G676" s="12"/>
      <c r="H676" s="12"/>
      <c r="I676" s="12"/>
      <c r="J676" s="12"/>
      <c r="K676" s="12"/>
      <c r="L676" s="12"/>
      <c r="M676" s="12"/>
      <c r="N676" s="12"/>
      <c r="O676" s="12"/>
      <c r="P676" s="12"/>
      <c r="Q676" s="12"/>
      <c r="R676" s="12"/>
      <c r="S676" s="12"/>
      <c r="T676" s="12"/>
    </row>
    <row r="677">
      <c r="B677" s="12"/>
      <c r="C677" s="12"/>
      <c r="D677" s="12"/>
      <c r="E677" s="12"/>
      <c r="F677" s="12"/>
      <c r="G677" s="12"/>
      <c r="H677" s="12"/>
      <c r="I677" s="12"/>
      <c r="J677" s="12"/>
      <c r="K677" s="12"/>
      <c r="L677" s="12"/>
      <c r="M677" s="12"/>
      <c r="N677" s="12"/>
      <c r="O677" s="12"/>
      <c r="P677" s="12"/>
      <c r="Q677" s="12"/>
      <c r="R677" s="12"/>
      <c r="S677" s="12"/>
      <c r="T677" s="12"/>
    </row>
    <row r="678">
      <c r="B678" s="12"/>
      <c r="C678" s="12"/>
      <c r="D678" s="12"/>
      <c r="E678" s="12"/>
      <c r="F678" s="12"/>
      <c r="G678" s="12"/>
      <c r="H678" s="12"/>
      <c r="I678" s="12"/>
      <c r="J678" s="12"/>
      <c r="K678" s="12"/>
      <c r="L678" s="12"/>
      <c r="M678" s="12"/>
      <c r="N678" s="12"/>
      <c r="O678" s="12"/>
      <c r="P678" s="12"/>
      <c r="Q678" s="12"/>
      <c r="R678" s="12"/>
      <c r="S678" s="12"/>
      <c r="T678" s="12"/>
    </row>
    <row r="679">
      <c r="B679" s="12"/>
      <c r="C679" s="12"/>
      <c r="D679" s="12"/>
      <c r="E679" s="12"/>
      <c r="F679" s="12"/>
      <c r="G679" s="12"/>
      <c r="H679" s="12"/>
      <c r="I679" s="12"/>
      <c r="J679" s="12"/>
      <c r="K679" s="12"/>
      <c r="L679" s="12"/>
      <c r="M679" s="12"/>
      <c r="N679" s="12"/>
      <c r="O679" s="12"/>
      <c r="P679" s="12"/>
      <c r="Q679" s="12"/>
      <c r="R679" s="12"/>
      <c r="S679" s="12"/>
      <c r="T679" s="12"/>
    </row>
    <row r="680">
      <c r="B680" s="12"/>
      <c r="C680" s="12"/>
      <c r="D680" s="12"/>
      <c r="E680" s="12"/>
      <c r="F680" s="12"/>
      <c r="G680" s="12"/>
      <c r="H680" s="12"/>
      <c r="I680" s="12"/>
      <c r="J680" s="12"/>
      <c r="K680" s="12"/>
      <c r="L680" s="12"/>
      <c r="M680" s="12"/>
      <c r="N680" s="12"/>
      <c r="O680" s="12"/>
      <c r="P680" s="12"/>
      <c r="Q680" s="12"/>
      <c r="R680" s="12"/>
      <c r="S680" s="12"/>
      <c r="T680" s="12"/>
    </row>
    <row r="681">
      <c r="B681" s="12"/>
      <c r="C681" s="12"/>
      <c r="D681" s="12"/>
      <c r="E681" s="12"/>
      <c r="F681" s="12"/>
      <c r="G681" s="12"/>
      <c r="H681" s="12"/>
      <c r="I681" s="12"/>
      <c r="J681" s="12"/>
      <c r="K681" s="12"/>
      <c r="L681" s="12"/>
      <c r="M681" s="12"/>
      <c r="N681" s="12"/>
      <c r="O681" s="12"/>
      <c r="P681" s="12"/>
      <c r="Q681" s="12"/>
      <c r="R681" s="12"/>
      <c r="S681" s="12"/>
      <c r="T681" s="12"/>
    </row>
    <row r="682">
      <c r="B682" s="12"/>
      <c r="C682" s="12"/>
      <c r="D682" s="12"/>
      <c r="E682" s="12"/>
      <c r="F682" s="12"/>
      <c r="G682" s="12"/>
      <c r="H682" s="12"/>
      <c r="I682" s="12"/>
      <c r="J682" s="12"/>
      <c r="K682" s="12"/>
      <c r="L682" s="12"/>
      <c r="M682" s="12"/>
      <c r="N682" s="12"/>
      <c r="O682" s="12"/>
      <c r="P682" s="12"/>
      <c r="Q682" s="12"/>
      <c r="R682" s="12"/>
      <c r="S682" s="12"/>
      <c r="T682" s="12"/>
    </row>
    <row r="683">
      <c r="B683" s="12"/>
      <c r="C683" s="12"/>
      <c r="D683" s="12"/>
      <c r="E683" s="12"/>
      <c r="F683" s="12"/>
      <c r="G683" s="12"/>
      <c r="H683" s="12"/>
      <c r="I683" s="12"/>
      <c r="J683" s="12"/>
      <c r="K683" s="12"/>
      <c r="L683" s="12"/>
      <c r="M683" s="12"/>
      <c r="N683" s="12"/>
      <c r="O683" s="12"/>
      <c r="P683" s="12"/>
      <c r="Q683" s="12"/>
      <c r="R683" s="12"/>
      <c r="S683" s="12"/>
      <c r="T683" s="12"/>
    </row>
    <row r="684">
      <c r="B684" s="12"/>
      <c r="C684" s="12"/>
      <c r="D684" s="12"/>
      <c r="E684" s="12"/>
      <c r="F684" s="12"/>
      <c r="G684" s="12"/>
      <c r="H684" s="12"/>
      <c r="I684" s="12"/>
      <c r="J684" s="12"/>
      <c r="K684" s="12"/>
      <c r="L684" s="12"/>
      <c r="M684" s="12"/>
      <c r="N684" s="12"/>
      <c r="O684" s="12"/>
      <c r="P684" s="12"/>
      <c r="Q684" s="12"/>
      <c r="R684" s="12"/>
      <c r="S684" s="12"/>
      <c r="T684" s="12"/>
    </row>
    <row r="685">
      <c r="B685" s="12"/>
      <c r="C685" s="12"/>
      <c r="D685" s="12"/>
      <c r="E685" s="12"/>
      <c r="F685" s="12"/>
      <c r="G685" s="12"/>
      <c r="H685" s="12"/>
      <c r="I685" s="12"/>
      <c r="J685" s="12"/>
      <c r="K685" s="12"/>
      <c r="L685" s="12"/>
      <c r="M685" s="12"/>
      <c r="N685" s="12"/>
      <c r="O685" s="12"/>
      <c r="P685" s="12"/>
      <c r="Q685" s="12"/>
      <c r="R685" s="12"/>
      <c r="S685" s="12"/>
      <c r="T685" s="12"/>
    </row>
    <row r="686">
      <c r="B686" s="12"/>
      <c r="C686" s="12"/>
      <c r="D686" s="12"/>
      <c r="E686" s="12"/>
      <c r="F686" s="12"/>
      <c r="G686" s="12"/>
      <c r="H686" s="12"/>
      <c r="I686" s="12"/>
      <c r="J686" s="12"/>
      <c r="K686" s="12"/>
      <c r="L686" s="12"/>
      <c r="M686" s="12"/>
      <c r="N686" s="12"/>
      <c r="O686" s="12"/>
      <c r="P686" s="12"/>
      <c r="Q686" s="12"/>
      <c r="R686" s="12"/>
      <c r="S686" s="12"/>
      <c r="T686" s="12"/>
    </row>
    <row r="687">
      <c r="B687" s="12"/>
      <c r="C687" s="12"/>
      <c r="D687" s="12"/>
      <c r="E687" s="12"/>
      <c r="F687" s="12"/>
      <c r="G687" s="12"/>
      <c r="H687" s="12"/>
      <c r="I687" s="12"/>
      <c r="J687" s="12"/>
      <c r="K687" s="12"/>
      <c r="L687" s="12"/>
      <c r="M687" s="12"/>
      <c r="N687" s="12"/>
      <c r="O687" s="12"/>
      <c r="P687" s="12"/>
      <c r="Q687" s="12"/>
      <c r="R687" s="12"/>
      <c r="S687" s="12"/>
      <c r="T687" s="12"/>
    </row>
    <row r="688">
      <c r="B688" s="12"/>
      <c r="C688" s="12"/>
      <c r="D688" s="12"/>
      <c r="E688" s="12"/>
      <c r="F688" s="12"/>
      <c r="G688" s="12"/>
      <c r="H688" s="12"/>
      <c r="I688" s="12"/>
      <c r="J688" s="12"/>
      <c r="K688" s="12"/>
      <c r="L688" s="12"/>
      <c r="M688" s="12"/>
      <c r="N688" s="12"/>
      <c r="O688" s="12"/>
      <c r="P688" s="12"/>
      <c r="Q688" s="12"/>
      <c r="R688" s="12"/>
      <c r="S688" s="12"/>
      <c r="T688" s="12"/>
    </row>
    <row r="689">
      <c r="B689" s="12"/>
      <c r="C689" s="12"/>
      <c r="D689" s="12"/>
      <c r="E689" s="12"/>
      <c r="F689" s="12"/>
      <c r="G689" s="12"/>
      <c r="H689" s="12"/>
      <c r="I689" s="12"/>
      <c r="J689" s="12"/>
      <c r="K689" s="12"/>
      <c r="L689" s="12"/>
      <c r="M689" s="12"/>
      <c r="N689" s="12"/>
      <c r="O689" s="12"/>
      <c r="P689" s="12"/>
      <c r="Q689" s="12"/>
      <c r="R689" s="12"/>
      <c r="S689" s="12"/>
      <c r="T689" s="12"/>
    </row>
    <row r="690">
      <c r="B690" s="12"/>
      <c r="C690" s="12"/>
      <c r="D690" s="12"/>
      <c r="E690" s="12"/>
      <c r="F690" s="12"/>
      <c r="G690" s="12"/>
      <c r="H690" s="12"/>
      <c r="I690" s="12"/>
      <c r="J690" s="12"/>
      <c r="K690" s="12"/>
      <c r="L690" s="12"/>
      <c r="M690" s="12"/>
      <c r="N690" s="12"/>
      <c r="O690" s="12"/>
      <c r="P690" s="12"/>
      <c r="Q690" s="12"/>
      <c r="R690" s="12"/>
      <c r="S690" s="12"/>
      <c r="T690" s="12"/>
    </row>
    <row r="691">
      <c r="B691" s="12"/>
      <c r="C691" s="12"/>
      <c r="D691" s="12"/>
      <c r="E691" s="12"/>
      <c r="F691" s="12"/>
      <c r="G691" s="12"/>
      <c r="H691" s="12"/>
      <c r="I691" s="12"/>
      <c r="J691" s="12"/>
      <c r="K691" s="12"/>
      <c r="L691" s="12"/>
      <c r="M691" s="12"/>
      <c r="N691" s="12"/>
      <c r="O691" s="12"/>
      <c r="P691" s="12"/>
      <c r="Q691" s="12"/>
      <c r="R691" s="12"/>
      <c r="S691" s="12"/>
      <c r="T691" s="12"/>
    </row>
    <row r="692">
      <c r="B692" s="12"/>
      <c r="C692" s="12"/>
      <c r="D692" s="12"/>
      <c r="E692" s="12"/>
      <c r="F692" s="12"/>
      <c r="G692" s="12"/>
      <c r="H692" s="12"/>
      <c r="I692" s="12"/>
      <c r="J692" s="12"/>
      <c r="K692" s="12"/>
      <c r="L692" s="12"/>
      <c r="M692" s="12"/>
      <c r="N692" s="12"/>
      <c r="O692" s="12"/>
      <c r="P692" s="12"/>
      <c r="Q692" s="12"/>
      <c r="R692" s="12"/>
      <c r="S692" s="12"/>
      <c r="T692" s="12"/>
    </row>
    <row r="693">
      <c r="B693" s="12"/>
      <c r="C693" s="12"/>
      <c r="D693" s="12"/>
      <c r="E693" s="12"/>
      <c r="F693" s="12"/>
      <c r="G693" s="12"/>
      <c r="H693" s="12"/>
      <c r="I693" s="12"/>
      <c r="J693" s="12"/>
      <c r="K693" s="12"/>
      <c r="L693" s="12"/>
      <c r="M693" s="12"/>
      <c r="N693" s="12"/>
      <c r="O693" s="12"/>
      <c r="P693" s="12"/>
      <c r="Q693" s="12"/>
      <c r="R693" s="12"/>
      <c r="S693" s="12"/>
      <c r="T693" s="12"/>
    </row>
    <row r="694">
      <c r="B694" s="12"/>
      <c r="C694" s="12"/>
      <c r="D694" s="12"/>
      <c r="E694" s="12"/>
      <c r="F694" s="12"/>
      <c r="G694" s="12"/>
      <c r="H694" s="12"/>
      <c r="I694" s="12"/>
      <c r="J694" s="12"/>
      <c r="K694" s="12"/>
      <c r="L694" s="12"/>
      <c r="M694" s="12"/>
      <c r="N694" s="12"/>
      <c r="O694" s="12"/>
      <c r="P694" s="12"/>
      <c r="Q694" s="12"/>
      <c r="R694" s="12"/>
      <c r="S694" s="12"/>
      <c r="T694" s="12"/>
    </row>
    <row r="695">
      <c r="B695" s="12"/>
      <c r="C695" s="12"/>
      <c r="D695" s="12"/>
      <c r="E695" s="12"/>
      <c r="F695" s="12"/>
      <c r="G695" s="12"/>
      <c r="H695" s="12"/>
      <c r="I695" s="12"/>
      <c r="J695" s="12"/>
      <c r="K695" s="12"/>
      <c r="L695" s="12"/>
      <c r="M695" s="12"/>
      <c r="N695" s="12"/>
      <c r="O695" s="12"/>
      <c r="P695" s="12"/>
      <c r="Q695" s="12"/>
      <c r="R695" s="12"/>
      <c r="S695" s="12"/>
      <c r="T695" s="12"/>
    </row>
    <row r="696">
      <c r="B696" s="12"/>
      <c r="C696" s="12"/>
      <c r="D696" s="12"/>
      <c r="E696" s="12"/>
      <c r="F696" s="12"/>
      <c r="G696" s="12"/>
      <c r="H696" s="12"/>
      <c r="I696" s="12"/>
      <c r="J696" s="12"/>
      <c r="K696" s="12"/>
      <c r="L696" s="12"/>
      <c r="M696" s="12"/>
      <c r="N696" s="12"/>
      <c r="O696" s="12"/>
      <c r="P696" s="12"/>
      <c r="Q696" s="12"/>
      <c r="R696" s="12"/>
      <c r="S696" s="12"/>
      <c r="T696" s="12"/>
    </row>
    <row r="697">
      <c r="B697" s="12"/>
      <c r="C697" s="12"/>
      <c r="D697" s="12"/>
      <c r="E697" s="12"/>
      <c r="F697" s="12"/>
      <c r="G697" s="12"/>
      <c r="H697" s="12"/>
      <c r="I697" s="12"/>
      <c r="J697" s="12"/>
      <c r="K697" s="12"/>
      <c r="L697" s="12"/>
      <c r="M697" s="12"/>
      <c r="N697" s="12"/>
      <c r="O697" s="12"/>
      <c r="P697" s="12"/>
      <c r="Q697" s="12"/>
      <c r="R697" s="12"/>
      <c r="S697" s="12"/>
      <c r="T697" s="12"/>
    </row>
    <row r="698">
      <c r="B698" s="12"/>
      <c r="C698" s="12"/>
      <c r="D698" s="12"/>
      <c r="E698" s="12"/>
      <c r="F698" s="12"/>
      <c r="G698" s="12"/>
      <c r="H698" s="12"/>
      <c r="I698" s="12"/>
      <c r="J698" s="12"/>
      <c r="K698" s="12"/>
      <c r="L698" s="12"/>
      <c r="M698" s="12"/>
      <c r="N698" s="12"/>
      <c r="O698" s="12"/>
      <c r="P698" s="12"/>
      <c r="Q698" s="12"/>
      <c r="R698" s="12"/>
      <c r="S698" s="12"/>
      <c r="T698" s="12"/>
    </row>
    <row r="699">
      <c r="B699" s="12"/>
      <c r="C699" s="12"/>
      <c r="D699" s="12"/>
      <c r="E699" s="12"/>
      <c r="F699" s="12"/>
      <c r="G699" s="12"/>
      <c r="H699" s="12"/>
      <c r="I699" s="12"/>
      <c r="J699" s="12"/>
      <c r="K699" s="12"/>
      <c r="L699" s="12"/>
      <c r="M699" s="12"/>
      <c r="N699" s="12"/>
      <c r="O699" s="12"/>
      <c r="P699" s="12"/>
      <c r="Q699" s="12"/>
      <c r="R699" s="12"/>
      <c r="S699" s="12"/>
      <c r="T699" s="12"/>
    </row>
    <row r="700">
      <c r="B700" s="12"/>
      <c r="C700" s="12"/>
      <c r="D700" s="12"/>
      <c r="E700" s="12"/>
      <c r="F700" s="12"/>
      <c r="G700" s="12"/>
      <c r="H700" s="12"/>
      <c r="I700" s="12"/>
      <c r="J700" s="12"/>
      <c r="K700" s="12"/>
      <c r="L700" s="12"/>
      <c r="M700" s="12"/>
      <c r="N700" s="12"/>
      <c r="O700" s="12"/>
      <c r="P700" s="12"/>
      <c r="Q700" s="12"/>
      <c r="R700" s="12"/>
      <c r="S700" s="12"/>
      <c r="T700" s="12"/>
    </row>
    <row r="701">
      <c r="B701" s="12"/>
      <c r="C701" s="12"/>
      <c r="D701" s="12"/>
      <c r="E701" s="12"/>
      <c r="F701" s="12"/>
      <c r="G701" s="12"/>
      <c r="H701" s="12"/>
      <c r="I701" s="12"/>
      <c r="J701" s="12"/>
      <c r="K701" s="12"/>
      <c r="L701" s="12"/>
      <c r="M701" s="12"/>
      <c r="N701" s="12"/>
      <c r="O701" s="12"/>
      <c r="P701" s="12"/>
      <c r="Q701" s="12"/>
      <c r="R701" s="12"/>
      <c r="S701" s="12"/>
      <c r="T701" s="12"/>
    </row>
    <row r="702">
      <c r="B702" s="12"/>
      <c r="C702" s="12"/>
      <c r="D702" s="12"/>
      <c r="E702" s="12"/>
      <c r="F702" s="12"/>
      <c r="G702" s="12"/>
      <c r="H702" s="12"/>
      <c r="I702" s="12"/>
      <c r="J702" s="12"/>
      <c r="K702" s="12"/>
      <c r="L702" s="12"/>
      <c r="M702" s="12"/>
      <c r="N702" s="12"/>
      <c r="O702" s="12"/>
      <c r="P702" s="12"/>
      <c r="Q702" s="12"/>
      <c r="R702" s="12"/>
      <c r="S702" s="12"/>
      <c r="T702" s="12"/>
    </row>
    <row r="703">
      <c r="B703" s="12"/>
      <c r="C703" s="12"/>
      <c r="D703" s="12"/>
      <c r="E703" s="12"/>
      <c r="F703" s="12"/>
      <c r="G703" s="12"/>
      <c r="H703" s="12"/>
      <c r="I703" s="12"/>
      <c r="J703" s="12"/>
      <c r="K703" s="12"/>
      <c r="L703" s="12"/>
      <c r="M703" s="12"/>
      <c r="N703" s="12"/>
      <c r="O703" s="12"/>
      <c r="P703" s="12"/>
      <c r="Q703" s="12"/>
      <c r="R703" s="12"/>
      <c r="S703" s="12"/>
      <c r="T703" s="12"/>
    </row>
    <row r="704">
      <c r="B704" s="12"/>
      <c r="C704" s="12"/>
      <c r="D704" s="12"/>
      <c r="E704" s="12"/>
      <c r="F704" s="12"/>
      <c r="G704" s="12"/>
      <c r="H704" s="12"/>
      <c r="I704" s="12"/>
      <c r="J704" s="12"/>
      <c r="K704" s="12"/>
      <c r="L704" s="12"/>
      <c r="M704" s="12"/>
      <c r="N704" s="12"/>
      <c r="O704" s="12"/>
      <c r="P704" s="12"/>
      <c r="Q704" s="12"/>
      <c r="R704" s="12"/>
      <c r="S704" s="12"/>
      <c r="T704" s="12"/>
    </row>
    <row r="705">
      <c r="B705" s="12"/>
      <c r="C705" s="12"/>
      <c r="D705" s="12"/>
      <c r="E705" s="12"/>
      <c r="F705" s="12"/>
      <c r="G705" s="12"/>
      <c r="H705" s="12"/>
      <c r="I705" s="12"/>
      <c r="J705" s="12"/>
      <c r="K705" s="12"/>
      <c r="L705" s="12"/>
      <c r="M705" s="12"/>
      <c r="N705" s="12"/>
      <c r="O705" s="12"/>
      <c r="P705" s="12"/>
      <c r="Q705" s="12"/>
      <c r="R705" s="12"/>
      <c r="S705" s="12"/>
      <c r="T705" s="12"/>
    </row>
    <row r="706">
      <c r="B706" s="12"/>
      <c r="C706" s="12"/>
      <c r="D706" s="12"/>
      <c r="E706" s="12"/>
      <c r="F706" s="12"/>
      <c r="G706" s="12"/>
      <c r="H706" s="12"/>
      <c r="I706" s="12"/>
      <c r="J706" s="12"/>
      <c r="K706" s="12"/>
      <c r="L706" s="12"/>
      <c r="M706" s="12"/>
      <c r="N706" s="12"/>
      <c r="O706" s="12"/>
      <c r="P706" s="12"/>
      <c r="Q706" s="12"/>
      <c r="R706" s="12"/>
      <c r="S706" s="12"/>
      <c r="T706" s="12"/>
    </row>
    <row r="707">
      <c r="B707" s="12"/>
      <c r="C707" s="12"/>
      <c r="D707" s="12"/>
      <c r="E707" s="12"/>
      <c r="F707" s="12"/>
      <c r="G707" s="12"/>
      <c r="H707" s="12"/>
      <c r="I707" s="12"/>
      <c r="J707" s="12"/>
      <c r="K707" s="12"/>
      <c r="L707" s="12"/>
      <c r="M707" s="12"/>
      <c r="N707" s="12"/>
      <c r="O707" s="12"/>
      <c r="P707" s="12"/>
      <c r="Q707" s="12"/>
      <c r="R707" s="12"/>
      <c r="S707" s="12"/>
      <c r="T707" s="12"/>
    </row>
    <row r="708">
      <c r="B708" s="12"/>
      <c r="C708" s="12"/>
      <c r="D708" s="12"/>
      <c r="E708" s="12"/>
      <c r="F708" s="12"/>
      <c r="G708" s="12"/>
      <c r="H708" s="12"/>
      <c r="I708" s="12"/>
      <c r="J708" s="12"/>
      <c r="K708" s="12"/>
      <c r="L708" s="12"/>
      <c r="M708" s="12"/>
      <c r="N708" s="12"/>
      <c r="O708" s="12"/>
      <c r="P708" s="12"/>
      <c r="Q708" s="12"/>
      <c r="R708" s="12"/>
      <c r="S708" s="12"/>
      <c r="T708" s="12"/>
    </row>
    <row r="709">
      <c r="B709" s="12"/>
      <c r="C709" s="12"/>
      <c r="D709" s="12"/>
      <c r="E709" s="12"/>
      <c r="F709" s="12"/>
      <c r="G709" s="12"/>
      <c r="H709" s="12"/>
      <c r="I709" s="12"/>
      <c r="J709" s="12"/>
      <c r="K709" s="12"/>
      <c r="L709" s="12"/>
      <c r="M709" s="12"/>
      <c r="N709" s="12"/>
      <c r="O709" s="12"/>
      <c r="P709" s="12"/>
      <c r="Q709" s="12"/>
      <c r="R709" s="12"/>
      <c r="S709" s="12"/>
      <c r="T709" s="12"/>
    </row>
    <row r="710">
      <c r="B710" s="12"/>
      <c r="C710" s="12"/>
      <c r="D710" s="12"/>
      <c r="E710" s="12"/>
      <c r="F710" s="12"/>
      <c r="G710" s="12"/>
      <c r="H710" s="12"/>
      <c r="I710" s="12"/>
      <c r="J710" s="12"/>
      <c r="K710" s="12"/>
      <c r="L710" s="12"/>
      <c r="M710" s="12"/>
      <c r="N710" s="12"/>
      <c r="O710" s="12"/>
      <c r="P710" s="12"/>
      <c r="Q710" s="12"/>
      <c r="R710" s="12"/>
      <c r="S710" s="12"/>
      <c r="T710" s="12"/>
    </row>
    <row r="711">
      <c r="B711" s="12"/>
      <c r="C711" s="12"/>
      <c r="D711" s="12"/>
      <c r="E711" s="12"/>
      <c r="F711" s="12"/>
      <c r="G711" s="12"/>
      <c r="H711" s="12"/>
      <c r="I711" s="12"/>
      <c r="J711" s="12"/>
      <c r="K711" s="12"/>
      <c r="L711" s="12"/>
      <c r="M711" s="12"/>
      <c r="N711" s="12"/>
      <c r="O711" s="12"/>
      <c r="P711" s="12"/>
      <c r="Q711" s="12"/>
      <c r="R711" s="12"/>
      <c r="S711" s="12"/>
      <c r="T711" s="12"/>
    </row>
    <row r="712">
      <c r="B712" s="12"/>
      <c r="C712" s="12"/>
      <c r="D712" s="12"/>
      <c r="E712" s="12"/>
      <c r="F712" s="12"/>
      <c r="G712" s="12"/>
      <c r="H712" s="12"/>
      <c r="I712" s="12"/>
      <c r="J712" s="12"/>
      <c r="K712" s="12"/>
      <c r="L712" s="12"/>
      <c r="M712" s="12"/>
      <c r="N712" s="12"/>
      <c r="O712" s="12"/>
      <c r="P712" s="12"/>
      <c r="Q712" s="12"/>
      <c r="R712" s="12"/>
      <c r="S712" s="12"/>
      <c r="T712" s="12"/>
    </row>
    <row r="713">
      <c r="B713" s="12"/>
      <c r="C713" s="12"/>
      <c r="D713" s="12"/>
      <c r="E713" s="12"/>
      <c r="F713" s="12"/>
      <c r="G713" s="12"/>
      <c r="H713" s="12"/>
      <c r="I713" s="12"/>
      <c r="J713" s="12"/>
      <c r="K713" s="12"/>
      <c r="L713" s="12"/>
      <c r="M713" s="12"/>
      <c r="N713" s="12"/>
      <c r="O713" s="12"/>
      <c r="P713" s="12"/>
      <c r="Q713" s="12"/>
      <c r="R713" s="12"/>
      <c r="S713" s="12"/>
      <c r="T713" s="12"/>
    </row>
    <row r="714">
      <c r="B714" s="12"/>
      <c r="C714" s="12"/>
      <c r="D714" s="12"/>
      <c r="E714" s="12"/>
      <c r="F714" s="12"/>
      <c r="G714" s="12"/>
      <c r="H714" s="12"/>
      <c r="I714" s="12"/>
      <c r="J714" s="12"/>
      <c r="K714" s="12"/>
      <c r="L714" s="12"/>
      <c r="M714" s="12"/>
      <c r="N714" s="12"/>
      <c r="O714" s="12"/>
      <c r="P714" s="12"/>
      <c r="Q714" s="12"/>
      <c r="R714" s="12"/>
      <c r="S714" s="12"/>
      <c r="T714" s="12"/>
    </row>
    <row r="715">
      <c r="B715" s="12"/>
      <c r="C715" s="12"/>
      <c r="D715" s="12"/>
      <c r="E715" s="12"/>
      <c r="F715" s="12"/>
      <c r="G715" s="12"/>
      <c r="H715" s="12"/>
      <c r="I715" s="12"/>
      <c r="J715" s="12"/>
      <c r="K715" s="12"/>
      <c r="L715" s="12"/>
      <c r="M715" s="12"/>
      <c r="N715" s="12"/>
      <c r="O715" s="12"/>
      <c r="P715" s="12"/>
      <c r="Q715" s="12"/>
      <c r="R715" s="12"/>
      <c r="S715" s="12"/>
      <c r="T715" s="12"/>
    </row>
    <row r="716">
      <c r="B716" s="12"/>
      <c r="C716" s="12"/>
      <c r="D716" s="12"/>
      <c r="E716" s="12"/>
      <c r="F716" s="12"/>
      <c r="G716" s="12"/>
      <c r="H716" s="12"/>
      <c r="I716" s="12"/>
      <c r="J716" s="12"/>
      <c r="K716" s="12"/>
      <c r="L716" s="12"/>
      <c r="M716" s="12"/>
      <c r="N716" s="12"/>
      <c r="O716" s="12"/>
      <c r="P716" s="12"/>
      <c r="Q716" s="12"/>
      <c r="R716" s="12"/>
      <c r="S716" s="12"/>
      <c r="T716" s="12"/>
    </row>
    <row r="717">
      <c r="B717" s="12"/>
      <c r="C717" s="12"/>
      <c r="D717" s="12"/>
      <c r="E717" s="12"/>
      <c r="F717" s="12"/>
      <c r="G717" s="12"/>
      <c r="H717" s="12"/>
      <c r="I717" s="12"/>
      <c r="J717" s="12"/>
      <c r="K717" s="12"/>
      <c r="L717" s="12"/>
      <c r="M717" s="12"/>
      <c r="N717" s="12"/>
      <c r="O717" s="12"/>
      <c r="P717" s="12"/>
      <c r="Q717" s="12"/>
      <c r="R717" s="12"/>
      <c r="S717" s="12"/>
      <c r="T717" s="12"/>
    </row>
    <row r="718">
      <c r="B718" s="12"/>
      <c r="C718" s="12"/>
      <c r="D718" s="12"/>
      <c r="E718" s="12"/>
      <c r="F718" s="12"/>
      <c r="G718" s="12"/>
      <c r="H718" s="12"/>
      <c r="I718" s="12"/>
      <c r="J718" s="12"/>
      <c r="K718" s="12"/>
      <c r="L718" s="12"/>
      <c r="M718" s="12"/>
      <c r="N718" s="12"/>
      <c r="O718" s="12"/>
      <c r="P718" s="12"/>
      <c r="Q718" s="12"/>
      <c r="R718" s="12"/>
      <c r="S718" s="12"/>
      <c r="T718" s="12"/>
    </row>
    <row r="719">
      <c r="B719" s="12"/>
      <c r="C719" s="12"/>
      <c r="D719" s="12"/>
      <c r="E719" s="12"/>
      <c r="F719" s="12"/>
      <c r="G719" s="12"/>
      <c r="H719" s="12"/>
      <c r="I719" s="12"/>
      <c r="J719" s="12"/>
      <c r="K719" s="12"/>
      <c r="L719" s="12"/>
      <c r="M719" s="12"/>
      <c r="N719" s="12"/>
      <c r="O719" s="12"/>
      <c r="P719" s="12"/>
      <c r="Q719" s="12"/>
      <c r="R719" s="12"/>
      <c r="S719" s="12"/>
      <c r="T719" s="12"/>
    </row>
    <row r="720">
      <c r="B720" s="12"/>
      <c r="C720" s="12"/>
      <c r="D720" s="12"/>
      <c r="E720" s="12"/>
      <c r="F720" s="12"/>
      <c r="G720" s="12"/>
      <c r="H720" s="12"/>
      <c r="I720" s="12"/>
      <c r="J720" s="12"/>
      <c r="K720" s="12"/>
      <c r="L720" s="12"/>
      <c r="M720" s="12"/>
      <c r="N720" s="12"/>
      <c r="O720" s="12"/>
      <c r="P720" s="12"/>
      <c r="Q720" s="12"/>
      <c r="R720" s="12"/>
      <c r="S720" s="12"/>
      <c r="T720" s="12"/>
    </row>
    <row r="721">
      <c r="B721" s="12"/>
      <c r="C721" s="12"/>
      <c r="D721" s="12"/>
      <c r="E721" s="12"/>
      <c r="F721" s="12"/>
      <c r="G721" s="12"/>
      <c r="H721" s="12"/>
      <c r="I721" s="12"/>
      <c r="J721" s="12"/>
      <c r="K721" s="12"/>
      <c r="L721" s="12"/>
      <c r="M721" s="12"/>
      <c r="N721" s="12"/>
      <c r="O721" s="12"/>
      <c r="P721" s="12"/>
      <c r="Q721" s="12"/>
      <c r="R721" s="12"/>
      <c r="S721" s="12"/>
      <c r="T721" s="12"/>
    </row>
    <row r="722">
      <c r="B722" s="12"/>
      <c r="C722" s="12"/>
      <c r="D722" s="12"/>
      <c r="E722" s="12"/>
      <c r="F722" s="12"/>
      <c r="G722" s="12"/>
      <c r="H722" s="12"/>
      <c r="I722" s="12"/>
      <c r="J722" s="12"/>
      <c r="K722" s="12"/>
      <c r="L722" s="12"/>
      <c r="M722" s="12"/>
      <c r="N722" s="12"/>
      <c r="O722" s="12"/>
      <c r="P722" s="12"/>
      <c r="Q722" s="12"/>
      <c r="R722" s="12"/>
      <c r="S722" s="12"/>
      <c r="T722" s="12"/>
    </row>
    <row r="723">
      <c r="B723" s="12"/>
      <c r="C723" s="12"/>
      <c r="D723" s="12"/>
      <c r="E723" s="12"/>
      <c r="F723" s="12"/>
      <c r="G723" s="12"/>
      <c r="H723" s="12"/>
      <c r="I723" s="12"/>
      <c r="J723" s="12"/>
      <c r="K723" s="12"/>
      <c r="L723" s="12"/>
      <c r="M723" s="12"/>
      <c r="N723" s="12"/>
      <c r="O723" s="12"/>
      <c r="P723" s="12"/>
      <c r="Q723" s="12"/>
      <c r="R723" s="12"/>
      <c r="S723" s="12"/>
      <c r="T723" s="12"/>
    </row>
    <row r="724">
      <c r="B724" s="12"/>
      <c r="C724" s="12"/>
      <c r="D724" s="12"/>
      <c r="E724" s="12"/>
      <c r="F724" s="12"/>
      <c r="G724" s="12"/>
      <c r="H724" s="12"/>
      <c r="I724" s="12"/>
      <c r="J724" s="12"/>
      <c r="K724" s="12"/>
      <c r="L724" s="12"/>
      <c r="M724" s="12"/>
      <c r="N724" s="12"/>
      <c r="O724" s="12"/>
      <c r="P724" s="12"/>
      <c r="Q724" s="12"/>
      <c r="R724" s="12"/>
      <c r="S724" s="12"/>
      <c r="T724" s="12"/>
    </row>
    <row r="725">
      <c r="B725" s="12"/>
      <c r="C725" s="12"/>
      <c r="D725" s="12"/>
      <c r="E725" s="12"/>
      <c r="F725" s="12"/>
      <c r="G725" s="12"/>
      <c r="H725" s="12"/>
      <c r="I725" s="12"/>
      <c r="J725" s="12"/>
      <c r="K725" s="12"/>
      <c r="L725" s="12"/>
      <c r="M725" s="12"/>
      <c r="N725" s="12"/>
      <c r="O725" s="12"/>
      <c r="P725" s="12"/>
      <c r="Q725" s="12"/>
      <c r="R725" s="12"/>
      <c r="S725" s="12"/>
      <c r="T725" s="12"/>
    </row>
    <row r="726">
      <c r="B726" s="12"/>
      <c r="C726" s="12"/>
      <c r="D726" s="12"/>
      <c r="E726" s="12"/>
      <c r="F726" s="12"/>
      <c r="G726" s="12"/>
      <c r="H726" s="12"/>
      <c r="I726" s="12"/>
      <c r="J726" s="12"/>
      <c r="K726" s="12"/>
      <c r="L726" s="12"/>
      <c r="M726" s="12"/>
      <c r="N726" s="12"/>
      <c r="O726" s="12"/>
      <c r="P726" s="12"/>
      <c r="Q726" s="12"/>
      <c r="R726" s="12"/>
      <c r="S726" s="12"/>
      <c r="T726" s="12"/>
    </row>
    <row r="727">
      <c r="B727" s="12"/>
      <c r="C727" s="12"/>
      <c r="D727" s="12"/>
      <c r="E727" s="12"/>
      <c r="F727" s="12"/>
      <c r="G727" s="12"/>
      <c r="H727" s="12"/>
      <c r="I727" s="12"/>
      <c r="J727" s="12"/>
      <c r="K727" s="12"/>
      <c r="L727" s="12"/>
      <c r="M727" s="12"/>
      <c r="N727" s="12"/>
      <c r="O727" s="12"/>
      <c r="P727" s="12"/>
      <c r="Q727" s="12"/>
      <c r="R727" s="12"/>
      <c r="S727" s="12"/>
      <c r="T727" s="12"/>
    </row>
    <row r="728">
      <c r="B728" s="12"/>
      <c r="C728" s="12"/>
      <c r="D728" s="12"/>
      <c r="E728" s="12"/>
      <c r="F728" s="12"/>
      <c r="G728" s="12"/>
      <c r="H728" s="12"/>
      <c r="I728" s="12"/>
      <c r="J728" s="12"/>
      <c r="K728" s="12"/>
      <c r="L728" s="12"/>
      <c r="M728" s="12"/>
      <c r="N728" s="12"/>
      <c r="O728" s="12"/>
      <c r="P728" s="12"/>
      <c r="Q728" s="12"/>
      <c r="R728" s="12"/>
      <c r="S728" s="12"/>
      <c r="T728" s="12"/>
    </row>
    <row r="729">
      <c r="B729" s="12"/>
      <c r="C729" s="12"/>
      <c r="D729" s="12"/>
      <c r="E729" s="12"/>
      <c r="F729" s="12"/>
      <c r="G729" s="12"/>
      <c r="H729" s="12"/>
      <c r="I729" s="12"/>
      <c r="J729" s="12"/>
      <c r="K729" s="12"/>
      <c r="L729" s="12"/>
      <c r="M729" s="12"/>
      <c r="N729" s="12"/>
      <c r="O729" s="12"/>
      <c r="P729" s="12"/>
      <c r="Q729" s="12"/>
      <c r="R729" s="12"/>
      <c r="S729" s="12"/>
      <c r="T729" s="12"/>
    </row>
    <row r="730">
      <c r="B730" s="12"/>
      <c r="C730" s="12"/>
      <c r="D730" s="12"/>
      <c r="E730" s="12"/>
      <c r="F730" s="12"/>
      <c r="G730" s="12"/>
      <c r="H730" s="12"/>
      <c r="I730" s="12"/>
      <c r="J730" s="12"/>
      <c r="K730" s="12"/>
      <c r="L730" s="12"/>
      <c r="M730" s="12"/>
      <c r="N730" s="12"/>
      <c r="O730" s="12"/>
      <c r="P730" s="12"/>
      <c r="Q730" s="12"/>
      <c r="R730" s="12"/>
      <c r="S730" s="12"/>
      <c r="T730" s="12"/>
    </row>
    <row r="731">
      <c r="B731" s="12"/>
      <c r="C731" s="12"/>
      <c r="D731" s="12"/>
      <c r="E731" s="12"/>
      <c r="F731" s="12"/>
      <c r="G731" s="12"/>
      <c r="H731" s="12"/>
      <c r="I731" s="12"/>
      <c r="J731" s="12"/>
      <c r="K731" s="12"/>
      <c r="L731" s="12"/>
      <c r="M731" s="12"/>
      <c r="N731" s="12"/>
      <c r="O731" s="12"/>
      <c r="P731" s="12"/>
      <c r="Q731" s="12"/>
      <c r="R731" s="12"/>
      <c r="S731" s="12"/>
      <c r="T731" s="12"/>
    </row>
    <row r="732">
      <c r="B732" s="12"/>
      <c r="C732" s="12"/>
      <c r="D732" s="12"/>
      <c r="E732" s="12"/>
      <c r="F732" s="12"/>
      <c r="G732" s="12"/>
      <c r="H732" s="12"/>
      <c r="I732" s="12"/>
      <c r="J732" s="12"/>
      <c r="K732" s="12"/>
      <c r="L732" s="12"/>
      <c r="M732" s="12"/>
      <c r="N732" s="12"/>
      <c r="O732" s="12"/>
      <c r="P732" s="12"/>
      <c r="Q732" s="12"/>
      <c r="R732" s="12"/>
      <c r="S732" s="12"/>
      <c r="T732" s="12"/>
    </row>
    <row r="733">
      <c r="B733" s="12"/>
      <c r="C733" s="12"/>
      <c r="D733" s="12"/>
      <c r="E733" s="12"/>
      <c r="F733" s="12"/>
      <c r="G733" s="12"/>
      <c r="H733" s="12"/>
      <c r="I733" s="12"/>
      <c r="J733" s="12"/>
      <c r="K733" s="12"/>
      <c r="L733" s="12"/>
      <c r="M733" s="12"/>
      <c r="N733" s="12"/>
      <c r="O733" s="12"/>
      <c r="P733" s="12"/>
      <c r="Q733" s="12"/>
      <c r="R733" s="12"/>
      <c r="S733" s="12"/>
      <c r="T733" s="12"/>
    </row>
    <row r="734">
      <c r="B734" s="12"/>
      <c r="C734" s="12"/>
      <c r="D734" s="12"/>
      <c r="E734" s="12"/>
      <c r="F734" s="12"/>
      <c r="G734" s="12"/>
      <c r="H734" s="12"/>
      <c r="I734" s="12"/>
      <c r="J734" s="12"/>
      <c r="K734" s="12"/>
      <c r="L734" s="12"/>
      <c r="M734" s="12"/>
      <c r="N734" s="12"/>
      <c r="O734" s="12"/>
      <c r="P734" s="12"/>
      <c r="Q734" s="12"/>
      <c r="R734" s="12"/>
      <c r="S734" s="12"/>
      <c r="T734" s="12"/>
    </row>
    <row r="735">
      <c r="B735" s="12"/>
      <c r="C735" s="12"/>
      <c r="D735" s="12"/>
      <c r="E735" s="12"/>
      <c r="F735" s="12"/>
      <c r="G735" s="12"/>
      <c r="H735" s="12"/>
      <c r="I735" s="12"/>
      <c r="J735" s="12"/>
      <c r="K735" s="12"/>
      <c r="L735" s="12"/>
      <c r="M735" s="12"/>
      <c r="N735" s="12"/>
      <c r="O735" s="12"/>
      <c r="P735" s="12"/>
      <c r="Q735" s="12"/>
      <c r="R735" s="12"/>
      <c r="S735" s="12"/>
      <c r="T735" s="12"/>
    </row>
    <row r="736">
      <c r="B736" s="12"/>
      <c r="C736" s="12"/>
      <c r="D736" s="12"/>
      <c r="E736" s="12"/>
      <c r="F736" s="12"/>
      <c r="G736" s="12"/>
      <c r="H736" s="12"/>
      <c r="I736" s="12"/>
      <c r="J736" s="12"/>
      <c r="K736" s="12"/>
      <c r="L736" s="12"/>
      <c r="M736" s="12"/>
      <c r="N736" s="12"/>
      <c r="O736" s="12"/>
      <c r="P736" s="12"/>
      <c r="Q736" s="12"/>
      <c r="R736" s="12"/>
      <c r="S736" s="12"/>
      <c r="T736" s="12"/>
    </row>
    <row r="737">
      <c r="B737" s="12"/>
      <c r="C737" s="12"/>
      <c r="D737" s="12"/>
      <c r="E737" s="12"/>
      <c r="F737" s="12"/>
      <c r="G737" s="12"/>
      <c r="H737" s="12"/>
      <c r="I737" s="12"/>
      <c r="J737" s="12"/>
      <c r="K737" s="12"/>
      <c r="L737" s="12"/>
      <c r="M737" s="12"/>
      <c r="N737" s="12"/>
      <c r="O737" s="12"/>
      <c r="P737" s="12"/>
      <c r="Q737" s="12"/>
      <c r="R737" s="12"/>
      <c r="S737" s="12"/>
      <c r="T737" s="12"/>
    </row>
    <row r="738">
      <c r="B738" s="12"/>
      <c r="C738" s="12"/>
      <c r="D738" s="12"/>
      <c r="E738" s="12"/>
      <c r="F738" s="12"/>
      <c r="G738" s="12"/>
      <c r="H738" s="12"/>
      <c r="I738" s="12"/>
      <c r="J738" s="12"/>
      <c r="K738" s="12"/>
      <c r="L738" s="12"/>
      <c r="M738" s="12"/>
      <c r="N738" s="12"/>
      <c r="O738" s="12"/>
      <c r="P738" s="12"/>
      <c r="Q738" s="12"/>
      <c r="R738" s="12"/>
      <c r="S738" s="12"/>
      <c r="T738" s="12"/>
    </row>
    <row r="739">
      <c r="B739" s="12"/>
      <c r="C739" s="12"/>
      <c r="D739" s="12"/>
      <c r="E739" s="12"/>
      <c r="F739" s="12"/>
      <c r="G739" s="12"/>
      <c r="H739" s="12"/>
      <c r="I739" s="12"/>
      <c r="J739" s="12"/>
      <c r="K739" s="12"/>
      <c r="L739" s="12"/>
      <c r="M739" s="12"/>
      <c r="N739" s="12"/>
      <c r="O739" s="12"/>
      <c r="P739" s="12"/>
      <c r="Q739" s="12"/>
      <c r="R739" s="12"/>
      <c r="S739" s="12"/>
      <c r="T739" s="12"/>
    </row>
    <row r="740">
      <c r="B740" s="12"/>
      <c r="C740" s="12"/>
      <c r="D740" s="12"/>
      <c r="E740" s="12"/>
      <c r="F740" s="12"/>
      <c r="G740" s="12"/>
      <c r="H740" s="12"/>
      <c r="I740" s="12"/>
      <c r="J740" s="12"/>
      <c r="K740" s="12"/>
      <c r="L740" s="12"/>
      <c r="M740" s="12"/>
      <c r="N740" s="12"/>
      <c r="O740" s="12"/>
      <c r="P740" s="12"/>
      <c r="Q740" s="12"/>
      <c r="R740" s="12"/>
      <c r="S740" s="12"/>
      <c r="T740" s="12"/>
    </row>
    <row r="741">
      <c r="B741" s="12"/>
      <c r="C741" s="12"/>
      <c r="D741" s="12"/>
      <c r="E741" s="12"/>
      <c r="F741" s="12"/>
      <c r="G741" s="12"/>
      <c r="H741" s="12"/>
      <c r="I741" s="12"/>
      <c r="J741" s="12"/>
      <c r="K741" s="12"/>
      <c r="L741" s="12"/>
      <c r="M741" s="12"/>
      <c r="N741" s="12"/>
      <c r="O741" s="12"/>
      <c r="P741" s="12"/>
      <c r="Q741" s="12"/>
      <c r="R741" s="12"/>
      <c r="S741" s="12"/>
      <c r="T741" s="12"/>
    </row>
    <row r="742">
      <c r="B742" s="12"/>
      <c r="C742" s="12"/>
      <c r="D742" s="12"/>
      <c r="E742" s="12"/>
      <c r="F742" s="12"/>
      <c r="G742" s="12"/>
      <c r="H742" s="12"/>
      <c r="I742" s="12"/>
      <c r="J742" s="12"/>
      <c r="K742" s="12"/>
      <c r="L742" s="12"/>
      <c r="M742" s="12"/>
      <c r="N742" s="12"/>
      <c r="O742" s="12"/>
      <c r="P742" s="12"/>
      <c r="Q742" s="12"/>
      <c r="R742" s="12"/>
      <c r="S742" s="12"/>
      <c r="T742" s="12"/>
    </row>
    <row r="743">
      <c r="B743" s="12"/>
      <c r="C743" s="12"/>
      <c r="D743" s="12"/>
      <c r="E743" s="12"/>
      <c r="F743" s="12"/>
      <c r="G743" s="12"/>
      <c r="H743" s="12"/>
      <c r="I743" s="12"/>
      <c r="J743" s="12"/>
      <c r="K743" s="12"/>
      <c r="L743" s="12"/>
      <c r="M743" s="12"/>
      <c r="N743" s="12"/>
      <c r="O743" s="12"/>
      <c r="P743" s="12"/>
      <c r="Q743" s="12"/>
      <c r="R743" s="12"/>
      <c r="S743" s="12"/>
      <c r="T743" s="12"/>
    </row>
    <row r="744">
      <c r="B744" s="12"/>
      <c r="C744" s="12"/>
      <c r="D744" s="12"/>
      <c r="E744" s="12"/>
      <c r="F744" s="12"/>
      <c r="G744" s="12"/>
      <c r="H744" s="12"/>
      <c r="I744" s="12"/>
      <c r="J744" s="12"/>
      <c r="K744" s="12"/>
      <c r="L744" s="12"/>
      <c r="M744" s="12"/>
      <c r="N744" s="12"/>
      <c r="O744" s="12"/>
      <c r="P744" s="12"/>
      <c r="Q744" s="12"/>
      <c r="R744" s="12"/>
      <c r="S744" s="12"/>
      <c r="T744" s="12"/>
    </row>
    <row r="745">
      <c r="B745" s="12"/>
      <c r="C745" s="12"/>
      <c r="D745" s="12"/>
      <c r="E745" s="12"/>
      <c r="F745" s="12"/>
      <c r="G745" s="12"/>
      <c r="H745" s="12"/>
      <c r="I745" s="12"/>
      <c r="J745" s="12"/>
      <c r="K745" s="12"/>
      <c r="L745" s="12"/>
      <c r="M745" s="12"/>
      <c r="N745" s="12"/>
      <c r="O745" s="12"/>
      <c r="P745" s="12"/>
      <c r="Q745" s="12"/>
      <c r="R745" s="12"/>
      <c r="S745" s="12"/>
      <c r="T745" s="12"/>
    </row>
    <row r="746">
      <c r="B746" s="12"/>
      <c r="C746" s="12"/>
      <c r="D746" s="12"/>
      <c r="E746" s="12"/>
      <c r="F746" s="12"/>
      <c r="G746" s="12"/>
      <c r="H746" s="12"/>
      <c r="I746" s="12"/>
      <c r="J746" s="12"/>
      <c r="K746" s="12"/>
      <c r="L746" s="12"/>
      <c r="M746" s="12"/>
      <c r="N746" s="12"/>
      <c r="O746" s="12"/>
      <c r="P746" s="12"/>
      <c r="Q746" s="12"/>
      <c r="R746" s="12"/>
      <c r="S746" s="12"/>
      <c r="T746" s="12"/>
    </row>
    <row r="747">
      <c r="B747" s="12"/>
      <c r="C747" s="12"/>
      <c r="D747" s="12"/>
      <c r="E747" s="12"/>
      <c r="F747" s="12"/>
      <c r="G747" s="12"/>
      <c r="H747" s="12"/>
      <c r="I747" s="12"/>
      <c r="J747" s="12"/>
      <c r="K747" s="12"/>
      <c r="L747" s="12"/>
      <c r="M747" s="12"/>
      <c r="N747" s="12"/>
      <c r="O747" s="12"/>
      <c r="P747" s="12"/>
      <c r="Q747" s="12"/>
      <c r="R747" s="12"/>
      <c r="S747" s="12"/>
      <c r="T747" s="12"/>
    </row>
    <row r="748">
      <c r="B748" s="12"/>
      <c r="C748" s="12"/>
      <c r="D748" s="12"/>
      <c r="E748" s="12"/>
      <c r="F748" s="12"/>
      <c r="G748" s="12"/>
      <c r="H748" s="12"/>
      <c r="I748" s="12"/>
      <c r="J748" s="12"/>
      <c r="K748" s="12"/>
      <c r="L748" s="12"/>
      <c r="M748" s="12"/>
      <c r="N748" s="12"/>
      <c r="O748" s="12"/>
      <c r="P748" s="12"/>
      <c r="Q748" s="12"/>
      <c r="R748" s="12"/>
      <c r="S748" s="12"/>
      <c r="T748" s="12"/>
    </row>
    <row r="749">
      <c r="B749" s="12"/>
      <c r="C749" s="12"/>
      <c r="D749" s="12"/>
      <c r="E749" s="12"/>
      <c r="F749" s="12"/>
      <c r="G749" s="12"/>
      <c r="H749" s="12"/>
      <c r="I749" s="12"/>
      <c r="J749" s="12"/>
      <c r="K749" s="12"/>
      <c r="L749" s="12"/>
      <c r="M749" s="12"/>
      <c r="N749" s="12"/>
      <c r="O749" s="12"/>
      <c r="P749" s="12"/>
      <c r="Q749" s="12"/>
      <c r="R749" s="12"/>
      <c r="S749" s="12"/>
      <c r="T749" s="12"/>
    </row>
    <row r="750">
      <c r="B750" s="12"/>
      <c r="C750" s="12"/>
      <c r="D750" s="12"/>
      <c r="E750" s="12"/>
      <c r="F750" s="12"/>
      <c r="G750" s="12"/>
      <c r="H750" s="12"/>
      <c r="I750" s="12"/>
      <c r="J750" s="12"/>
      <c r="K750" s="12"/>
      <c r="L750" s="12"/>
      <c r="M750" s="12"/>
      <c r="N750" s="12"/>
      <c r="O750" s="12"/>
      <c r="P750" s="12"/>
      <c r="Q750" s="12"/>
      <c r="R750" s="12"/>
      <c r="S750" s="12"/>
      <c r="T750" s="12"/>
    </row>
    <row r="751">
      <c r="B751" s="12"/>
      <c r="C751" s="12"/>
      <c r="D751" s="12"/>
      <c r="E751" s="12"/>
      <c r="F751" s="12"/>
      <c r="G751" s="12"/>
      <c r="H751" s="12"/>
      <c r="I751" s="12"/>
      <c r="J751" s="12"/>
      <c r="K751" s="12"/>
      <c r="L751" s="12"/>
      <c r="M751" s="12"/>
      <c r="N751" s="12"/>
      <c r="O751" s="12"/>
      <c r="P751" s="12"/>
      <c r="Q751" s="12"/>
      <c r="R751" s="12"/>
      <c r="S751" s="12"/>
      <c r="T751" s="12"/>
    </row>
    <row r="752">
      <c r="B752" s="12"/>
      <c r="C752" s="12"/>
      <c r="D752" s="12"/>
      <c r="E752" s="12"/>
      <c r="F752" s="12"/>
      <c r="G752" s="12"/>
      <c r="H752" s="12"/>
      <c r="I752" s="12"/>
      <c r="J752" s="12"/>
      <c r="K752" s="12"/>
      <c r="L752" s="12"/>
      <c r="M752" s="12"/>
      <c r="N752" s="12"/>
      <c r="O752" s="12"/>
      <c r="P752" s="12"/>
      <c r="Q752" s="12"/>
      <c r="R752" s="12"/>
      <c r="S752" s="12"/>
      <c r="T752" s="12"/>
    </row>
    <row r="753">
      <c r="B753" s="12"/>
      <c r="C753" s="12"/>
      <c r="D753" s="12"/>
      <c r="E753" s="12"/>
      <c r="F753" s="12"/>
      <c r="G753" s="12"/>
      <c r="H753" s="12"/>
      <c r="I753" s="12"/>
      <c r="J753" s="12"/>
      <c r="K753" s="12"/>
      <c r="L753" s="12"/>
      <c r="M753" s="12"/>
      <c r="N753" s="12"/>
      <c r="O753" s="12"/>
      <c r="P753" s="12"/>
      <c r="Q753" s="12"/>
      <c r="R753" s="12"/>
      <c r="S753" s="12"/>
      <c r="T753" s="12"/>
    </row>
    <row r="754">
      <c r="B754" s="12"/>
      <c r="C754" s="12"/>
      <c r="D754" s="12"/>
      <c r="E754" s="12"/>
      <c r="F754" s="12"/>
      <c r="G754" s="12"/>
      <c r="H754" s="12"/>
      <c r="I754" s="12"/>
      <c r="J754" s="12"/>
      <c r="K754" s="12"/>
      <c r="L754" s="12"/>
      <c r="M754" s="12"/>
      <c r="N754" s="12"/>
      <c r="O754" s="12"/>
      <c r="P754" s="12"/>
      <c r="Q754" s="12"/>
      <c r="R754" s="12"/>
      <c r="S754" s="12"/>
      <c r="T754" s="12"/>
    </row>
    <row r="755">
      <c r="B755" s="12"/>
      <c r="C755" s="12"/>
      <c r="D755" s="12"/>
      <c r="E755" s="12"/>
      <c r="F755" s="12"/>
      <c r="G755" s="12"/>
      <c r="H755" s="12"/>
      <c r="I755" s="12"/>
      <c r="J755" s="12"/>
      <c r="K755" s="12"/>
      <c r="L755" s="12"/>
      <c r="M755" s="12"/>
      <c r="N755" s="12"/>
      <c r="O755" s="12"/>
      <c r="P755" s="12"/>
      <c r="Q755" s="12"/>
      <c r="R755" s="12"/>
      <c r="S755" s="12"/>
      <c r="T755" s="12"/>
    </row>
    <row r="756">
      <c r="B756" s="12"/>
      <c r="C756" s="12"/>
      <c r="D756" s="12"/>
      <c r="E756" s="12"/>
      <c r="F756" s="12"/>
      <c r="G756" s="12"/>
      <c r="H756" s="12"/>
      <c r="I756" s="12"/>
      <c r="J756" s="12"/>
      <c r="K756" s="12"/>
      <c r="L756" s="12"/>
      <c r="M756" s="12"/>
      <c r="N756" s="12"/>
      <c r="O756" s="12"/>
      <c r="P756" s="12"/>
      <c r="Q756" s="12"/>
      <c r="R756" s="12"/>
      <c r="S756" s="12"/>
      <c r="T756" s="12"/>
    </row>
    <row r="757">
      <c r="B757" s="12"/>
      <c r="C757" s="12"/>
      <c r="D757" s="12"/>
      <c r="E757" s="12"/>
      <c r="F757" s="12"/>
      <c r="G757" s="12"/>
      <c r="H757" s="12"/>
      <c r="I757" s="12"/>
      <c r="J757" s="12"/>
      <c r="K757" s="12"/>
      <c r="L757" s="12"/>
      <c r="M757" s="12"/>
      <c r="N757" s="12"/>
      <c r="O757" s="12"/>
      <c r="P757" s="12"/>
      <c r="Q757" s="12"/>
      <c r="R757" s="12"/>
      <c r="S757" s="12"/>
      <c r="T757" s="12"/>
    </row>
    <row r="758">
      <c r="B758" s="12"/>
      <c r="C758" s="12"/>
      <c r="D758" s="12"/>
      <c r="E758" s="12"/>
      <c r="F758" s="12"/>
      <c r="G758" s="12"/>
      <c r="H758" s="12"/>
      <c r="I758" s="12"/>
      <c r="J758" s="12"/>
      <c r="K758" s="12"/>
      <c r="L758" s="12"/>
      <c r="M758" s="12"/>
      <c r="N758" s="12"/>
      <c r="O758" s="12"/>
      <c r="P758" s="12"/>
      <c r="Q758" s="12"/>
      <c r="R758" s="12"/>
      <c r="S758" s="12"/>
      <c r="T758" s="12"/>
    </row>
    <row r="759">
      <c r="B759" s="12"/>
      <c r="C759" s="12"/>
      <c r="D759" s="12"/>
      <c r="E759" s="12"/>
      <c r="F759" s="12"/>
      <c r="G759" s="12"/>
      <c r="H759" s="12"/>
      <c r="I759" s="12"/>
      <c r="J759" s="12"/>
      <c r="K759" s="12"/>
      <c r="L759" s="12"/>
      <c r="M759" s="12"/>
      <c r="N759" s="12"/>
      <c r="O759" s="12"/>
      <c r="P759" s="12"/>
      <c r="Q759" s="12"/>
      <c r="R759" s="12"/>
      <c r="S759" s="12"/>
      <c r="T759" s="12"/>
    </row>
    <row r="760">
      <c r="B760" s="12"/>
      <c r="C760" s="12"/>
      <c r="D760" s="12"/>
      <c r="E760" s="12"/>
      <c r="F760" s="12"/>
      <c r="G760" s="12"/>
      <c r="H760" s="12"/>
      <c r="I760" s="12"/>
      <c r="J760" s="12"/>
      <c r="K760" s="12"/>
      <c r="L760" s="12"/>
      <c r="M760" s="12"/>
      <c r="N760" s="12"/>
      <c r="O760" s="12"/>
      <c r="P760" s="12"/>
      <c r="Q760" s="12"/>
      <c r="R760" s="12"/>
      <c r="S760" s="12"/>
      <c r="T760" s="12"/>
    </row>
    <row r="761">
      <c r="B761" s="12"/>
      <c r="C761" s="12"/>
      <c r="D761" s="12"/>
      <c r="E761" s="12"/>
      <c r="F761" s="12"/>
      <c r="G761" s="12"/>
      <c r="H761" s="12"/>
      <c r="I761" s="12"/>
      <c r="J761" s="12"/>
      <c r="K761" s="12"/>
      <c r="L761" s="12"/>
      <c r="M761" s="12"/>
      <c r="N761" s="12"/>
      <c r="O761" s="12"/>
      <c r="P761" s="12"/>
      <c r="Q761" s="12"/>
      <c r="R761" s="12"/>
      <c r="S761" s="12"/>
      <c r="T761" s="12"/>
    </row>
    <row r="762">
      <c r="B762" s="12"/>
      <c r="C762" s="12"/>
      <c r="D762" s="12"/>
      <c r="E762" s="12"/>
      <c r="F762" s="12"/>
      <c r="G762" s="12"/>
      <c r="H762" s="12"/>
      <c r="I762" s="12"/>
      <c r="J762" s="12"/>
      <c r="K762" s="12"/>
      <c r="L762" s="12"/>
      <c r="M762" s="12"/>
      <c r="N762" s="12"/>
      <c r="O762" s="12"/>
      <c r="P762" s="12"/>
      <c r="Q762" s="12"/>
      <c r="R762" s="12"/>
      <c r="S762" s="12"/>
      <c r="T762" s="12"/>
    </row>
    <row r="763">
      <c r="B763" s="12"/>
      <c r="C763" s="12"/>
      <c r="D763" s="12"/>
      <c r="E763" s="12"/>
      <c r="F763" s="12"/>
      <c r="G763" s="12"/>
      <c r="H763" s="12"/>
      <c r="I763" s="12"/>
      <c r="J763" s="12"/>
      <c r="K763" s="12"/>
      <c r="L763" s="12"/>
      <c r="M763" s="12"/>
      <c r="N763" s="12"/>
      <c r="O763" s="12"/>
      <c r="P763" s="12"/>
      <c r="Q763" s="12"/>
      <c r="R763" s="12"/>
      <c r="S763" s="12"/>
      <c r="T763" s="12"/>
    </row>
    <row r="764">
      <c r="B764" s="12"/>
      <c r="C764" s="12"/>
      <c r="D764" s="12"/>
      <c r="E764" s="12"/>
      <c r="F764" s="12"/>
      <c r="G764" s="12"/>
      <c r="H764" s="12"/>
      <c r="I764" s="12"/>
      <c r="J764" s="12"/>
      <c r="K764" s="12"/>
      <c r="L764" s="12"/>
      <c r="M764" s="12"/>
      <c r="N764" s="12"/>
      <c r="O764" s="12"/>
      <c r="P764" s="12"/>
      <c r="Q764" s="12"/>
      <c r="R764" s="12"/>
      <c r="S764" s="12"/>
      <c r="T764" s="12"/>
    </row>
    <row r="765">
      <c r="B765" s="12"/>
      <c r="C765" s="12"/>
      <c r="D765" s="12"/>
      <c r="E765" s="12"/>
      <c r="F765" s="12"/>
      <c r="G765" s="12"/>
      <c r="H765" s="12"/>
      <c r="I765" s="12"/>
      <c r="J765" s="12"/>
      <c r="K765" s="12"/>
      <c r="L765" s="12"/>
      <c r="M765" s="12"/>
      <c r="N765" s="12"/>
      <c r="O765" s="12"/>
      <c r="P765" s="12"/>
      <c r="Q765" s="12"/>
      <c r="R765" s="12"/>
      <c r="S765" s="12"/>
      <c r="T765" s="12"/>
    </row>
    <row r="766">
      <c r="B766" s="12"/>
      <c r="C766" s="12"/>
      <c r="D766" s="12"/>
      <c r="E766" s="12"/>
      <c r="F766" s="12"/>
      <c r="G766" s="12"/>
      <c r="H766" s="12"/>
      <c r="I766" s="12"/>
      <c r="J766" s="12"/>
      <c r="K766" s="12"/>
      <c r="L766" s="12"/>
      <c r="M766" s="12"/>
      <c r="N766" s="12"/>
      <c r="O766" s="12"/>
      <c r="P766" s="12"/>
      <c r="Q766" s="12"/>
      <c r="R766" s="12"/>
      <c r="S766" s="12"/>
      <c r="T766" s="12"/>
    </row>
    <row r="767">
      <c r="B767" s="12"/>
      <c r="C767" s="12"/>
      <c r="D767" s="12"/>
      <c r="E767" s="12"/>
      <c r="F767" s="12"/>
      <c r="G767" s="12"/>
      <c r="H767" s="12"/>
      <c r="I767" s="12"/>
      <c r="J767" s="12"/>
      <c r="K767" s="12"/>
      <c r="L767" s="12"/>
      <c r="M767" s="12"/>
      <c r="N767" s="12"/>
      <c r="O767" s="12"/>
      <c r="P767" s="12"/>
      <c r="Q767" s="12"/>
      <c r="R767" s="12"/>
      <c r="S767" s="12"/>
      <c r="T767" s="12"/>
    </row>
    <row r="768">
      <c r="B768" s="12"/>
      <c r="C768" s="12"/>
      <c r="D768" s="12"/>
      <c r="E768" s="12"/>
      <c r="F768" s="12"/>
      <c r="G768" s="12"/>
      <c r="H768" s="12"/>
      <c r="I768" s="12"/>
      <c r="J768" s="12"/>
      <c r="K768" s="12"/>
      <c r="L768" s="12"/>
      <c r="M768" s="12"/>
      <c r="N768" s="12"/>
      <c r="O768" s="12"/>
      <c r="P768" s="12"/>
      <c r="Q768" s="12"/>
      <c r="R768" s="12"/>
      <c r="S768" s="12"/>
      <c r="T768" s="12"/>
    </row>
    <row r="769">
      <c r="B769" s="12"/>
      <c r="C769" s="12"/>
      <c r="D769" s="12"/>
      <c r="E769" s="12"/>
      <c r="F769" s="12"/>
      <c r="G769" s="12"/>
      <c r="H769" s="12"/>
      <c r="I769" s="12"/>
      <c r="J769" s="12"/>
      <c r="K769" s="12"/>
      <c r="L769" s="12"/>
      <c r="M769" s="12"/>
      <c r="N769" s="12"/>
      <c r="O769" s="12"/>
      <c r="P769" s="12"/>
      <c r="Q769" s="12"/>
      <c r="R769" s="12"/>
      <c r="S769" s="12"/>
      <c r="T769" s="12"/>
    </row>
    <row r="770">
      <c r="B770" s="12"/>
      <c r="C770" s="12"/>
      <c r="D770" s="12"/>
      <c r="E770" s="12"/>
      <c r="F770" s="12"/>
      <c r="G770" s="12"/>
      <c r="H770" s="12"/>
      <c r="I770" s="12"/>
      <c r="J770" s="12"/>
      <c r="K770" s="12"/>
      <c r="L770" s="12"/>
      <c r="M770" s="12"/>
      <c r="N770" s="12"/>
      <c r="O770" s="12"/>
      <c r="P770" s="12"/>
      <c r="Q770" s="12"/>
      <c r="R770" s="12"/>
      <c r="S770" s="12"/>
      <c r="T770" s="12"/>
    </row>
    <row r="771">
      <c r="B771" s="12"/>
      <c r="C771" s="12"/>
      <c r="D771" s="12"/>
      <c r="E771" s="12"/>
      <c r="F771" s="12"/>
      <c r="G771" s="12"/>
      <c r="H771" s="12"/>
      <c r="I771" s="12"/>
      <c r="J771" s="12"/>
      <c r="K771" s="12"/>
      <c r="L771" s="12"/>
      <c r="M771" s="12"/>
      <c r="N771" s="12"/>
      <c r="O771" s="12"/>
      <c r="P771" s="12"/>
      <c r="Q771" s="12"/>
      <c r="R771" s="12"/>
      <c r="S771" s="12"/>
      <c r="T771" s="12"/>
    </row>
    <row r="772">
      <c r="B772" s="12"/>
      <c r="C772" s="12"/>
      <c r="D772" s="12"/>
      <c r="E772" s="12"/>
      <c r="F772" s="12"/>
      <c r="G772" s="12"/>
      <c r="H772" s="12"/>
      <c r="I772" s="12"/>
      <c r="J772" s="12"/>
      <c r="K772" s="12"/>
      <c r="L772" s="12"/>
      <c r="M772" s="12"/>
      <c r="N772" s="12"/>
      <c r="O772" s="12"/>
      <c r="P772" s="12"/>
      <c r="Q772" s="12"/>
      <c r="R772" s="12"/>
      <c r="S772" s="12"/>
      <c r="T772" s="12"/>
    </row>
    <row r="773">
      <c r="B773" s="12"/>
      <c r="C773" s="12"/>
      <c r="D773" s="12"/>
      <c r="E773" s="12"/>
      <c r="F773" s="12"/>
      <c r="G773" s="12"/>
      <c r="H773" s="12"/>
      <c r="I773" s="12"/>
      <c r="J773" s="12"/>
      <c r="K773" s="12"/>
      <c r="L773" s="12"/>
      <c r="M773" s="12"/>
      <c r="N773" s="12"/>
      <c r="O773" s="12"/>
      <c r="P773" s="12"/>
      <c r="Q773" s="12"/>
      <c r="R773" s="12"/>
      <c r="S773" s="12"/>
      <c r="T773" s="12"/>
    </row>
    <row r="774">
      <c r="B774" s="12"/>
      <c r="C774" s="12"/>
      <c r="D774" s="12"/>
      <c r="E774" s="12"/>
      <c r="F774" s="12"/>
      <c r="G774" s="12"/>
      <c r="H774" s="12"/>
      <c r="I774" s="12"/>
      <c r="J774" s="12"/>
      <c r="K774" s="12"/>
      <c r="L774" s="12"/>
      <c r="M774" s="12"/>
      <c r="N774" s="12"/>
      <c r="O774" s="12"/>
      <c r="P774" s="12"/>
      <c r="Q774" s="12"/>
      <c r="R774" s="12"/>
      <c r="S774" s="12"/>
      <c r="T774" s="12"/>
    </row>
    <row r="775">
      <c r="B775" s="12"/>
      <c r="C775" s="12"/>
      <c r="D775" s="12"/>
      <c r="E775" s="12"/>
      <c r="F775" s="12"/>
      <c r="G775" s="12"/>
      <c r="H775" s="12"/>
      <c r="I775" s="12"/>
      <c r="J775" s="12"/>
      <c r="K775" s="12"/>
      <c r="L775" s="12"/>
      <c r="M775" s="12"/>
      <c r="N775" s="12"/>
      <c r="O775" s="12"/>
      <c r="P775" s="12"/>
      <c r="Q775" s="12"/>
      <c r="R775" s="12"/>
      <c r="S775" s="12"/>
      <c r="T775" s="12"/>
    </row>
    <row r="776">
      <c r="B776" s="12"/>
      <c r="C776" s="12"/>
      <c r="D776" s="12"/>
      <c r="E776" s="12"/>
      <c r="F776" s="12"/>
      <c r="G776" s="12"/>
      <c r="H776" s="12"/>
      <c r="I776" s="12"/>
      <c r="J776" s="12"/>
      <c r="K776" s="12"/>
      <c r="L776" s="12"/>
      <c r="M776" s="12"/>
      <c r="N776" s="12"/>
      <c r="O776" s="12"/>
      <c r="P776" s="12"/>
      <c r="Q776" s="12"/>
      <c r="R776" s="12"/>
      <c r="S776" s="12"/>
      <c r="T776" s="12"/>
    </row>
    <row r="777">
      <c r="B777" s="12"/>
      <c r="C777" s="12"/>
      <c r="D777" s="12"/>
      <c r="E777" s="12"/>
      <c r="F777" s="12"/>
      <c r="G777" s="12"/>
      <c r="H777" s="12"/>
      <c r="I777" s="12"/>
      <c r="J777" s="12"/>
      <c r="K777" s="12"/>
      <c r="L777" s="12"/>
      <c r="M777" s="12"/>
      <c r="N777" s="12"/>
      <c r="O777" s="12"/>
      <c r="P777" s="12"/>
      <c r="Q777" s="12"/>
      <c r="R777" s="12"/>
      <c r="S777" s="12"/>
      <c r="T777" s="12"/>
    </row>
    <row r="778">
      <c r="B778" s="12"/>
      <c r="C778" s="12"/>
      <c r="D778" s="12"/>
      <c r="E778" s="12"/>
      <c r="F778" s="12"/>
      <c r="G778" s="12"/>
      <c r="H778" s="12"/>
      <c r="I778" s="12"/>
      <c r="J778" s="12"/>
      <c r="K778" s="12"/>
      <c r="L778" s="12"/>
      <c r="M778" s="12"/>
      <c r="N778" s="12"/>
      <c r="O778" s="12"/>
      <c r="P778" s="12"/>
      <c r="Q778" s="12"/>
      <c r="R778" s="12"/>
      <c r="S778" s="12"/>
      <c r="T778" s="12"/>
    </row>
    <row r="779">
      <c r="B779" s="12"/>
      <c r="C779" s="12"/>
      <c r="D779" s="12"/>
      <c r="E779" s="12"/>
      <c r="F779" s="12"/>
      <c r="G779" s="12"/>
      <c r="H779" s="12"/>
      <c r="I779" s="12"/>
      <c r="J779" s="12"/>
      <c r="K779" s="12"/>
      <c r="L779" s="12"/>
      <c r="M779" s="12"/>
      <c r="N779" s="12"/>
      <c r="O779" s="12"/>
      <c r="P779" s="12"/>
      <c r="Q779" s="12"/>
      <c r="R779" s="12"/>
      <c r="S779" s="12"/>
      <c r="T779" s="12"/>
    </row>
    <row r="780">
      <c r="B780" s="12"/>
      <c r="C780" s="12"/>
      <c r="D780" s="12"/>
      <c r="E780" s="12"/>
      <c r="F780" s="12"/>
      <c r="G780" s="12"/>
      <c r="H780" s="12"/>
      <c r="I780" s="12"/>
      <c r="J780" s="12"/>
      <c r="K780" s="12"/>
      <c r="L780" s="12"/>
      <c r="M780" s="12"/>
      <c r="N780" s="12"/>
      <c r="O780" s="12"/>
      <c r="P780" s="12"/>
      <c r="Q780" s="12"/>
      <c r="R780" s="12"/>
      <c r="S780" s="12"/>
      <c r="T780" s="12"/>
    </row>
    <row r="781">
      <c r="B781" s="12"/>
      <c r="C781" s="12"/>
      <c r="D781" s="12"/>
      <c r="E781" s="12"/>
      <c r="F781" s="12"/>
      <c r="G781" s="12"/>
      <c r="H781" s="12"/>
      <c r="I781" s="12"/>
      <c r="J781" s="12"/>
      <c r="K781" s="12"/>
      <c r="L781" s="12"/>
      <c r="M781" s="12"/>
      <c r="N781" s="12"/>
      <c r="O781" s="12"/>
      <c r="P781" s="12"/>
      <c r="Q781" s="12"/>
      <c r="R781" s="12"/>
      <c r="S781" s="12"/>
      <c r="T781" s="12"/>
    </row>
    <row r="782">
      <c r="B782" s="12"/>
      <c r="C782" s="12"/>
      <c r="D782" s="12"/>
      <c r="E782" s="12"/>
      <c r="F782" s="12"/>
      <c r="G782" s="12"/>
      <c r="H782" s="12"/>
      <c r="I782" s="12"/>
      <c r="J782" s="12"/>
      <c r="K782" s="12"/>
      <c r="L782" s="12"/>
      <c r="M782" s="12"/>
      <c r="N782" s="12"/>
      <c r="O782" s="12"/>
      <c r="P782" s="12"/>
      <c r="Q782" s="12"/>
      <c r="R782" s="12"/>
      <c r="S782" s="12"/>
      <c r="T782" s="12"/>
    </row>
    <row r="783">
      <c r="B783" s="12"/>
      <c r="C783" s="12"/>
      <c r="D783" s="12"/>
      <c r="E783" s="12"/>
      <c r="F783" s="12"/>
      <c r="G783" s="12"/>
      <c r="H783" s="12"/>
      <c r="I783" s="12"/>
      <c r="J783" s="12"/>
      <c r="K783" s="12"/>
      <c r="L783" s="12"/>
      <c r="M783" s="12"/>
      <c r="N783" s="12"/>
      <c r="O783" s="12"/>
      <c r="P783" s="12"/>
      <c r="Q783" s="12"/>
      <c r="R783" s="12"/>
      <c r="S783" s="12"/>
      <c r="T783" s="12"/>
    </row>
    <row r="784">
      <c r="B784" s="12"/>
      <c r="C784" s="12"/>
      <c r="D784" s="12"/>
      <c r="E784" s="12"/>
      <c r="F784" s="12"/>
      <c r="G784" s="12"/>
      <c r="H784" s="12"/>
      <c r="I784" s="12"/>
      <c r="J784" s="12"/>
      <c r="K784" s="12"/>
      <c r="L784" s="12"/>
      <c r="M784" s="12"/>
      <c r="N784" s="12"/>
      <c r="O784" s="12"/>
      <c r="P784" s="12"/>
      <c r="Q784" s="12"/>
      <c r="R784" s="12"/>
      <c r="S784" s="12"/>
      <c r="T784" s="12"/>
    </row>
    <row r="785">
      <c r="B785" s="12"/>
      <c r="C785" s="12"/>
      <c r="D785" s="12"/>
      <c r="E785" s="12"/>
      <c r="F785" s="12"/>
      <c r="G785" s="12"/>
      <c r="H785" s="12"/>
      <c r="I785" s="12"/>
      <c r="J785" s="12"/>
      <c r="K785" s="12"/>
      <c r="L785" s="12"/>
      <c r="M785" s="12"/>
      <c r="N785" s="12"/>
      <c r="O785" s="12"/>
      <c r="P785" s="12"/>
      <c r="Q785" s="12"/>
      <c r="R785" s="12"/>
      <c r="S785" s="12"/>
      <c r="T785" s="12"/>
    </row>
    <row r="786">
      <c r="B786" s="12"/>
      <c r="C786" s="12"/>
      <c r="D786" s="12"/>
      <c r="E786" s="12"/>
      <c r="F786" s="12"/>
      <c r="G786" s="12"/>
      <c r="H786" s="12"/>
      <c r="I786" s="12"/>
      <c r="J786" s="12"/>
      <c r="K786" s="12"/>
      <c r="L786" s="12"/>
      <c r="M786" s="12"/>
      <c r="N786" s="12"/>
      <c r="O786" s="12"/>
      <c r="P786" s="12"/>
      <c r="Q786" s="12"/>
      <c r="R786" s="12"/>
      <c r="S786" s="12"/>
      <c r="T786" s="12"/>
    </row>
    <row r="787">
      <c r="B787" s="12"/>
      <c r="C787" s="12"/>
      <c r="D787" s="12"/>
      <c r="E787" s="12"/>
      <c r="F787" s="12"/>
      <c r="G787" s="12"/>
      <c r="H787" s="12"/>
      <c r="I787" s="12"/>
      <c r="J787" s="12"/>
      <c r="K787" s="12"/>
      <c r="L787" s="12"/>
      <c r="M787" s="12"/>
      <c r="N787" s="12"/>
      <c r="O787" s="12"/>
      <c r="P787" s="12"/>
      <c r="Q787" s="12"/>
      <c r="R787" s="12"/>
      <c r="S787" s="12"/>
      <c r="T787" s="12"/>
    </row>
    <row r="788">
      <c r="B788" s="12"/>
      <c r="C788" s="12"/>
      <c r="D788" s="12"/>
      <c r="E788" s="12"/>
      <c r="F788" s="12"/>
      <c r="G788" s="12"/>
      <c r="H788" s="12"/>
      <c r="I788" s="12"/>
      <c r="J788" s="12"/>
      <c r="K788" s="12"/>
      <c r="L788" s="12"/>
      <c r="M788" s="12"/>
      <c r="N788" s="12"/>
      <c r="O788" s="12"/>
      <c r="P788" s="12"/>
      <c r="Q788" s="12"/>
      <c r="R788" s="12"/>
      <c r="S788" s="12"/>
      <c r="T788" s="12"/>
    </row>
    <row r="789">
      <c r="B789" s="12"/>
      <c r="C789" s="12"/>
      <c r="D789" s="12"/>
      <c r="E789" s="12"/>
      <c r="F789" s="12"/>
      <c r="G789" s="12"/>
      <c r="H789" s="12"/>
      <c r="I789" s="12"/>
      <c r="J789" s="12"/>
      <c r="K789" s="12"/>
      <c r="L789" s="12"/>
      <c r="M789" s="12"/>
      <c r="N789" s="12"/>
      <c r="O789" s="12"/>
      <c r="P789" s="12"/>
      <c r="Q789" s="12"/>
      <c r="R789" s="12"/>
      <c r="S789" s="12"/>
      <c r="T789" s="12"/>
    </row>
    <row r="790">
      <c r="B790" s="12"/>
      <c r="C790" s="12"/>
      <c r="D790" s="12"/>
      <c r="E790" s="12"/>
      <c r="F790" s="12"/>
      <c r="G790" s="12"/>
      <c r="H790" s="12"/>
      <c r="I790" s="12"/>
      <c r="J790" s="12"/>
      <c r="K790" s="12"/>
      <c r="L790" s="12"/>
      <c r="M790" s="12"/>
      <c r="N790" s="12"/>
      <c r="O790" s="12"/>
      <c r="P790" s="12"/>
      <c r="Q790" s="12"/>
      <c r="R790" s="12"/>
      <c r="S790" s="12"/>
      <c r="T790" s="12"/>
    </row>
    <row r="791">
      <c r="B791" s="12"/>
      <c r="C791" s="12"/>
      <c r="D791" s="12"/>
      <c r="E791" s="12"/>
      <c r="F791" s="12"/>
      <c r="G791" s="12"/>
      <c r="H791" s="12"/>
      <c r="I791" s="12"/>
      <c r="J791" s="12"/>
      <c r="K791" s="12"/>
      <c r="L791" s="12"/>
      <c r="M791" s="12"/>
      <c r="N791" s="12"/>
      <c r="O791" s="12"/>
      <c r="P791" s="12"/>
      <c r="Q791" s="12"/>
      <c r="R791" s="12"/>
      <c r="S791" s="12"/>
      <c r="T791" s="12"/>
    </row>
    <row r="792">
      <c r="B792" s="12"/>
      <c r="C792" s="12"/>
      <c r="D792" s="12"/>
      <c r="E792" s="12"/>
      <c r="F792" s="12"/>
      <c r="G792" s="12"/>
      <c r="H792" s="12"/>
      <c r="I792" s="12"/>
      <c r="J792" s="12"/>
      <c r="K792" s="12"/>
      <c r="L792" s="12"/>
      <c r="M792" s="12"/>
      <c r="N792" s="12"/>
      <c r="O792" s="12"/>
      <c r="P792" s="12"/>
      <c r="Q792" s="12"/>
      <c r="R792" s="12"/>
      <c r="S792" s="12"/>
      <c r="T792" s="12"/>
    </row>
    <row r="793">
      <c r="B793" s="12"/>
      <c r="C793" s="12"/>
      <c r="D793" s="12"/>
      <c r="E793" s="12"/>
      <c r="F793" s="12"/>
      <c r="G793" s="12"/>
      <c r="H793" s="12"/>
      <c r="I793" s="12"/>
      <c r="J793" s="12"/>
      <c r="K793" s="12"/>
      <c r="L793" s="12"/>
      <c r="M793" s="12"/>
      <c r="N793" s="12"/>
      <c r="O793" s="12"/>
      <c r="P793" s="12"/>
      <c r="Q793" s="12"/>
      <c r="R793" s="12"/>
      <c r="S793" s="12"/>
      <c r="T793" s="12"/>
    </row>
    <row r="794">
      <c r="B794" s="12"/>
      <c r="C794" s="12"/>
      <c r="D794" s="12"/>
      <c r="E794" s="12"/>
      <c r="F794" s="12"/>
      <c r="G794" s="12"/>
      <c r="H794" s="12"/>
      <c r="I794" s="12"/>
      <c r="J794" s="12"/>
      <c r="K794" s="12"/>
      <c r="L794" s="12"/>
      <c r="M794" s="12"/>
      <c r="N794" s="12"/>
      <c r="O794" s="12"/>
      <c r="P794" s="12"/>
      <c r="Q794" s="12"/>
      <c r="R794" s="12"/>
      <c r="S794" s="12"/>
      <c r="T794" s="12"/>
    </row>
    <row r="795">
      <c r="B795" s="12"/>
      <c r="C795" s="12"/>
      <c r="D795" s="12"/>
      <c r="E795" s="12"/>
      <c r="F795" s="12"/>
      <c r="G795" s="12"/>
      <c r="H795" s="12"/>
      <c r="I795" s="12"/>
      <c r="J795" s="12"/>
      <c r="K795" s="12"/>
      <c r="L795" s="12"/>
      <c r="M795" s="12"/>
      <c r="N795" s="12"/>
      <c r="O795" s="12"/>
      <c r="P795" s="12"/>
      <c r="Q795" s="12"/>
      <c r="R795" s="12"/>
      <c r="S795" s="12"/>
      <c r="T795" s="12"/>
    </row>
    <row r="796">
      <c r="B796" s="12"/>
      <c r="C796" s="12"/>
      <c r="D796" s="12"/>
      <c r="E796" s="12"/>
      <c r="F796" s="12"/>
      <c r="G796" s="12"/>
      <c r="H796" s="12"/>
      <c r="I796" s="12"/>
      <c r="J796" s="12"/>
      <c r="K796" s="12"/>
      <c r="L796" s="12"/>
      <c r="M796" s="12"/>
      <c r="N796" s="12"/>
      <c r="O796" s="12"/>
      <c r="P796" s="12"/>
      <c r="Q796" s="12"/>
      <c r="R796" s="12"/>
      <c r="S796" s="12"/>
      <c r="T796" s="12"/>
    </row>
    <row r="797">
      <c r="B797" s="12"/>
      <c r="C797" s="12"/>
      <c r="D797" s="12"/>
      <c r="E797" s="12"/>
      <c r="F797" s="12"/>
      <c r="G797" s="12"/>
      <c r="H797" s="12"/>
      <c r="I797" s="12"/>
      <c r="J797" s="12"/>
      <c r="K797" s="12"/>
      <c r="L797" s="12"/>
      <c r="M797" s="12"/>
      <c r="N797" s="12"/>
      <c r="O797" s="12"/>
      <c r="P797" s="12"/>
      <c r="Q797" s="12"/>
      <c r="R797" s="12"/>
      <c r="S797" s="12"/>
      <c r="T797" s="12"/>
    </row>
    <row r="798">
      <c r="B798" s="12"/>
      <c r="C798" s="12"/>
      <c r="D798" s="12"/>
      <c r="E798" s="12"/>
      <c r="F798" s="12"/>
      <c r="G798" s="12"/>
      <c r="H798" s="12"/>
      <c r="I798" s="12"/>
      <c r="J798" s="12"/>
      <c r="K798" s="12"/>
      <c r="L798" s="12"/>
      <c r="M798" s="12"/>
      <c r="N798" s="12"/>
      <c r="O798" s="12"/>
      <c r="P798" s="12"/>
      <c r="Q798" s="12"/>
      <c r="R798" s="12"/>
      <c r="S798" s="12"/>
      <c r="T798" s="12"/>
    </row>
    <row r="799">
      <c r="B799" s="12"/>
      <c r="C799" s="12"/>
      <c r="D799" s="12"/>
      <c r="E799" s="12"/>
      <c r="F799" s="12"/>
      <c r="G799" s="12"/>
      <c r="H799" s="12"/>
      <c r="I799" s="12"/>
      <c r="J799" s="12"/>
      <c r="K799" s="12"/>
      <c r="L799" s="12"/>
      <c r="M799" s="12"/>
      <c r="N799" s="12"/>
      <c r="O799" s="12"/>
      <c r="P799" s="12"/>
      <c r="Q799" s="12"/>
      <c r="R799" s="12"/>
      <c r="S799" s="12"/>
      <c r="T799" s="12"/>
    </row>
    <row r="800">
      <c r="B800" s="12"/>
      <c r="C800" s="12"/>
      <c r="D800" s="12"/>
      <c r="E800" s="12"/>
      <c r="F800" s="12"/>
      <c r="G800" s="12"/>
      <c r="H800" s="12"/>
      <c r="I800" s="12"/>
      <c r="J800" s="12"/>
      <c r="K800" s="12"/>
      <c r="L800" s="12"/>
      <c r="M800" s="12"/>
      <c r="N800" s="12"/>
      <c r="O800" s="12"/>
      <c r="P800" s="12"/>
      <c r="Q800" s="12"/>
      <c r="R800" s="12"/>
      <c r="S800" s="12"/>
      <c r="T800" s="12"/>
    </row>
    <row r="801">
      <c r="B801" s="12"/>
      <c r="C801" s="12"/>
      <c r="D801" s="12"/>
      <c r="E801" s="12"/>
      <c r="F801" s="12"/>
      <c r="G801" s="12"/>
      <c r="H801" s="12"/>
      <c r="I801" s="12"/>
      <c r="J801" s="12"/>
      <c r="K801" s="12"/>
      <c r="L801" s="12"/>
      <c r="M801" s="12"/>
      <c r="N801" s="12"/>
      <c r="O801" s="12"/>
      <c r="P801" s="12"/>
      <c r="Q801" s="12"/>
      <c r="R801" s="12"/>
      <c r="S801" s="12"/>
      <c r="T801" s="12"/>
    </row>
    <row r="802">
      <c r="B802" s="12"/>
      <c r="C802" s="12"/>
      <c r="D802" s="12"/>
      <c r="E802" s="12"/>
      <c r="F802" s="12"/>
      <c r="G802" s="12"/>
      <c r="H802" s="12"/>
      <c r="I802" s="12"/>
      <c r="J802" s="12"/>
      <c r="K802" s="12"/>
      <c r="L802" s="12"/>
      <c r="M802" s="12"/>
      <c r="N802" s="12"/>
      <c r="O802" s="12"/>
      <c r="P802" s="12"/>
      <c r="Q802" s="12"/>
      <c r="R802" s="12"/>
      <c r="S802" s="12"/>
      <c r="T802" s="12"/>
    </row>
    <row r="803">
      <c r="B803" s="12"/>
      <c r="C803" s="12"/>
      <c r="D803" s="12"/>
      <c r="E803" s="12"/>
      <c r="F803" s="12"/>
      <c r="G803" s="12"/>
      <c r="H803" s="12"/>
      <c r="I803" s="12"/>
      <c r="J803" s="12"/>
      <c r="K803" s="12"/>
      <c r="L803" s="12"/>
      <c r="M803" s="12"/>
      <c r="N803" s="12"/>
      <c r="O803" s="12"/>
      <c r="P803" s="12"/>
      <c r="Q803" s="12"/>
      <c r="R803" s="12"/>
      <c r="S803" s="12"/>
      <c r="T803" s="12"/>
    </row>
    <row r="804">
      <c r="B804" s="12"/>
      <c r="C804" s="12"/>
      <c r="D804" s="12"/>
      <c r="E804" s="12"/>
      <c r="F804" s="12"/>
      <c r="G804" s="12"/>
      <c r="H804" s="12"/>
      <c r="I804" s="12"/>
      <c r="J804" s="12"/>
      <c r="K804" s="12"/>
      <c r="L804" s="12"/>
      <c r="M804" s="12"/>
      <c r="N804" s="12"/>
      <c r="O804" s="12"/>
      <c r="P804" s="12"/>
      <c r="Q804" s="12"/>
      <c r="R804" s="12"/>
      <c r="S804" s="12"/>
      <c r="T804" s="12"/>
    </row>
    <row r="805">
      <c r="B805" s="12"/>
      <c r="C805" s="12"/>
      <c r="D805" s="12"/>
      <c r="E805" s="12"/>
      <c r="F805" s="12"/>
      <c r="G805" s="12"/>
      <c r="H805" s="12"/>
      <c r="I805" s="12"/>
      <c r="J805" s="12"/>
      <c r="K805" s="12"/>
      <c r="L805" s="12"/>
      <c r="M805" s="12"/>
      <c r="N805" s="12"/>
      <c r="O805" s="12"/>
      <c r="P805" s="12"/>
      <c r="Q805" s="12"/>
      <c r="R805" s="12"/>
      <c r="S805" s="12"/>
      <c r="T805" s="12"/>
    </row>
    <row r="806">
      <c r="B806" s="12"/>
      <c r="C806" s="12"/>
      <c r="D806" s="12"/>
      <c r="E806" s="12"/>
      <c r="F806" s="12"/>
      <c r="G806" s="12"/>
      <c r="H806" s="12"/>
      <c r="I806" s="12"/>
      <c r="J806" s="12"/>
      <c r="K806" s="12"/>
      <c r="L806" s="12"/>
      <c r="M806" s="12"/>
      <c r="N806" s="12"/>
      <c r="O806" s="12"/>
      <c r="P806" s="12"/>
      <c r="Q806" s="12"/>
      <c r="R806" s="12"/>
      <c r="S806" s="12"/>
      <c r="T806" s="12"/>
    </row>
    <row r="807">
      <c r="B807" s="12"/>
      <c r="C807" s="12"/>
      <c r="D807" s="12"/>
      <c r="E807" s="12"/>
      <c r="F807" s="12"/>
      <c r="G807" s="12"/>
      <c r="H807" s="12"/>
      <c r="I807" s="12"/>
      <c r="J807" s="12"/>
      <c r="K807" s="12"/>
      <c r="L807" s="12"/>
      <c r="M807" s="12"/>
      <c r="N807" s="12"/>
      <c r="O807" s="12"/>
      <c r="P807" s="12"/>
      <c r="Q807" s="12"/>
      <c r="R807" s="12"/>
      <c r="S807" s="12"/>
      <c r="T807" s="12"/>
    </row>
    <row r="808">
      <c r="B808" s="12"/>
      <c r="C808" s="12"/>
      <c r="D808" s="12"/>
      <c r="E808" s="12"/>
      <c r="F808" s="12"/>
      <c r="G808" s="12"/>
      <c r="H808" s="12"/>
      <c r="I808" s="12"/>
      <c r="J808" s="12"/>
      <c r="K808" s="12"/>
      <c r="L808" s="12"/>
      <c r="M808" s="12"/>
      <c r="N808" s="12"/>
      <c r="O808" s="12"/>
      <c r="P808" s="12"/>
      <c r="Q808" s="12"/>
      <c r="R808" s="12"/>
      <c r="S808" s="12"/>
      <c r="T808" s="12"/>
    </row>
    <row r="809">
      <c r="B809" s="12"/>
      <c r="C809" s="12"/>
      <c r="D809" s="12"/>
      <c r="E809" s="12"/>
      <c r="F809" s="12"/>
      <c r="G809" s="12"/>
      <c r="H809" s="12"/>
      <c r="I809" s="12"/>
      <c r="J809" s="12"/>
      <c r="K809" s="12"/>
      <c r="L809" s="12"/>
      <c r="M809" s="12"/>
      <c r="N809" s="12"/>
      <c r="O809" s="12"/>
      <c r="P809" s="12"/>
      <c r="Q809" s="12"/>
      <c r="R809" s="12"/>
      <c r="S809" s="12"/>
      <c r="T809" s="12"/>
    </row>
    <row r="810">
      <c r="B810" s="12"/>
      <c r="C810" s="12"/>
      <c r="D810" s="12"/>
      <c r="E810" s="12"/>
      <c r="F810" s="12"/>
      <c r="G810" s="12"/>
      <c r="H810" s="12"/>
      <c r="I810" s="12"/>
      <c r="J810" s="12"/>
      <c r="K810" s="12"/>
      <c r="L810" s="12"/>
      <c r="M810" s="12"/>
      <c r="N810" s="12"/>
      <c r="O810" s="12"/>
      <c r="P810" s="12"/>
      <c r="Q810" s="12"/>
      <c r="R810" s="12"/>
      <c r="S810" s="12"/>
      <c r="T810" s="12"/>
    </row>
    <row r="811">
      <c r="B811" s="12"/>
      <c r="C811" s="12"/>
      <c r="D811" s="12"/>
      <c r="E811" s="12"/>
      <c r="F811" s="12"/>
      <c r="G811" s="12"/>
      <c r="H811" s="12"/>
      <c r="I811" s="12"/>
      <c r="J811" s="12"/>
      <c r="K811" s="12"/>
      <c r="L811" s="12"/>
      <c r="M811" s="12"/>
      <c r="N811" s="12"/>
      <c r="O811" s="12"/>
      <c r="P811" s="12"/>
      <c r="Q811" s="12"/>
      <c r="R811" s="12"/>
      <c r="S811" s="12"/>
      <c r="T811" s="12"/>
    </row>
    <row r="812">
      <c r="B812" s="12"/>
      <c r="C812" s="12"/>
      <c r="D812" s="12"/>
      <c r="E812" s="12"/>
      <c r="F812" s="12"/>
      <c r="G812" s="12"/>
      <c r="H812" s="12"/>
      <c r="I812" s="12"/>
      <c r="J812" s="12"/>
      <c r="K812" s="12"/>
      <c r="L812" s="12"/>
      <c r="M812" s="12"/>
      <c r="N812" s="12"/>
      <c r="O812" s="12"/>
      <c r="P812" s="12"/>
      <c r="Q812" s="12"/>
      <c r="R812" s="12"/>
      <c r="S812" s="12"/>
      <c r="T812" s="12"/>
    </row>
    <row r="813">
      <c r="B813" s="12"/>
      <c r="C813" s="12"/>
      <c r="D813" s="12"/>
      <c r="E813" s="12"/>
      <c r="F813" s="12"/>
      <c r="G813" s="12"/>
      <c r="H813" s="12"/>
      <c r="I813" s="12"/>
      <c r="J813" s="12"/>
      <c r="K813" s="12"/>
      <c r="L813" s="12"/>
      <c r="M813" s="12"/>
      <c r="N813" s="12"/>
      <c r="O813" s="12"/>
      <c r="P813" s="12"/>
      <c r="Q813" s="12"/>
      <c r="R813" s="12"/>
      <c r="S813" s="12"/>
      <c r="T813" s="12"/>
    </row>
    <row r="814">
      <c r="B814" s="12"/>
      <c r="C814" s="12"/>
      <c r="D814" s="12"/>
      <c r="E814" s="12"/>
      <c r="F814" s="12"/>
      <c r="G814" s="12"/>
      <c r="H814" s="12"/>
      <c r="I814" s="12"/>
      <c r="J814" s="12"/>
      <c r="K814" s="12"/>
      <c r="L814" s="12"/>
      <c r="M814" s="12"/>
      <c r="N814" s="12"/>
      <c r="O814" s="12"/>
      <c r="P814" s="12"/>
      <c r="Q814" s="12"/>
      <c r="R814" s="12"/>
      <c r="S814" s="12"/>
      <c r="T814" s="12"/>
    </row>
    <row r="815">
      <c r="B815" s="12"/>
      <c r="C815" s="12"/>
      <c r="D815" s="12"/>
      <c r="E815" s="12"/>
      <c r="F815" s="12"/>
      <c r="G815" s="12"/>
      <c r="H815" s="12"/>
      <c r="I815" s="12"/>
      <c r="J815" s="12"/>
      <c r="K815" s="12"/>
      <c r="L815" s="12"/>
      <c r="M815" s="12"/>
      <c r="N815" s="12"/>
      <c r="O815" s="12"/>
      <c r="P815" s="12"/>
      <c r="Q815" s="12"/>
      <c r="R815" s="12"/>
      <c r="S815" s="12"/>
      <c r="T815" s="12"/>
    </row>
    <row r="816">
      <c r="B816" s="12"/>
      <c r="C816" s="12"/>
      <c r="D816" s="12"/>
      <c r="E816" s="12"/>
      <c r="F816" s="12"/>
      <c r="G816" s="12"/>
      <c r="H816" s="12"/>
      <c r="I816" s="12"/>
      <c r="J816" s="12"/>
      <c r="K816" s="12"/>
      <c r="L816" s="12"/>
      <c r="M816" s="12"/>
      <c r="N816" s="12"/>
      <c r="O816" s="12"/>
      <c r="P816" s="12"/>
      <c r="Q816" s="12"/>
      <c r="R816" s="12"/>
      <c r="S816" s="12"/>
      <c r="T816" s="12"/>
    </row>
    <row r="817">
      <c r="B817" s="12"/>
      <c r="C817" s="12"/>
      <c r="D817" s="12"/>
      <c r="E817" s="12"/>
      <c r="F817" s="12"/>
      <c r="G817" s="12"/>
      <c r="H817" s="12"/>
      <c r="I817" s="12"/>
      <c r="J817" s="12"/>
      <c r="K817" s="12"/>
      <c r="L817" s="12"/>
      <c r="M817" s="12"/>
      <c r="N817" s="12"/>
      <c r="O817" s="12"/>
      <c r="P817" s="12"/>
      <c r="Q817" s="12"/>
      <c r="R817" s="12"/>
      <c r="S817" s="12"/>
      <c r="T817" s="12"/>
    </row>
    <row r="818">
      <c r="B818" s="12"/>
      <c r="C818" s="12"/>
      <c r="D818" s="12"/>
      <c r="E818" s="12"/>
      <c r="F818" s="12"/>
      <c r="G818" s="12"/>
      <c r="H818" s="12"/>
      <c r="I818" s="12"/>
      <c r="J818" s="12"/>
      <c r="K818" s="12"/>
      <c r="L818" s="12"/>
      <c r="M818" s="12"/>
      <c r="N818" s="12"/>
      <c r="O818" s="12"/>
      <c r="P818" s="12"/>
      <c r="Q818" s="12"/>
      <c r="R818" s="12"/>
      <c r="S818" s="12"/>
      <c r="T818" s="12"/>
    </row>
    <row r="819">
      <c r="B819" s="12"/>
      <c r="C819" s="12"/>
      <c r="D819" s="12"/>
      <c r="E819" s="12"/>
      <c r="F819" s="12"/>
      <c r="G819" s="12"/>
      <c r="H819" s="12"/>
      <c r="I819" s="12"/>
      <c r="J819" s="12"/>
      <c r="K819" s="12"/>
      <c r="L819" s="12"/>
      <c r="M819" s="12"/>
      <c r="N819" s="12"/>
      <c r="O819" s="12"/>
      <c r="P819" s="12"/>
      <c r="Q819" s="12"/>
      <c r="R819" s="12"/>
      <c r="S819" s="12"/>
      <c r="T819" s="12"/>
    </row>
    <row r="820">
      <c r="B820" s="12"/>
      <c r="C820" s="12"/>
      <c r="D820" s="12"/>
      <c r="E820" s="12"/>
      <c r="F820" s="12"/>
      <c r="G820" s="12"/>
      <c r="H820" s="12"/>
      <c r="I820" s="12"/>
      <c r="J820" s="12"/>
      <c r="K820" s="12"/>
      <c r="L820" s="12"/>
      <c r="M820" s="12"/>
      <c r="N820" s="12"/>
      <c r="O820" s="12"/>
      <c r="P820" s="12"/>
      <c r="Q820" s="12"/>
      <c r="R820" s="12"/>
      <c r="S820" s="12"/>
      <c r="T820" s="12"/>
    </row>
    <row r="821">
      <c r="B821" s="12"/>
      <c r="C821" s="12"/>
      <c r="D821" s="12"/>
      <c r="E821" s="12"/>
      <c r="F821" s="12"/>
      <c r="G821" s="12"/>
      <c r="H821" s="12"/>
      <c r="I821" s="12"/>
      <c r="J821" s="12"/>
      <c r="K821" s="12"/>
      <c r="L821" s="12"/>
      <c r="M821" s="12"/>
      <c r="N821" s="12"/>
      <c r="O821" s="12"/>
      <c r="P821" s="12"/>
      <c r="Q821" s="12"/>
      <c r="R821" s="12"/>
      <c r="S821" s="12"/>
      <c r="T821" s="12"/>
    </row>
    <row r="822">
      <c r="B822" s="12"/>
      <c r="C822" s="12"/>
      <c r="D822" s="12"/>
      <c r="E822" s="12"/>
      <c r="F822" s="12"/>
      <c r="G822" s="12"/>
      <c r="H822" s="12"/>
      <c r="I822" s="12"/>
      <c r="J822" s="12"/>
      <c r="K822" s="12"/>
      <c r="L822" s="12"/>
      <c r="M822" s="12"/>
      <c r="N822" s="12"/>
      <c r="O822" s="12"/>
      <c r="P822" s="12"/>
      <c r="Q822" s="12"/>
      <c r="R822" s="12"/>
      <c r="S822" s="12"/>
      <c r="T822" s="12"/>
    </row>
    <row r="823">
      <c r="B823" s="12"/>
      <c r="C823" s="12"/>
      <c r="D823" s="12"/>
      <c r="E823" s="12"/>
      <c r="F823" s="12"/>
      <c r="G823" s="12"/>
      <c r="H823" s="12"/>
      <c r="I823" s="12"/>
      <c r="J823" s="12"/>
      <c r="K823" s="12"/>
      <c r="L823" s="12"/>
      <c r="M823" s="12"/>
      <c r="N823" s="12"/>
      <c r="O823" s="12"/>
      <c r="P823" s="12"/>
      <c r="Q823" s="12"/>
      <c r="R823" s="12"/>
      <c r="S823" s="12"/>
      <c r="T823" s="12"/>
    </row>
    <row r="824">
      <c r="B824" s="12"/>
      <c r="C824" s="12"/>
      <c r="D824" s="12"/>
      <c r="E824" s="12"/>
      <c r="F824" s="12"/>
      <c r="G824" s="12"/>
      <c r="H824" s="12"/>
      <c r="I824" s="12"/>
      <c r="J824" s="12"/>
      <c r="K824" s="12"/>
      <c r="L824" s="12"/>
      <c r="M824" s="12"/>
      <c r="N824" s="12"/>
      <c r="O824" s="12"/>
      <c r="P824" s="12"/>
      <c r="Q824" s="12"/>
      <c r="R824" s="12"/>
      <c r="S824" s="12"/>
      <c r="T824" s="12"/>
    </row>
    <row r="825">
      <c r="B825" s="12"/>
      <c r="C825" s="12"/>
      <c r="D825" s="12"/>
      <c r="E825" s="12"/>
      <c r="F825" s="12"/>
      <c r="G825" s="12"/>
      <c r="H825" s="12"/>
      <c r="I825" s="12"/>
      <c r="J825" s="12"/>
      <c r="K825" s="12"/>
      <c r="L825" s="12"/>
      <c r="M825" s="12"/>
      <c r="N825" s="12"/>
      <c r="O825" s="12"/>
      <c r="P825" s="12"/>
      <c r="Q825" s="12"/>
      <c r="R825" s="12"/>
      <c r="S825" s="12"/>
      <c r="T825" s="12"/>
    </row>
    <row r="826">
      <c r="B826" s="12"/>
      <c r="C826" s="12"/>
      <c r="D826" s="12"/>
      <c r="E826" s="12"/>
      <c r="F826" s="12"/>
      <c r="G826" s="12"/>
      <c r="H826" s="12"/>
      <c r="I826" s="12"/>
      <c r="J826" s="12"/>
      <c r="K826" s="12"/>
      <c r="L826" s="12"/>
      <c r="M826" s="12"/>
      <c r="N826" s="12"/>
      <c r="O826" s="12"/>
      <c r="P826" s="12"/>
      <c r="Q826" s="12"/>
      <c r="R826" s="12"/>
      <c r="S826" s="12"/>
      <c r="T826" s="12"/>
    </row>
    <row r="827">
      <c r="B827" s="12"/>
      <c r="C827" s="12"/>
      <c r="D827" s="12"/>
      <c r="E827" s="12"/>
      <c r="F827" s="12"/>
      <c r="G827" s="12"/>
      <c r="H827" s="12"/>
      <c r="I827" s="12"/>
      <c r="J827" s="12"/>
      <c r="K827" s="12"/>
      <c r="L827" s="12"/>
      <c r="M827" s="12"/>
      <c r="N827" s="12"/>
      <c r="O827" s="12"/>
      <c r="P827" s="12"/>
      <c r="Q827" s="12"/>
      <c r="R827" s="12"/>
      <c r="S827" s="12"/>
      <c r="T827" s="12"/>
    </row>
    <row r="828">
      <c r="B828" s="12"/>
      <c r="C828" s="12"/>
      <c r="D828" s="12"/>
      <c r="E828" s="12"/>
      <c r="F828" s="12"/>
      <c r="G828" s="12"/>
      <c r="H828" s="12"/>
      <c r="I828" s="12"/>
      <c r="J828" s="12"/>
      <c r="K828" s="12"/>
      <c r="L828" s="12"/>
      <c r="M828" s="12"/>
      <c r="N828" s="12"/>
      <c r="O828" s="12"/>
      <c r="P828" s="12"/>
      <c r="Q828" s="12"/>
      <c r="R828" s="12"/>
      <c r="S828" s="12"/>
      <c r="T828" s="12"/>
    </row>
    <row r="829">
      <c r="B829" s="12"/>
      <c r="C829" s="12"/>
      <c r="D829" s="12"/>
      <c r="E829" s="12"/>
      <c r="F829" s="12"/>
      <c r="G829" s="12"/>
      <c r="H829" s="12"/>
      <c r="I829" s="12"/>
      <c r="J829" s="12"/>
      <c r="K829" s="12"/>
      <c r="L829" s="12"/>
      <c r="M829" s="12"/>
      <c r="N829" s="12"/>
      <c r="O829" s="12"/>
      <c r="P829" s="12"/>
      <c r="Q829" s="12"/>
      <c r="R829" s="12"/>
      <c r="S829" s="12"/>
      <c r="T829" s="12"/>
    </row>
    <row r="830">
      <c r="B830" s="12"/>
      <c r="C830" s="12"/>
      <c r="D830" s="12"/>
      <c r="E830" s="12"/>
      <c r="F830" s="12"/>
      <c r="G830" s="12"/>
      <c r="H830" s="12"/>
      <c r="I830" s="12"/>
      <c r="J830" s="12"/>
      <c r="K830" s="12"/>
      <c r="L830" s="12"/>
      <c r="M830" s="12"/>
      <c r="N830" s="12"/>
      <c r="O830" s="12"/>
      <c r="P830" s="12"/>
      <c r="Q830" s="12"/>
      <c r="R830" s="12"/>
      <c r="S830" s="12"/>
      <c r="T830" s="12"/>
    </row>
    <row r="831">
      <c r="B831" s="12"/>
      <c r="C831" s="12"/>
      <c r="D831" s="12"/>
      <c r="E831" s="12"/>
      <c r="F831" s="12"/>
      <c r="G831" s="12"/>
      <c r="H831" s="12"/>
      <c r="I831" s="12"/>
      <c r="J831" s="12"/>
      <c r="K831" s="12"/>
      <c r="L831" s="12"/>
      <c r="M831" s="12"/>
      <c r="N831" s="12"/>
      <c r="O831" s="12"/>
      <c r="P831" s="12"/>
      <c r="Q831" s="12"/>
      <c r="R831" s="12"/>
      <c r="S831" s="12"/>
      <c r="T831" s="12"/>
    </row>
    <row r="832">
      <c r="B832" s="12"/>
      <c r="C832" s="12"/>
      <c r="D832" s="12"/>
      <c r="E832" s="12"/>
      <c r="F832" s="12"/>
      <c r="G832" s="12"/>
      <c r="H832" s="12"/>
      <c r="I832" s="12"/>
      <c r="J832" s="12"/>
      <c r="K832" s="12"/>
      <c r="L832" s="12"/>
      <c r="M832" s="12"/>
      <c r="N832" s="12"/>
      <c r="O832" s="12"/>
      <c r="P832" s="12"/>
      <c r="Q832" s="12"/>
      <c r="R832" s="12"/>
      <c r="S832" s="12"/>
      <c r="T832" s="12"/>
    </row>
    <row r="833">
      <c r="B833" s="12"/>
      <c r="C833" s="12"/>
      <c r="D833" s="12"/>
      <c r="E833" s="12"/>
      <c r="F833" s="12"/>
      <c r="G833" s="12"/>
      <c r="H833" s="12"/>
      <c r="I833" s="12"/>
      <c r="J833" s="12"/>
      <c r="K833" s="12"/>
      <c r="L833" s="12"/>
      <c r="M833" s="12"/>
      <c r="N833" s="12"/>
      <c r="O833" s="12"/>
      <c r="P833" s="12"/>
      <c r="Q833" s="12"/>
      <c r="R833" s="12"/>
      <c r="S833" s="12"/>
      <c r="T833" s="12"/>
    </row>
    <row r="834">
      <c r="B834" s="12"/>
      <c r="C834" s="12"/>
      <c r="D834" s="12"/>
      <c r="E834" s="12"/>
      <c r="F834" s="12"/>
      <c r="G834" s="12"/>
      <c r="H834" s="12"/>
      <c r="I834" s="12"/>
      <c r="J834" s="12"/>
      <c r="K834" s="12"/>
      <c r="L834" s="12"/>
      <c r="M834" s="12"/>
      <c r="N834" s="12"/>
      <c r="O834" s="12"/>
      <c r="P834" s="12"/>
      <c r="Q834" s="12"/>
      <c r="R834" s="12"/>
      <c r="S834" s="12"/>
      <c r="T834" s="12"/>
    </row>
    <row r="835">
      <c r="B835" s="12"/>
      <c r="C835" s="12"/>
      <c r="D835" s="12"/>
      <c r="E835" s="12"/>
      <c r="F835" s="12"/>
      <c r="G835" s="12"/>
      <c r="H835" s="12"/>
      <c r="I835" s="12"/>
      <c r="J835" s="12"/>
      <c r="K835" s="12"/>
      <c r="L835" s="12"/>
      <c r="M835" s="12"/>
      <c r="N835" s="12"/>
      <c r="O835" s="12"/>
      <c r="P835" s="12"/>
      <c r="Q835" s="12"/>
      <c r="R835" s="12"/>
      <c r="S835" s="12"/>
      <c r="T835" s="12"/>
    </row>
    <row r="836">
      <c r="B836" s="12"/>
      <c r="C836" s="12"/>
      <c r="D836" s="12"/>
      <c r="E836" s="12"/>
      <c r="F836" s="12"/>
      <c r="G836" s="12"/>
      <c r="H836" s="12"/>
      <c r="I836" s="12"/>
      <c r="J836" s="12"/>
      <c r="K836" s="12"/>
      <c r="L836" s="12"/>
      <c r="M836" s="12"/>
      <c r="N836" s="12"/>
      <c r="O836" s="12"/>
      <c r="P836" s="12"/>
      <c r="Q836" s="12"/>
      <c r="R836" s="12"/>
      <c r="S836" s="12"/>
      <c r="T836" s="12"/>
    </row>
    <row r="837">
      <c r="B837" s="12"/>
      <c r="C837" s="12"/>
      <c r="D837" s="12"/>
      <c r="E837" s="12"/>
      <c r="F837" s="12"/>
      <c r="G837" s="12"/>
      <c r="H837" s="12"/>
      <c r="I837" s="12"/>
      <c r="J837" s="12"/>
      <c r="K837" s="12"/>
      <c r="L837" s="12"/>
      <c r="M837" s="12"/>
      <c r="N837" s="12"/>
      <c r="O837" s="12"/>
      <c r="P837" s="12"/>
      <c r="Q837" s="12"/>
      <c r="R837" s="12"/>
      <c r="S837" s="12"/>
      <c r="T837" s="12"/>
    </row>
    <row r="838">
      <c r="B838" s="12"/>
      <c r="C838" s="12"/>
      <c r="D838" s="12"/>
      <c r="E838" s="12"/>
      <c r="F838" s="12"/>
      <c r="G838" s="12"/>
      <c r="H838" s="12"/>
      <c r="I838" s="12"/>
      <c r="J838" s="12"/>
      <c r="K838" s="12"/>
      <c r="L838" s="12"/>
      <c r="M838" s="12"/>
      <c r="N838" s="12"/>
      <c r="O838" s="12"/>
      <c r="P838" s="12"/>
      <c r="Q838" s="12"/>
      <c r="R838" s="12"/>
      <c r="S838" s="12"/>
      <c r="T838" s="12"/>
    </row>
    <row r="839">
      <c r="B839" s="12"/>
      <c r="C839" s="12"/>
      <c r="D839" s="12"/>
      <c r="E839" s="12"/>
      <c r="F839" s="12"/>
      <c r="G839" s="12"/>
      <c r="H839" s="12"/>
      <c r="I839" s="12"/>
      <c r="J839" s="12"/>
      <c r="K839" s="12"/>
      <c r="L839" s="12"/>
      <c r="M839" s="12"/>
      <c r="N839" s="12"/>
      <c r="O839" s="12"/>
      <c r="P839" s="12"/>
      <c r="Q839" s="12"/>
      <c r="R839" s="12"/>
      <c r="S839" s="12"/>
      <c r="T839" s="12"/>
    </row>
    <row r="840">
      <c r="B840" s="12"/>
      <c r="C840" s="12"/>
      <c r="D840" s="12"/>
      <c r="E840" s="12"/>
      <c r="F840" s="12"/>
      <c r="G840" s="12"/>
      <c r="H840" s="12"/>
      <c r="I840" s="12"/>
      <c r="J840" s="12"/>
      <c r="K840" s="12"/>
      <c r="L840" s="12"/>
      <c r="M840" s="12"/>
      <c r="N840" s="12"/>
      <c r="O840" s="12"/>
      <c r="P840" s="12"/>
      <c r="Q840" s="12"/>
      <c r="R840" s="12"/>
      <c r="S840" s="12"/>
      <c r="T840" s="12"/>
    </row>
    <row r="841">
      <c r="B841" s="12"/>
      <c r="C841" s="12"/>
      <c r="D841" s="12"/>
      <c r="E841" s="12"/>
      <c r="F841" s="12"/>
      <c r="G841" s="12"/>
      <c r="H841" s="12"/>
      <c r="I841" s="12"/>
      <c r="J841" s="12"/>
      <c r="K841" s="12"/>
      <c r="L841" s="12"/>
      <c r="M841" s="12"/>
      <c r="N841" s="12"/>
      <c r="O841" s="12"/>
      <c r="P841" s="12"/>
      <c r="Q841" s="12"/>
      <c r="R841" s="12"/>
      <c r="S841" s="12"/>
      <c r="T841" s="12"/>
    </row>
    <row r="842">
      <c r="B842" s="12"/>
      <c r="C842" s="12"/>
      <c r="D842" s="12"/>
      <c r="E842" s="12"/>
      <c r="F842" s="12"/>
      <c r="G842" s="12"/>
      <c r="H842" s="12"/>
      <c r="I842" s="12"/>
      <c r="J842" s="12"/>
      <c r="K842" s="12"/>
      <c r="L842" s="12"/>
      <c r="M842" s="12"/>
      <c r="N842" s="12"/>
      <c r="O842" s="12"/>
      <c r="P842" s="12"/>
      <c r="Q842" s="12"/>
      <c r="R842" s="12"/>
      <c r="S842" s="12"/>
      <c r="T842" s="12"/>
    </row>
    <row r="843">
      <c r="B843" s="12"/>
      <c r="C843" s="12"/>
      <c r="D843" s="12"/>
      <c r="E843" s="12"/>
      <c r="F843" s="12"/>
      <c r="G843" s="12"/>
      <c r="H843" s="12"/>
      <c r="I843" s="12"/>
      <c r="J843" s="12"/>
      <c r="K843" s="12"/>
      <c r="L843" s="12"/>
      <c r="M843" s="12"/>
      <c r="N843" s="12"/>
      <c r="O843" s="12"/>
      <c r="P843" s="12"/>
      <c r="Q843" s="12"/>
      <c r="R843" s="12"/>
      <c r="S843" s="12"/>
      <c r="T843" s="12"/>
    </row>
    <row r="844">
      <c r="B844" s="12"/>
      <c r="C844" s="12"/>
      <c r="D844" s="12"/>
      <c r="E844" s="12"/>
      <c r="F844" s="12"/>
      <c r="G844" s="12"/>
      <c r="H844" s="12"/>
      <c r="I844" s="12"/>
      <c r="J844" s="12"/>
      <c r="K844" s="12"/>
      <c r="L844" s="12"/>
      <c r="M844" s="12"/>
      <c r="N844" s="12"/>
      <c r="O844" s="12"/>
      <c r="P844" s="12"/>
      <c r="Q844" s="12"/>
      <c r="R844" s="12"/>
      <c r="S844" s="12"/>
      <c r="T844" s="12"/>
    </row>
    <row r="845">
      <c r="B845" s="12"/>
      <c r="C845" s="12"/>
      <c r="D845" s="12"/>
      <c r="E845" s="12"/>
      <c r="F845" s="12"/>
      <c r="G845" s="12"/>
      <c r="H845" s="12"/>
      <c r="I845" s="12"/>
      <c r="J845" s="12"/>
      <c r="K845" s="12"/>
      <c r="L845" s="12"/>
      <c r="M845" s="12"/>
      <c r="N845" s="12"/>
      <c r="O845" s="12"/>
      <c r="P845" s="12"/>
      <c r="Q845" s="12"/>
      <c r="R845" s="12"/>
      <c r="S845" s="12"/>
      <c r="T845" s="12"/>
    </row>
    <row r="846">
      <c r="B846" s="12"/>
      <c r="C846" s="12"/>
      <c r="D846" s="12"/>
      <c r="E846" s="12"/>
      <c r="F846" s="12"/>
      <c r="G846" s="12"/>
      <c r="H846" s="12"/>
      <c r="I846" s="12"/>
      <c r="J846" s="12"/>
      <c r="K846" s="12"/>
      <c r="L846" s="12"/>
      <c r="M846" s="12"/>
      <c r="N846" s="12"/>
      <c r="O846" s="12"/>
      <c r="P846" s="12"/>
      <c r="Q846" s="12"/>
      <c r="R846" s="12"/>
      <c r="S846" s="12"/>
      <c r="T846" s="12"/>
    </row>
    <row r="847">
      <c r="B847" s="12"/>
      <c r="C847" s="12"/>
      <c r="D847" s="12"/>
      <c r="E847" s="12"/>
      <c r="F847" s="12"/>
      <c r="G847" s="12"/>
      <c r="H847" s="12"/>
      <c r="I847" s="12"/>
      <c r="J847" s="12"/>
      <c r="K847" s="12"/>
      <c r="L847" s="12"/>
      <c r="M847" s="12"/>
      <c r="N847" s="12"/>
      <c r="O847" s="12"/>
      <c r="P847" s="12"/>
      <c r="Q847" s="12"/>
      <c r="R847" s="12"/>
      <c r="S847" s="12"/>
      <c r="T847" s="12"/>
    </row>
    <row r="848">
      <c r="B848" s="12"/>
      <c r="C848" s="12"/>
      <c r="D848" s="12"/>
      <c r="E848" s="12"/>
      <c r="F848" s="12"/>
      <c r="G848" s="12"/>
      <c r="H848" s="12"/>
      <c r="I848" s="12"/>
      <c r="J848" s="12"/>
      <c r="K848" s="12"/>
      <c r="L848" s="12"/>
      <c r="M848" s="12"/>
      <c r="N848" s="12"/>
      <c r="O848" s="12"/>
      <c r="P848" s="12"/>
      <c r="Q848" s="12"/>
      <c r="R848" s="12"/>
      <c r="S848" s="12"/>
      <c r="T848" s="12"/>
    </row>
    <row r="849">
      <c r="B849" s="12"/>
      <c r="C849" s="12"/>
      <c r="D849" s="12"/>
      <c r="E849" s="12"/>
      <c r="F849" s="12"/>
      <c r="G849" s="12"/>
      <c r="H849" s="12"/>
      <c r="I849" s="12"/>
      <c r="J849" s="12"/>
      <c r="K849" s="12"/>
      <c r="L849" s="12"/>
      <c r="M849" s="12"/>
      <c r="N849" s="12"/>
      <c r="O849" s="12"/>
      <c r="P849" s="12"/>
      <c r="Q849" s="12"/>
      <c r="R849" s="12"/>
      <c r="S849" s="12"/>
      <c r="T849" s="12"/>
    </row>
    <row r="850">
      <c r="B850" s="12"/>
      <c r="C850" s="12"/>
      <c r="D850" s="12"/>
      <c r="E850" s="12"/>
      <c r="F850" s="12"/>
      <c r="G850" s="12"/>
      <c r="H850" s="12"/>
      <c r="I850" s="12"/>
      <c r="J850" s="12"/>
      <c r="K850" s="12"/>
      <c r="L850" s="12"/>
      <c r="M850" s="12"/>
      <c r="N850" s="12"/>
      <c r="O850" s="12"/>
      <c r="P850" s="12"/>
      <c r="Q850" s="12"/>
      <c r="R850" s="12"/>
      <c r="S850" s="12"/>
      <c r="T850" s="12"/>
    </row>
    <row r="851">
      <c r="B851" s="12"/>
      <c r="C851" s="12"/>
      <c r="D851" s="12"/>
      <c r="E851" s="12"/>
      <c r="F851" s="12"/>
      <c r="G851" s="12"/>
      <c r="H851" s="12"/>
      <c r="I851" s="12"/>
      <c r="J851" s="12"/>
      <c r="K851" s="12"/>
      <c r="L851" s="12"/>
      <c r="M851" s="12"/>
      <c r="N851" s="12"/>
      <c r="O851" s="12"/>
      <c r="P851" s="12"/>
      <c r="Q851" s="12"/>
      <c r="R851" s="12"/>
      <c r="S851" s="12"/>
      <c r="T851" s="12"/>
    </row>
    <row r="852">
      <c r="B852" s="12"/>
      <c r="C852" s="12"/>
      <c r="D852" s="12"/>
      <c r="E852" s="12"/>
      <c r="F852" s="12"/>
      <c r="G852" s="12"/>
      <c r="H852" s="12"/>
      <c r="I852" s="12"/>
      <c r="J852" s="12"/>
      <c r="K852" s="12"/>
      <c r="L852" s="12"/>
      <c r="M852" s="12"/>
      <c r="N852" s="12"/>
      <c r="O852" s="12"/>
      <c r="P852" s="12"/>
      <c r="Q852" s="12"/>
      <c r="R852" s="12"/>
      <c r="S852" s="12"/>
      <c r="T852" s="12"/>
    </row>
    <row r="853">
      <c r="B853" s="12"/>
      <c r="C853" s="12"/>
      <c r="D853" s="12"/>
      <c r="E853" s="12"/>
      <c r="F853" s="12"/>
      <c r="G853" s="12"/>
      <c r="H853" s="12"/>
      <c r="I853" s="12"/>
      <c r="J853" s="12"/>
      <c r="K853" s="12"/>
      <c r="L853" s="12"/>
      <c r="M853" s="12"/>
      <c r="N853" s="12"/>
      <c r="O853" s="12"/>
      <c r="P853" s="12"/>
      <c r="Q853" s="12"/>
      <c r="R853" s="12"/>
      <c r="S853" s="12"/>
      <c r="T853" s="12"/>
    </row>
    <row r="854">
      <c r="B854" s="12"/>
      <c r="C854" s="12"/>
      <c r="D854" s="12"/>
      <c r="E854" s="12"/>
      <c r="F854" s="12"/>
      <c r="G854" s="12"/>
      <c r="H854" s="12"/>
      <c r="I854" s="12"/>
      <c r="J854" s="12"/>
      <c r="K854" s="12"/>
      <c r="L854" s="12"/>
      <c r="M854" s="12"/>
      <c r="N854" s="12"/>
      <c r="O854" s="12"/>
      <c r="P854" s="12"/>
      <c r="Q854" s="12"/>
      <c r="R854" s="12"/>
      <c r="S854" s="12"/>
      <c r="T854" s="12"/>
    </row>
    <row r="855">
      <c r="B855" s="12"/>
      <c r="C855" s="12"/>
      <c r="D855" s="12"/>
      <c r="E855" s="12"/>
      <c r="F855" s="12"/>
      <c r="G855" s="12"/>
      <c r="H855" s="12"/>
      <c r="I855" s="12"/>
      <c r="J855" s="12"/>
      <c r="K855" s="12"/>
      <c r="L855" s="12"/>
      <c r="M855" s="12"/>
      <c r="N855" s="12"/>
      <c r="O855" s="12"/>
      <c r="P855" s="12"/>
      <c r="Q855" s="12"/>
      <c r="R855" s="12"/>
      <c r="S855" s="12"/>
      <c r="T855" s="12"/>
    </row>
    <row r="856">
      <c r="B856" s="12"/>
      <c r="C856" s="12"/>
      <c r="D856" s="12"/>
      <c r="E856" s="12"/>
      <c r="F856" s="12"/>
      <c r="G856" s="12"/>
      <c r="H856" s="12"/>
      <c r="I856" s="12"/>
      <c r="J856" s="12"/>
      <c r="K856" s="12"/>
      <c r="L856" s="12"/>
      <c r="M856" s="12"/>
      <c r="N856" s="12"/>
      <c r="O856" s="12"/>
      <c r="P856" s="12"/>
      <c r="Q856" s="12"/>
      <c r="R856" s="12"/>
      <c r="S856" s="12"/>
      <c r="T856" s="12"/>
    </row>
    <row r="857">
      <c r="B857" s="12"/>
      <c r="C857" s="12"/>
      <c r="D857" s="12"/>
      <c r="E857" s="12"/>
      <c r="F857" s="12"/>
      <c r="G857" s="12"/>
      <c r="H857" s="12"/>
      <c r="I857" s="12"/>
      <c r="J857" s="12"/>
      <c r="K857" s="12"/>
      <c r="L857" s="12"/>
      <c r="M857" s="12"/>
      <c r="N857" s="12"/>
      <c r="O857" s="12"/>
      <c r="P857" s="12"/>
      <c r="Q857" s="12"/>
      <c r="R857" s="12"/>
      <c r="S857" s="12"/>
      <c r="T857" s="12"/>
    </row>
    <row r="858">
      <c r="B858" s="12"/>
      <c r="C858" s="12"/>
      <c r="D858" s="12"/>
      <c r="E858" s="12"/>
      <c r="F858" s="12"/>
      <c r="G858" s="12"/>
      <c r="H858" s="12"/>
      <c r="I858" s="12"/>
      <c r="J858" s="12"/>
      <c r="K858" s="12"/>
      <c r="L858" s="12"/>
      <c r="M858" s="12"/>
      <c r="N858" s="12"/>
      <c r="O858" s="12"/>
      <c r="P858" s="12"/>
      <c r="Q858" s="12"/>
      <c r="R858" s="12"/>
      <c r="S858" s="12"/>
      <c r="T858" s="12"/>
    </row>
    <row r="859">
      <c r="B859" s="12"/>
      <c r="C859" s="12"/>
      <c r="D859" s="12"/>
      <c r="E859" s="12"/>
      <c r="F859" s="12"/>
      <c r="G859" s="12"/>
      <c r="H859" s="12"/>
      <c r="I859" s="12"/>
      <c r="J859" s="12"/>
      <c r="K859" s="12"/>
      <c r="L859" s="12"/>
      <c r="M859" s="12"/>
      <c r="N859" s="12"/>
      <c r="O859" s="12"/>
      <c r="P859" s="12"/>
      <c r="Q859" s="12"/>
      <c r="R859" s="12"/>
      <c r="S859" s="12"/>
      <c r="T859" s="12"/>
    </row>
    <row r="860">
      <c r="B860" s="12"/>
      <c r="C860" s="12"/>
      <c r="D860" s="12"/>
      <c r="E860" s="12"/>
      <c r="F860" s="12"/>
      <c r="G860" s="12"/>
      <c r="H860" s="12"/>
      <c r="I860" s="12"/>
      <c r="J860" s="12"/>
      <c r="K860" s="12"/>
      <c r="L860" s="12"/>
      <c r="M860" s="12"/>
      <c r="N860" s="12"/>
      <c r="O860" s="12"/>
      <c r="P860" s="12"/>
      <c r="Q860" s="12"/>
      <c r="R860" s="12"/>
      <c r="S860" s="12"/>
      <c r="T860" s="12"/>
    </row>
    <row r="861">
      <c r="B861" s="12"/>
      <c r="C861" s="12"/>
      <c r="D861" s="12"/>
      <c r="E861" s="12"/>
      <c r="F861" s="12"/>
      <c r="G861" s="12"/>
      <c r="H861" s="12"/>
      <c r="I861" s="12"/>
      <c r="J861" s="12"/>
      <c r="K861" s="12"/>
      <c r="L861" s="12"/>
      <c r="M861" s="12"/>
      <c r="N861" s="12"/>
      <c r="O861" s="12"/>
      <c r="P861" s="12"/>
      <c r="Q861" s="12"/>
      <c r="R861" s="12"/>
      <c r="S861" s="12"/>
      <c r="T861" s="12"/>
    </row>
    <row r="862">
      <c r="B862" s="12"/>
      <c r="C862" s="12"/>
      <c r="D862" s="12"/>
      <c r="E862" s="12"/>
      <c r="F862" s="12"/>
      <c r="G862" s="12"/>
      <c r="H862" s="12"/>
      <c r="I862" s="12"/>
      <c r="J862" s="12"/>
      <c r="K862" s="12"/>
      <c r="L862" s="12"/>
      <c r="M862" s="12"/>
      <c r="N862" s="12"/>
      <c r="O862" s="12"/>
      <c r="P862" s="12"/>
      <c r="Q862" s="12"/>
      <c r="R862" s="12"/>
      <c r="S862" s="12"/>
      <c r="T862" s="12"/>
    </row>
    <row r="863">
      <c r="B863" s="12"/>
      <c r="C863" s="12"/>
      <c r="D863" s="12"/>
      <c r="E863" s="12"/>
      <c r="F863" s="12"/>
      <c r="G863" s="12"/>
      <c r="H863" s="12"/>
      <c r="I863" s="12"/>
      <c r="J863" s="12"/>
      <c r="K863" s="12"/>
      <c r="L863" s="12"/>
      <c r="M863" s="12"/>
      <c r="N863" s="12"/>
      <c r="O863" s="12"/>
      <c r="P863" s="12"/>
      <c r="Q863" s="12"/>
      <c r="R863" s="12"/>
      <c r="S863" s="12"/>
      <c r="T863" s="12"/>
    </row>
    <row r="864">
      <c r="B864" s="12"/>
      <c r="C864" s="12"/>
      <c r="D864" s="12"/>
      <c r="E864" s="12"/>
      <c r="F864" s="12"/>
      <c r="G864" s="12"/>
      <c r="H864" s="12"/>
      <c r="I864" s="12"/>
      <c r="J864" s="12"/>
      <c r="K864" s="12"/>
      <c r="L864" s="12"/>
      <c r="M864" s="12"/>
      <c r="N864" s="12"/>
      <c r="O864" s="12"/>
      <c r="P864" s="12"/>
      <c r="Q864" s="12"/>
      <c r="R864" s="12"/>
      <c r="S864" s="12"/>
      <c r="T864" s="12"/>
    </row>
    <row r="865">
      <c r="B865" s="12"/>
      <c r="C865" s="12"/>
      <c r="D865" s="12"/>
      <c r="E865" s="12"/>
      <c r="F865" s="12"/>
      <c r="G865" s="12"/>
      <c r="H865" s="12"/>
      <c r="I865" s="12"/>
      <c r="J865" s="12"/>
      <c r="K865" s="12"/>
      <c r="L865" s="12"/>
      <c r="M865" s="12"/>
      <c r="N865" s="12"/>
      <c r="O865" s="12"/>
      <c r="P865" s="12"/>
      <c r="Q865" s="12"/>
      <c r="R865" s="12"/>
      <c r="S865" s="12"/>
      <c r="T865" s="12"/>
    </row>
    <row r="866">
      <c r="B866" s="12"/>
      <c r="C866" s="12"/>
      <c r="D866" s="12"/>
      <c r="E866" s="12"/>
      <c r="F866" s="12"/>
      <c r="G866" s="12"/>
      <c r="H866" s="12"/>
      <c r="I866" s="12"/>
      <c r="J866" s="12"/>
      <c r="K866" s="12"/>
      <c r="L866" s="12"/>
      <c r="M866" s="12"/>
      <c r="N866" s="12"/>
      <c r="O866" s="12"/>
      <c r="P866" s="12"/>
      <c r="Q866" s="12"/>
      <c r="R866" s="12"/>
      <c r="S866" s="12"/>
      <c r="T866" s="12"/>
    </row>
    <row r="867">
      <c r="B867" s="12"/>
      <c r="C867" s="12"/>
      <c r="D867" s="12"/>
      <c r="E867" s="12"/>
      <c r="F867" s="12"/>
      <c r="G867" s="12"/>
      <c r="H867" s="12"/>
      <c r="I867" s="12"/>
      <c r="J867" s="12"/>
      <c r="K867" s="12"/>
      <c r="L867" s="12"/>
      <c r="M867" s="12"/>
      <c r="N867" s="12"/>
      <c r="O867" s="12"/>
      <c r="P867" s="12"/>
      <c r="Q867" s="12"/>
      <c r="R867" s="12"/>
      <c r="S867" s="12"/>
      <c r="T867" s="12"/>
    </row>
    <row r="868">
      <c r="B868" s="12"/>
      <c r="C868" s="12"/>
      <c r="D868" s="12"/>
      <c r="E868" s="12"/>
      <c r="F868" s="12"/>
      <c r="G868" s="12"/>
      <c r="H868" s="12"/>
      <c r="I868" s="12"/>
      <c r="J868" s="12"/>
      <c r="K868" s="12"/>
      <c r="L868" s="12"/>
      <c r="M868" s="12"/>
      <c r="N868" s="12"/>
      <c r="O868" s="12"/>
      <c r="P868" s="12"/>
      <c r="Q868" s="12"/>
      <c r="R868" s="12"/>
      <c r="S868" s="12"/>
      <c r="T868" s="12"/>
    </row>
    <row r="869">
      <c r="B869" s="12"/>
      <c r="C869" s="12"/>
      <c r="D869" s="12"/>
      <c r="E869" s="12"/>
      <c r="F869" s="12"/>
      <c r="G869" s="12"/>
      <c r="H869" s="12"/>
      <c r="I869" s="12"/>
      <c r="J869" s="12"/>
      <c r="K869" s="12"/>
      <c r="L869" s="12"/>
      <c r="M869" s="12"/>
      <c r="N869" s="12"/>
      <c r="O869" s="12"/>
      <c r="P869" s="12"/>
      <c r="Q869" s="12"/>
      <c r="R869" s="12"/>
      <c r="S869" s="12"/>
      <c r="T869" s="12"/>
    </row>
    <row r="870">
      <c r="B870" s="12"/>
      <c r="C870" s="12"/>
      <c r="D870" s="12"/>
      <c r="E870" s="12"/>
      <c r="F870" s="12"/>
      <c r="G870" s="12"/>
      <c r="H870" s="12"/>
      <c r="I870" s="12"/>
      <c r="J870" s="12"/>
      <c r="K870" s="12"/>
      <c r="L870" s="12"/>
      <c r="M870" s="12"/>
      <c r="N870" s="12"/>
      <c r="O870" s="12"/>
      <c r="P870" s="12"/>
      <c r="Q870" s="12"/>
      <c r="R870" s="12"/>
      <c r="S870" s="12"/>
      <c r="T870" s="12"/>
    </row>
    <row r="871">
      <c r="B871" s="12"/>
      <c r="C871" s="12"/>
      <c r="D871" s="12"/>
      <c r="E871" s="12"/>
      <c r="F871" s="12"/>
      <c r="G871" s="12"/>
      <c r="H871" s="12"/>
      <c r="I871" s="12"/>
      <c r="J871" s="12"/>
      <c r="K871" s="12"/>
      <c r="L871" s="12"/>
      <c r="M871" s="12"/>
      <c r="N871" s="12"/>
      <c r="O871" s="12"/>
      <c r="P871" s="12"/>
      <c r="Q871" s="12"/>
      <c r="R871" s="12"/>
      <c r="S871" s="12"/>
      <c r="T871" s="12"/>
    </row>
    <row r="872">
      <c r="B872" s="12"/>
      <c r="C872" s="12"/>
      <c r="D872" s="12"/>
      <c r="E872" s="12"/>
      <c r="F872" s="12"/>
      <c r="G872" s="12"/>
      <c r="H872" s="12"/>
      <c r="I872" s="12"/>
      <c r="J872" s="12"/>
      <c r="K872" s="12"/>
      <c r="L872" s="12"/>
      <c r="M872" s="12"/>
      <c r="N872" s="12"/>
      <c r="O872" s="12"/>
      <c r="P872" s="12"/>
      <c r="Q872" s="12"/>
      <c r="R872" s="12"/>
      <c r="S872" s="12"/>
      <c r="T872" s="12"/>
    </row>
    <row r="873">
      <c r="B873" s="12"/>
      <c r="C873" s="12"/>
      <c r="D873" s="12"/>
      <c r="E873" s="12"/>
      <c r="F873" s="12"/>
      <c r="G873" s="12"/>
      <c r="H873" s="12"/>
      <c r="I873" s="12"/>
      <c r="J873" s="12"/>
      <c r="K873" s="12"/>
      <c r="L873" s="12"/>
      <c r="M873" s="12"/>
      <c r="N873" s="12"/>
      <c r="O873" s="12"/>
      <c r="P873" s="12"/>
      <c r="Q873" s="12"/>
      <c r="R873" s="12"/>
      <c r="S873" s="12"/>
      <c r="T873" s="12"/>
    </row>
    <row r="874">
      <c r="B874" s="12"/>
      <c r="C874" s="12"/>
      <c r="D874" s="12"/>
      <c r="E874" s="12"/>
      <c r="F874" s="12"/>
      <c r="G874" s="12"/>
      <c r="H874" s="12"/>
      <c r="I874" s="12"/>
      <c r="J874" s="12"/>
      <c r="K874" s="12"/>
      <c r="L874" s="12"/>
      <c r="M874" s="12"/>
      <c r="N874" s="12"/>
      <c r="O874" s="12"/>
      <c r="P874" s="12"/>
      <c r="Q874" s="12"/>
      <c r="R874" s="12"/>
      <c r="S874" s="12"/>
      <c r="T874" s="12"/>
    </row>
    <row r="875">
      <c r="B875" s="12"/>
      <c r="C875" s="12"/>
      <c r="D875" s="12"/>
      <c r="E875" s="12"/>
      <c r="F875" s="12"/>
      <c r="G875" s="12"/>
      <c r="H875" s="12"/>
      <c r="I875" s="12"/>
      <c r="J875" s="12"/>
      <c r="K875" s="12"/>
      <c r="L875" s="12"/>
      <c r="M875" s="12"/>
      <c r="N875" s="12"/>
      <c r="O875" s="12"/>
      <c r="P875" s="12"/>
      <c r="Q875" s="12"/>
      <c r="R875" s="12"/>
      <c r="S875" s="12"/>
      <c r="T875" s="12"/>
    </row>
    <row r="876">
      <c r="B876" s="12"/>
      <c r="C876" s="12"/>
      <c r="D876" s="12"/>
      <c r="E876" s="12"/>
      <c r="F876" s="12"/>
      <c r="G876" s="12"/>
      <c r="H876" s="12"/>
      <c r="I876" s="12"/>
      <c r="J876" s="12"/>
      <c r="K876" s="12"/>
      <c r="L876" s="12"/>
      <c r="M876" s="12"/>
      <c r="N876" s="12"/>
      <c r="O876" s="12"/>
      <c r="P876" s="12"/>
      <c r="Q876" s="12"/>
      <c r="R876" s="12"/>
      <c r="S876" s="12"/>
      <c r="T876" s="12"/>
    </row>
    <row r="877">
      <c r="B877" s="12"/>
      <c r="C877" s="12"/>
      <c r="D877" s="12"/>
      <c r="E877" s="12"/>
      <c r="F877" s="12"/>
      <c r="G877" s="12"/>
      <c r="H877" s="12"/>
      <c r="I877" s="12"/>
      <c r="J877" s="12"/>
      <c r="K877" s="12"/>
      <c r="L877" s="12"/>
      <c r="M877" s="12"/>
      <c r="N877" s="12"/>
      <c r="O877" s="12"/>
      <c r="P877" s="12"/>
      <c r="Q877" s="12"/>
      <c r="R877" s="12"/>
      <c r="S877" s="12"/>
      <c r="T877" s="12"/>
    </row>
    <row r="878">
      <c r="B878" s="12"/>
      <c r="C878" s="12"/>
      <c r="D878" s="12"/>
      <c r="E878" s="12"/>
      <c r="F878" s="12"/>
      <c r="G878" s="12"/>
      <c r="H878" s="12"/>
      <c r="I878" s="12"/>
      <c r="J878" s="12"/>
      <c r="K878" s="12"/>
      <c r="L878" s="12"/>
      <c r="M878" s="12"/>
      <c r="N878" s="12"/>
      <c r="O878" s="12"/>
      <c r="P878" s="12"/>
      <c r="Q878" s="12"/>
      <c r="R878" s="12"/>
      <c r="S878" s="12"/>
      <c r="T878" s="12"/>
    </row>
    <row r="879">
      <c r="B879" s="12"/>
      <c r="C879" s="12"/>
      <c r="D879" s="12"/>
      <c r="E879" s="12"/>
      <c r="F879" s="12"/>
      <c r="G879" s="12"/>
      <c r="H879" s="12"/>
      <c r="I879" s="12"/>
      <c r="J879" s="12"/>
      <c r="K879" s="12"/>
      <c r="L879" s="12"/>
      <c r="M879" s="12"/>
      <c r="N879" s="12"/>
      <c r="O879" s="12"/>
      <c r="P879" s="12"/>
      <c r="Q879" s="12"/>
      <c r="R879" s="12"/>
      <c r="S879" s="12"/>
      <c r="T879" s="12"/>
    </row>
    <row r="880">
      <c r="B880" s="12"/>
      <c r="C880" s="12"/>
      <c r="D880" s="12"/>
      <c r="E880" s="12"/>
      <c r="F880" s="12"/>
      <c r="G880" s="12"/>
      <c r="H880" s="12"/>
      <c r="I880" s="12"/>
      <c r="J880" s="12"/>
      <c r="K880" s="12"/>
      <c r="L880" s="12"/>
      <c r="M880" s="12"/>
      <c r="N880" s="12"/>
      <c r="O880" s="12"/>
      <c r="P880" s="12"/>
      <c r="Q880" s="12"/>
      <c r="R880" s="12"/>
      <c r="S880" s="12"/>
      <c r="T880" s="12"/>
    </row>
    <row r="881">
      <c r="B881" s="12"/>
      <c r="C881" s="12"/>
      <c r="D881" s="12"/>
      <c r="E881" s="12"/>
      <c r="F881" s="12"/>
      <c r="G881" s="12"/>
      <c r="H881" s="12"/>
      <c r="I881" s="12"/>
      <c r="J881" s="12"/>
      <c r="K881" s="12"/>
      <c r="L881" s="12"/>
      <c r="M881" s="12"/>
      <c r="N881" s="12"/>
      <c r="O881" s="12"/>
      <c r="P881" s="12"/>
      <c r="Q881" s="12"/>
      <c r="R881" s="12"/>
      <c r="S881" s="12"/>
      <c r="T881" s="12"/>
    </row>
    <row r="882">
      <c r="B882" s="12"/>
      <c r="C882" s="12"/>
      <c r="D882" s="12"/>
      <c r="E882" s="12"/>
      <c r="F882" s="12"/>
      <c r="G882" s="12"/>
      <c r="H882" s="12"/>
      <c r="I882" s="12"/>
      <c r="J882" s="12"/>
      <c r="K882" s="12"/>
      <c r="L882" s="12"/>
      <c r="M882" s="12"/>
      <c r="N882" s="12"/>
      <c r="O882" s="12"/>
      <c r="P882" s="12"/>
      <c r="Q882" s="12"/>
      <c r="R882" s="12"/>
      <c r="S882" s="12"/>
      <c r="T882" s="12"/>
    </row>
    <row r="883">
      <c r="B883" s="12"/>
      <c r="C883" s="12"/>
      <c r="D883" s="12"/>
      <c r="E883" s="12"/>
      <c r="F883" s="12"/>
      <c r="G883" s="12"/>
      <c r="H883" s="12"/>
      <c r="I883" s="12"/>
      <c r="J883" s="12"/>
      <c r="K883" s="12"/>
      <c r="L883" s="12"/>
      <c r="M883" s="12"/>
      <c r="N883" s="12"/>
      <c r="O883" s="12"/>
      <c r="P883" s="12"/>
      <c r="Q883" s="12"/>
      <c r="R883" s="12"/>
      <c r="S883" s="12"/>
      <c r="T883" s="12"/>
    </row>
    <row r="884">
      <c r="B884" s="12"/>
      <c r="C884" s="12"/>
      <c r="D884" s="12"/>
      <c r="E884" s="12"/>
      <c r="F884" s="12"/>
      <c r="G884" s="12"/>
      <c r="H884" s="12"/>
      <c r="I884" s="12"/>
      <c r="J884" s="12"/>
      <c r="K884" s="12"/>
      <c r="L884" s="12"/>
      <c r="M884" s="12"/>
      <c r="N884" s="12"/>
      <c r="O884" s="12"/>
      <c r="P884" s="12"/>
      <c r="Q884" s="12"/>
      <c r="R884" s="12"/>
      <c r="S884" s="12"/>
      <c r="T884" s="12"/>
    </row>
    <row r="885">
      <c r="B885" s="12"/>
      <c r="C885" s="12"/>
      <c r="D885" s="12"/>
      <c r="E885" s="12"/>
      <c r="F885" s="12"/>
      <c r="G885" s="12"/>
      <c r="H885" s="12"/>
      <c r="I885" s="12"/>
      <c r="J885" s="12"/>
      <c r="K885" s="12"/>
      <c r="L885" s="12"/>
      <c r="M885" s="12"/>
      <c r="N885" s="12"/>
      <c r="O885" s="12"/>
      <c r="P885" s="12"/>
      <c r="Q885" s="12"/>
      <c r="R885" s="12"/>
      <c r="S885" s="12"/>
      <c r="T885" s="12"/>
    </row>
    <row r="886">
      <c r="B886" s="12"/>
      <c r="C886" s="12"/>
      <c r="D886" s="12"/>
      <c r="E886" s="12"/>
      <c r="F886" s="12"/>
      <c r="G886" s="12"/>
      <c r="H886" s="12"/>
      <c r="I886" s="12"/>
      <c r="J886" s="12"/>
      <c r="K886" s="12"/>
      <c r="L886" s="12"/>
      <c r="M886" s="12"/>
      <c r="N886" s="12"/>
      <c r="O886" s="12"/>
      <c r="P886" s="12"/>
      <c r="Q886" s="12"/>
      <c r="R886" s="12"/>
      <c r="S886" s="12"/>
      <c r="T886" s="12"/>
    </row>
    <row r="887">
      <c r="B887" s="12"/>
      <c r="C887" s="12"/>
      <c r="D887" s="12"/>
      <c r="E887" s="12"/>
      <c r="F887" s="12"/>
      <c r="G887" s="12"/>
      <c r="H887" s="12"/>
      <c r="I887" s="12"/>
      <c r="J887" s="12"/>
      <c r="K887" s="12"/>
      <c r="L887" s="12"/>
      <c r="M887" s="12"/>
      <c r="N887" s="12"/>
      <c r="O887" s="12"/>
      <c r="P887" s="12"/>
      <c r="Q887" s="12"/>
      <c r="R887" s="12"/>
      <c r="S887" s="12"/>
      <c r="T887" s="12"/>
    </row>
    <row r="888">
      <c r="B888" s="12"/>
      <c r="C888" s="12"/>
      <c r="D888" s="12"/>
      <c r="E888" s="12"/>
      <c r="F888" s="12"/>
      <c r="G888" s="12"/>
      <c r="H888" s="12"/>
      <c r="I888" s="12"/>
      <c r="J888" s="12"/>
      <c r="K888" s="12"/>
      <c r="L888" s="12"/>
      <c r="M888" s="12"/>
      <c r="N888" s="12"/>
      <c r="O888" s="12"/>
      <c r="P888" s="12"/>
      <c r="Q888" s="12"/>
      <c r="R888" s="12"/>
      <c r="S888" s="12"/>
      <c r="T888" s="12"/>
    </row>
    <row r="889">
      <c r="B889" s="12"/>
      <c r="C889" s="12"/>
      <c r="D889" s="12"/>
      <c r="E889" s="12"/>
      <c r="F889" s="12"/>
      <c r="G889" s="12"/>
      <c r="H889" s="12"/>
      <c r="I889" s="12"/>
      <c r="J889" s="12"/>
      <c r="K889" s="12"/>
      <c r="L889" s="12"/>
      <c r="M889" s="12"/>
      <c r="N889" s="12"/>
      <c r="O889" s="12"/>
      <c r="P889" s="12"/>
      <c r="Q889" s="12"/>
      <c r="R889" s="12"/>
      <c r="S889" s="12"/>
      <c r="T889" s="12"/>
    </row>
    <row r="890">
      <c r="B890" s="12"/>
      <c r="C890" s="12"/>
      <c r="D890" s="12"/>
      <c r="E890" s="12"/>
      <c r="F890" s="12"/>
      <c r="G890" s="12"/>
      <c r="H890" s="12"/>
      <c r="I890" s="12"/>
      <c r="J890" s="12"/>
      <c r="K890" s="12"/>
      <c r="L890" s="12"/>
      <c r="M890" s="12"/>
      <c r="N890" s="12"/>
      <c r="O890" s="12"/>
      <c r="P890" s="12"/>
      <c r="Q890" s="12"/>
      <c r="R890" s="12"/>
      <c r="S890" s="12"/>
      <c r="T890" s="12"/>
    </row>
    <row r="891">
      <c r="B891" s="12"/>
      <c r="C891" s="12"/>
      <c r="D891" s="12"/>
      <c r="E891" s="12"/>
      <c r="F891" s="12"/>
      <c r="G891" s="12"/>
      <c r="H891" s="12"/>
      <c r="I891" s="12"/>
      <c r="J891" s="12"/>
      <c r="K891" s="12"/>
      <c r="L891" s="12"/>
      <c r="M891" s="12"/>
      <c r="N891" s="12"/>
      <c r="O891" s="12"/>
      <c r="P891" s="12"/>
      <c r="Q891" s="12"/>
      <c r="R891" s="12"/>
      <c r="S891" s="12"/>
      <c r="T891" s="12"/>
    </row>
    <row r="892">
      <c r="B892" s="12"/>
      <c r="C892" s="12"/>
      <c r="D892" s="12"/>
      <c r="E892" s="12"/>
      <c r="F892" s="12"/>
      <c r="G892" s="12"/>
      <c r="H892" s="12"/>
      <c r="I892" s="12"/>
      <c r="J892" s="12"/>
      <c r="K892" s="12"/>
      <c r="L892" s="12"/>
      <c r="M892" s="12"/>
      <c r="N892" s="12"/>
      <c r="O892" s="12"/>
      <c r="P892" s="12"/>
      <c r="Q892" s="12"/>
      <c r="R892" s="12"/>
      <c r="S892" s="12"/>
      <c r="T892" s="12"/>
    </row>
    <row r="893">
      <c r="B893" s="12"/>
      <c r="C893" s="12"/>
      <c r="D893" s="12"/>
      <c r="E893" s="12"/>
      <c r="F893" s="12"/>
      <c r="G893" s="12"/>
      <c r="H893" s="12"/>
      <c r="I893" s="12"/>
      <c r="J893" s="12"/>
      <c r="K893" s="12"/>
      <c r="L893" s="12"/>
      <c r="M893" s="12"/>
      <c r="N893" s="12"/>
      <c r="O893" s="12"/>
      <c r="P893" s="12"/>
      <c r="Q893" s="12"/>
      <c r="R893" s="12"/>
      <c r="S893" s="12"/>
      <c r="T893" s="12"/>
    </row>
    <row r="894">
      <c r="B894" s="12"/>
      <c r="C894" s="12"/>
      <c r="D894" s="12"/>
      <c r="E894" s="12"/>
      <c r="F894" s="12"/>
      <c r="G894" s="12"/>
      <c r="H894" s="12"/>
      <c r="I894" s="12"/>
      <c r="J894" s="12"/>
      <c r="K894" s="12"/>
      <c r="L894" s="12"/>
      <c r="M894" s="12"/>
      <c r="N894" s="12"/>
      <c r="O894" s="12"/>
      <c r="P894" s="12"/>
      <c r="Q894" s="12"/>
      <c r="R894" s="12"/>
      <c r="S894" s="12"/>
      <c r="T894" s="12"/>
    </row>
    <row r="895">
      <c r="B895" s="12"/>
      <c r="C895" s="12"/>
      <c r="D895" s="12"/>
      <c r="E895" s="12"/>
      <c r="F895" s="12"/>
      <c r="G895" s="12"/>
      <c r="H895" s="12"/>
      <c r="I895" s="12"/>
      <c r="J895" s="12"/>
      <c r="K895" s="12"/>
      <c r="L895" s="12"/>
      <c r="M895" s="12"/>
      <c r="N895" s="12"/>
      <c r="O895" s="12"/>
      <c r="P895" s="12"/>
      <c r="Q895" s="12"/>
      <c r="R895" s="12"/>
      <c r="S895" s="12"/>
      <c r="T895" s="12"/>
    </row>
    <row r="896">
      <c r="B896" s="12"/>
      <c r="C896" s="12"/>
      <c r="D896" s="12"/>
      <c r="E896" s="12"/>
      <c r="F896" s="12"/>
      <c r="G896" s="12"/>
      <c r="H896" s="12"/>
      <c r="I896" s="12"/>
      <c r="J896" s="12"/>
      <c r="K896" s="12"/>
      <c r="L896" s="12"/>
      <c r="M896" s="12"/>
      <c r="N896" s="12"/>
      <c r="O896" s="12"/>
      <c r="P896" s="12"/>
      <c r="Q896" s="12"/>
      <c r="R896" s="12"/>
      <c r="S896" s="12"/>
      <c r="T896" s="12"/>
    </row>
    <row r="897">
      <c r="B897" s="12"/>
      <c r="C897" s="12"/>
      <c r="D897" s="12"/>
      <c r="E897" s="12"/>
      <c r="F897" s="12"/>
      <c r="G897" s="12"/>
      <c r="H897" s="12"/>
      <c r="I897" s="12"/>
      <c r="J897" s="12"/>
      <c r="K897" s="12"/>
      <c r="L897" s="12"/>
      <c r="M897" s="12"/>
      <c r="N897" s="12"/>
      <c r="O897" s="12"/>
      <c r="P897" s="12"/>
      <c r="Q897" s="12"/>
      <c r="R897" s="12"/>
      <c r="S897" s="12"/>
      <c r="T897" s="12"/>
    </row>
    <row r="898">
      <c r="B898" s="12"/>
      <c r="C898" s="12"/>
      <c r="D898" s="12"/>
      <c r="E898" s="12"/>
      <c r="F898" s="12"/>
      <c r="G898" s="12"/>
      <c r="H898" s="12"/>
      <c r="I898" s="12"/>
      <c r="J898" s="12"/>
      <c r="K898" s="12"/>
      <c r="L898" s="12"/>
      <c r="M898" s="12"/>
      <c r="N898" s="12"/>
      <c r="O898" s="12"/>
      <c r="P898" s="12"/>
      <c r="Q898" s="12"/>
      <c r="R898" s="12"/>
      <c r="S898" s="12"/>
      <c r="T898" s="12"/>
    </row>
    <row r="899">
      <c r="B899" s="12"/>
      <c r="C899" s="12"/>
      <c r="D899" s="12"/>
      <c r="E899" s="12"/>
      <c r="F899" s="12"/>
      <c r="G899" s="12"/>
      <c r="H899" s="12"/>
      <c r="I899" s="12"/>
      <c r="J899" s="12"/>
      <c r="K899" s="12"/>
      <c r="L899" s="12"/>
      <c r="M899" s="12"/>
      <c r="N899" s="12"/>
      <c r="O899" s="12"/>
      <c r="P899" s="12"/>
      <c r="Q899" s="12"/>
      <c r="R899" s="12"/>
      <c r="S899" s="12"/>
      <c r="T899" s="12"/>
    </row>
    <row r="900">
      <c r="B900" s="12"/>
      <c r="C900" s="12"/>
      <c r="D900" s="12"/>
      <c r="E900" s="12"/>
      <c r="F900" s="12"/>
      <c r="G900" s="12"/>
      <c r="H900" s="12"/>
      <c r="I900" s="12"/>
      <c r="J900" s="12"/>
      <c r="K900" s="12"/>
      <c r="L900" s="12"/>
      <c r="M900" s="12"/>
      <c r="N900" s="12"/>
      <c r="O900" s="12"/>
      <c r="P900" s="12"/>
      <c r="Q900" s="12"/>
      <c r="R900" s="12"/>
      <c r="S900" s="12"/>
      <c r="T900" s="12"/>
    </row>
    <row r="901">
      <c r="B901" s="12"/>
      <c r="C901" s="12"/>
      <c r="D901" s="12"/>
      <c r="E901" s="12"/>
      <c r="F901" s="12"/>
      <c r="G901" s="12"/>
      <c r="H901" s="12"/>
      <c r="I901" s="12"/>
      <c r="J901" s="12"/>
      <c r="K901" s="12"/>
      <c r="L901" s="12"/>
      <c r="M901" s="12"/>
      <c r="N901" s="12"/>
      <c r="O901" s="12"/>
      <c r="P901" s="12"/>
      <c r="Q901" s="12"/>
      <c r="R901" s="12"/>
      <c r="S901" s="12"/>
      <c r="T901" s="12"/>
    </row>
    <row r="902">
      <c r="B902" s="12"/>
      <c r="C902" s="12"/>
      <c r="D902" s="12"/>
      <c r="E902" s="12"/>
      <c r="F902" s="12"/>
      <c r="G902" s="12"/>
      <c r="H902" s="12"/>
      <c r="I902" s="12"/>
      <c r="J902" s="12"/>
      <c r="K902" s="12"/>
      <c r="L902" s="12"/>
      <c r="M902" s="12"/>
      <c r="N902" s="12"/>
      <c r="O902" s="12"/>
      <c r="P902" s="12"/>
      <c r="Q902" s="12"/>
      <c r="R902" s="12"/>
      <c r="S902" s="12"/>
      <c r="T902" s="12"/>
    </row>
    <row r="903">
      <c r="B903" s="12"/>
      <c r="C903" s="12"/>
      <c r="D903" s="12"/>
      <c r="E903" s="12"/>
      <c r="F903" s="12"/>
      <c r="G903" s="12"/>
      <c r="H903" s="12"/>
      <c r="I903" s="12"/>
      <c r="J903" s="12"/>
      <c r="K903" s="12"/>
      <c r="L903" s="12"/>
      <c r="M903" s="12"/>
      <c r="N903" s="12"/>
      <c r="O903" s="12"/>
      <c r="P903" s="12"/>
      <c r="Q903" s="12"/>
      <c r="R903" s="12"/>
      <c r="S903" s="12"/>
      <c r="T903" s="12"/>
    </row>
    <row r="904">
      <c r="B904" s="12"/>
      <c r="C904" s="12"/>
      <c r="D904" s="12"/>
      <c r="E904" s="12"/>
      <c r="F904" s="12"/>
      <c r="G904" s="12"/>
      <c r="H904" s="12"/>
      <c r="I904" s="12"/>
      <c r="J904" s="12"/>
      <c r="K904" s="12"/>
      <c r="L904" s="12"/>
      <c r="M904" s="12"/>
      <c r="N904" s="12"/>
      <c r="O904" s="12"/>
      <c r="P904" s="12"/>
      <c r="Q904" s="12"/>
      <c r="R904" s="12"/>
      <c r="S904" s="12"/>
      <c r="T904" s="12"/>
    </row>
    <row r="905">
      <c r="B905" s="12"/>
      <c r="C905" s="12"/>
      <c r="D905" s="12"/>
      <c r="E905" s="12"/>
      <c r="F905" s="12"/>
      <c r="G905" s="12"/>
      <c r="H905" s="12"/>
      <c r="I905" s="12"/>
      <c r="J905" s="12"/>
      <c r="K905" s="12"/>
      <c r="L905" s="12"/>
      <c r="M905" s="12"/>
      <c r="N905" s="12"/>
      <c r="O905" s="12"/>
      <c r="P905" s="12"/>
      <c r="Q905" s="12"/>
      <c r="R905" s="12"/>
      <c r="S905" s="12"/>
      <c r="T905" s="12"/>
    </row>
    <row r="906">
      <c r="B906" s="12"/>
      <c r="C906" s="12"/>
      <c r="D906" s="12"/>
      <c r="E906" s="12"/>
      <c r="F906" s="12"/>
      <c r="G906" s="12"/>
      <c r="H906" s="12"/>
      <c r="I906" s="12"/>
      <c r="J906" s="12"/>
      <c r="K906" s="12"/>
      <c r="L906" s="12"/>
      <c r="M906" s="12"/>
      <c r="N906" s="12"/>
      <c r="O906" s="12"/>
      <c r="P906" s="12"/>
      <c r="Q906" s="12"/>
      <c r="R906" s="12"/>
      <c r="S906" s="12"/>
      <c r="T906" s="12"/>
    </row>
    <row r="907">
      <c r="B907" s="12"/>
      <c r="C907" s="12"/>
      <c r="D907" s="12"/>
      <c r="E907" s="12"/>
      <c r="F907" s="12"/>
      <c r="G907" s="12"/>
      <c r="H907" s="12"/>
      <c r="I907" s="12"/>
      <c r="J907" s="12"/>
      <c r="K907" s="12"/>
      <c r="L907" s="12"/>
      <c r="M907" s="12"/>
      <c r="N907" s="12"/>
      <c r="O907" s="12"/>
      <c r="P907" s="12"/>
      <c r="Q907" s="12"/>
      <c r="R907" s="12"/>
      <c r="S907" s="12"/>
      <c r="T907" s="12"/>
    </row>
    <row r="908">
      <c r="B908" s="12"/>
      <c r="C908" s="12"/>
      <c r="D908" s="12"/>
      <c r="E908" s="12"/>
      <c r="F908" s="12"/>
      <c r="G908" s="12"/>
      <c r="H908" s="12"/>
      <c r="I908" s="12"/>
      <c r="J908" s="12"/>
      <c r="K908" s="12"/>
      <c r="L908" s="12"/>
      <c r="M908" s="12"/>
      <c r="N908" s="12"/>
      <c r="O908" s="12"/>
      <c r="P908" s="12"/>
      <c r="Q908" s="12"/>
      <c r="R908" s="12"/>
      <c r="S908" s="12"/>
      <c r="T908" s="12"/>
    </row>
    <row r="909">
      <c r="B909" s="12"/>
      <c r="C909" s="12"/>
      <c r="D909" s="12"/>
      <c r="E909" s="12"/>
      <c r="F909" s="12"/>
      <c r="G909" s="12"/>
      <c r="H909" s="12"/>
      <c r="I909" s="12"/>
      <c r="J909" s="12"/>
      <c r="K909" s="12"/>
      <c r="L909" s="12"/>
      <c r="M909" s="12"/>
      <c r="N909" s="12"/>
      <c r="O909" s="12"/>
      <c r="P909" s="12"/>
      <c r="Q909" s="12"/>
      <c r="R909" s="12"/>
      <c r="S909" s="12"/>
      <c r="T909" s="12"/>
    </row>
    <row r="910">
      <c r="B910" s="12"/>
      <c r="C910" s="12"/>
      <c r="D910" s="12"/>
      <c r="E910" s="12"/>
      <c r="F910" s="12"/>
      <c r="G910" s="12"/>
      <c r="H910" s="12"/>
      <c r="I910" s="12"/>
      <c r="J910" s="12"/>
      <c r="K910" s="12"/>
      <c r="L910" s="12"/>
      <c r="M910" s="12"/>
      <c r="N910" s="12"/>
      <c r="O910" s="12"/>
      <c r="P910" s="12"/>
      <c r="Q910" s="12"/>
      <c r="R910" s="12"/>
      <c r="S910" s="12"/>
      <c r="T910" s="12"/>
    </row>
    <row r="911">
      <c r="B911" s="12"/>
      <c r="C911" s="12"/>
      <c r="D911" s="12"/>
      <c r="E911" s="12"/>
      <c r="F911" s="12"/>
      <c r="G911" s="12"/>
      <c r="H911" s="12"/>
      <c r="I911" s="12"/>
      <c r="J911" s="12"/>
      <c r="K911" s="12"/>
      <c r="L911" s="12"/>
      <c r="M911" s="12"/>
      <c r="N911" s="12"/>
      <c r="O911" s="12"/>
      <c r="P911" s="12"/>
      <c r="Q911" s="12"/>
      <c r="R911" s="12"/>
      <c r="S911" s="12"/>
      <c r="T911" s="12"/>
    </row>
    <row r="912">
      <c r="B912" s="12"/>
      <c r="C912" s="12"/>
      <c r="D912" s="12"/>
      <c r="E912" s="12"/>
      <c r="F912" s="12"/>
      <c r="G912" s="12"/>
      <c r="H912" s="12"/>
      <c r="I912" s="12"/>
      <c r="J912" s="12"/>
      <c r="K912" s="12"/>
      <c r="L912" s="12"/>
      <c r="M912" s="12"/>
      <c r="N912" s="12"/>
      <c r="O912" s="12"/>
      <c r="P912" s="12"/>
      <c r="Q912" s="12"/>
      <c r="R912" s="12"/>
      <c r="S912" s="12"/>
      <c r="T912" s="12"/>
    </row>
    <row r="913">
      <c r="B913" s="12"/>
      <c r="C913" s="12"/>
      <c r="D913" s="12"/>
      <c r="E913" s="12"/>
      <c r="F913" s="12"/>
      <c r="G913" s="12"/>
      <c r="H913" s="12"/>
      <c r="I913" s="12"/>
      <c r="J913" s="12"/>
      <c r="K913" s="12"/>
      <c r="L913" s="12"/>
      <c r="M913" s="12"/>
      <c r="N913" s="12"/>
      <c r="O913" s="12"/>
      <c r="P913" s="12"/>
      <c r="Q913" s="12"/>
      <c r="R913" s="12"/>
      <c r="S913" s="12"/>
      <c r="T913" s="12"/>
    </row>
    <row r="914">
      <c r="B914" s="12"/>
      <c r="C914" s="12"/>
      <c r="D914" s="12"/>
      <c r="E914" s="12"/>
      <c r="F914" s="12"/>
      <c r="G914" s="12"/>
      <c r="H914" s="12"/>
      <c r="I914" s="12"/>
      <c r="J914" s="12"/>
      <c r="K914" s="12"/>
      <c r="L914" s="12"/>
      <c r="M914" s="12"/>
      <c r="N914" s="12"/>
      <c r="O914" s="12"/>
      <c r="P914" s="12"/>
      <c r="Q914" s="12"/>
      <c r="R914" s="12"/>
      <c r="S914" s="12"/>
      <c r="T914" s="12"/>
    </row>
    <row r="915">
      <c r="B915" s="12"/>
      <c r="C915" s="12"/>
      <c r="D915" s="12"/>
      <c r="E915" s="12"/>
      <c r="F915" s="12"/>
      <c r="G915" s="12"/>
      <c r="H915" s="12"/>
      <c r="I915" s="12"/>
      <c r="J915" s="12"/>
      <c r="K915" s="12"/>
      <c r="L915" s="12"/>
      <c r="M915" s="12"/>
      <c r="N915" s="12"/>
      <c r="O915" s="12"/>
      <c r="P915" s="12"/>
      <c r="Q915" s="12"/>
      <c r="R915" s="12"/>
      <c r="S915" s="12"/>
      <c r="T915" s="12"/>
    </row>
    <row r="916">
      <c r="B916" s="12"/>
      <c r="C916" s="12"/>
      <c r="D916" s="12"/>
      <c r="E916" s="12"/>
      <c r="F916" s="12"/>
      <c r="G916" s="12"/>
      <c r="H916" s="12"/>
      <c r="I916" s="12"/>
      <c r="J916" s="12"/>
      <c r="K916" s="12"/>
      <c r="L916" s="12"/>
      <c r="M916" s="12"/>
      <c r="N916" s="12"/>
      <c r="O916" s="12"/>
      <c r="P916" s="12"/>
      <c r="Q916" s="12"/>
      <c r="R916" s="12"/>
      <c r="S916" s="12"/>
      <c r="T916" s="12"/>
    </row>
    <row r="917">
      <c r="B917" s="12"/>
      <c r="C917" s="12"/>
      <c r="D917" s="12"/>
      <c r="E917" s="12"/>
      <c r="F917" s="12"/>
      <c r="G917" s="12"/>
      <c r="H917" s="12"/>
      <c r="I917" s="12"/>
      <c r="J917" s="12"/>
      <c r="K917" s="12"/>
      <c r="L917" s="12"/>
      <c r="M917" s="12"/>
      <c r="N917" s="12"/>
      <c r="O917" s="12"/>
      <c r="P917" s="12"/>
      <c r="Q917" s="12"/>
      <c r="R917" s="12"/>
      <c r="S917" s="12"/>
      <c r="T917" s="12"/>
    </row>
    <row r="918">
      <c r="B918" s="12"/>
      <c r="C918" s="12"/>
      <c r="D918" s="12"/>
      <c r="E918" s="12"/>
      <c r="F918" s="12"/>
      <c r="G918" s="12"/>
      <c r="H918" s="12"/>
      <c r="I918" s="12"/>
      <c r="J918" s="12"/>
      <c r="K918" s="12"/>
      <c r="L918" s="12"/>
      <c r="M918" s="12"/>
      <c r="N918" s="12"/>
      <c r="O918" s="12"/>
      <c r="P918" s="12"/>
      <c r="Q918" s="12"/>
      <c r="R918" s="12"/>
      <c r="S918" s="12"/>
      <c r="T918" s="12"/>
    </row>
    <row r="919">
      <c r="B919" s="12"/>
      <c r="C919" s="12"/>
      <c r="D919" s="12"/>
      <c r="E919" s="12"/>
      <c r="F919" s="12"/>
      <c r="G919" s="12"/>
      <c r="H919" s="12"/>
      <c r="I919" s="12"/>
      <c r="J919" s="12"/>
      <c r="K919" s="12"/>
      <c r="L919" s="12"/>
      <c r="M919" s="12"/>
      <c r="N919" s="12"/>
      <c r="O919" s="12"/>
      <c r="P919" s="12"/>
      <c r="Q919" s="12"/>
      <c r="R919" s="12"/>
      <c r="S919" s="12"/>
      <c r="T919" s="12"/>
    </row>
    <row r="920">
      <c r="B920" s="12"/>
      <c r="C920" s="12"/>
      <c r="D920" s="12"/>
      <c r="E920" s="12"/>
      <c r="F920" s="12"/>
      <c r="G920" s="12"/>
      <c r="H920" s="12"/>
      <c r="I920" s="12"/>
      <c r="J920" s="12"/>
      <c r="K920" s="12"/>
      <c r="L920" s="12"/>
      <c r="M920" s="12"/>
      <c r="N920" s="12"/>
      <c r="O920" s="12"/>
      <c r="P920" s="12"/>
      <c r="Q920" s="12"/>
      <c r="R920" s="12"/>
      <c r="S920" s="12"/>
      <c r="T920" s="12"/>
    </row>
    <row r="921">
      <c r="B921" s="12"/>
      <c r="C921" s="12"/>
      <c r="D921" s="12"/>
      <c r="E921" s="12"/>
      <c r="F921" s="12"/>
      <c r="G921" s="12"/>
      <c r="H921" s="12"/>
      <c r="I921" s="12"/>
      <c r="J921" s="12"/>
      <c r="K921" s="12"/>
      <c r="L921" s="12"/>
      <c r="M921" s="12"/>
      <c r="N921" s="12"/>
      <c r="O921" s="12"/>
      <c r="P921" s="12"/>
      <c r="Q921" s="12"/>
      <c r="R921" s="12"/>
      <c r="S921" s="12"/>
      <c r="T921" s="12"/>
    </row>
    <row r="922">
      <c r="B922" s="12"/>
      <c r="C922" s="12"/>
      <c r="D922" s="12"/>
      <c r="E922" s="12"/>
      <c r="F922" s="12"/>
      <c r="G922" s="12"/>
      <c r="H922" s="12"/>
      <c r="I922" s="12"/>
      <c r="J922" s="12"/>
      <c r="K922" s="12"/>
      <c r="L922" s="12"/>
      <c r="M922" s="12"/>
      <c r="N922" s="12"/>
      <c r="O922" s="12"/>
      <c r="P922" s="12"/>
      <c r="Q922" s="12"/>
      <c r="R922" s="12"/>
      <c r="S922" s="12"/>
      <c r="T922" s="12"/>
    </row>
    <row r="923">
      <c r="B923" s="12"/>
      <c r="C923" s="12"/>
      <c r="D923" s="12"/>
      <c r="E923" s="12"/>
      <c r="F923" s="12"/>
      <c r="G923" s="12"/>
      <c r="H923" s="12"/>
      <c r="I923" s="12"/>
      <c r="J923" s="12"/>
      <c r="K923" s="12"/>
      <c r="L923" s="12"/>
      <c r="M923" s="12"/>
      <c r="N923" s="12"/>
      <c r="O923" s="12"/>
      <c r="P923" s="12"/>
      <c r="Q923" s="12"/>
      <c r="R923" s="12"/>
      <c r="S923" s="12"/>
      <c r="T923" s="12"/>
    </row>
    <row r="924">
      <c r="B924" s="12"/>
      <c r="C924" s="12"/>
      <c r="D924" s="12"/>
      <c r="E924" s="12"/>
      <c r="F924" s="12"/>
      <c r="G924" s="12"/>
      <c r="H924" s="12"/>
      <c r="I924" s="12"/>
      <c r="J924" s="12"/>
      <c r="K924" s="12"/>
      <c r="L924" s="12"/>
      <c r="M924" s="12"/>
      <c r="N924" s="12"/>
      <c r="O924" s="12"/>
      <c r="P924" s="12"/>
      <c r="Q924" s="12"/>
      <c r="R924" s="12"/>
      <c r="S924" s="12"/>
      <c r="T924" s="12"/>
    </row>
    <row r="925">
      <c r="B925" s="12"/>
      <c r="C925" s="12"/>
      <c r="D925" s="12"/>
      <c r="E925" s="12"/>
      <c r="F925" s="12"/>
      <c r="G925" s="12"/>
      <c r="H925" s="12"/>
      <c r="I925" s="12"/>
      <c r="J925" s="12"/>
      <c r="K925" s="12"/>
      <c r="L925" s="12"/>
      <c r="M925" s="12"/>
      <c r="N925" s="12"/>
      <c r="O925" s="12"/>
      <c r="P925" s="12"/>
      <c r="Q925" s="12"/>
      <c r="R925" s="12"/>
      <c r="S925" s="12"/>
      <c r="T925" s="12"/>
    </row>
    <row r="926">
      <c r="B926" s="12"/>
      <c r="C926" s="12"/>
      <c r="D926" s="12"/>
      <c r="E926" s="12"/>
      <c r="F926" s="12"/>
      <c r="G926" s="12"/>
      <c r="H926" s="12"/>
      <c r="I926" s="12"/>
      <c r="J926" s="12"/>
      <c r="K926" s="12"/>
      <c r="L926" s="12"/>
      <c r="M926" s="12"/>
      <c r="N926" s="12"/>
      <c r="O926" s="12"/>
      <c r="P926" s="12"/>
      <c r="Q926" s="12"/>
      <c r="R926" s="12"/>
      <c r="S926" s="12"/>
      <c r="T926" s="12"/>
    </row>
    <row r="927">
      <c r="B927" s="12"/>
      <c r="C927" s="12"/>
      <c r="D927" s="12"/>
      <c r="E927" s="12"/>
      <c r="F927" s="12"/>
      <c r="G927" s="12"/>
      <c r="H927" s="12"/>
      <c r="I927" s="12"/>
      <c r="J927" s="12"/>
      <c r="K927" s="12"/>
      <c r="L927" s="12"/>
      <c r="M927" s="12"/>
      <c r="N927" s="12"/>
      <c r="O927" s="12"/>
      <c r="P927" s="12"/>
      <c r="Q927" s="12"/>
      <c r="R927" s="12"/>
      <c r="S927" s="12"/>
      <c r="T927" s="12"/>
    </row>
    <row r="928">
      <c r="B928" s="12"/>
      <c r="C928" s="12"/>
      <c r="D928" s="12"/>
      <c r="E928" s="12"/>
      <c r="F928" s="12"/>
      <c r="G928" s="12"/>
      <c r="H928" s="12"/>
      <c r="I928" s="12"/>
      <c r="J928" s="12"/>
      <c r="K928" s="12"/>
      <c r="L928" s="12"/>
      <c r="M928" s="12"/>
      <c r="N928" s="12"/>
      <c r="O928" s="12"/>
      <c r="P928" s="12"/>
      <c r="Q928" s="12"/>
      <c r="R928" s="12"/>
      <c r="S928" s="12"/>
      <c r="T928" s="12"/>
    </row>
    <row r="929">
      <c r="B929" s="12"/>
      <c r="C929" s="12"/>
      <c r="D929" s="12"/>
      <c r="E929" s="12"/>
      <c r="F929" s="12"/>
      <c r="G929" s="12"/>
      <c r="H929" s="12"/>
      <c r="I929" s="12"/>
      <c r="J929" s="12"/>
      <c r="K929" s="12"/>
      <c r="L929" s="12"/>
      <c r="M929" s="12"/>
      <c r="N929" s="12"/>
      <c r="O929" s="12"/>
      <c r="P929" s="12"/>
      <c r="Q929" s="12"/>
      <c r="R929" s="12"/>
      <c r="S929" s="12"/>
      <c r="T929" s="12"/>
    </row>
    <row r="930">
      <c r="B930" s="12"/>
      <c r="C930" s="12"/>
      <c r="D930" s="12"/>
      <c r="E930" s="12"/>
      <c r="F930" s="12"/>
      <c r="G930" s="12"/>
      <c r="H930" s="12"/>
      <c r="I930" s="12"/>
      <c r="J930" s="12"/>
      <c r="K930" s="12"/>
      <c r="L930" s="12"/>
      <c r="M930" s="12"/>
      <c r="N930" s="12"/>
      <c r="O930" s="12"/>
      <c r="P930" s="12"/>
      <c r="Q930" s="12"/>
      <c r="R930" s="12"/>
      <c r="S930" s="12"/>
      <c r="T930" s="12"/>
    </row>
    <row r="931">
      <c r="B931" s="12"/>
      <c r="C931" s="12"/>
      <c r="D931" s="12"/>
      <c r="E931" s="12"/>
      <c r="F931" s="12"/>
      <c r="G931" s="12"/>
      <c r="H931" s="12"/>
      <c r="I931" s="12"/>
      <c r="J931" s="12"/>
      <c r="K931" s="12"/>
      <c r="L931" s="12"/>
      <c r="M931" s="12"/>
      <c r="N931" s="12"/>
      <c r="O931" s="12"/>
      <c r="P931" s="12"/>
      <c r="Q931" s="12"/>
      <c r="R931" s="12"/>
      <c r="S931" s="12"/>
      <c r="T931" s="12"/>
    </row>
    <row r="932">
      <c r="B932" s="12"/>
      <c r="C932" s="12"/>
      <c r="D932" s="12"/>
      <c r="E932" s="12"/>
      <c r="F932" s="12"/>
      <c r="G932" s="12"/>
      <c r="H932" s="12"/>
      <c r="I932" s="12"/>
      <c r="J932" s="12"/>
      <c r="K932" s="12"/>
      <c r="L932" s="12"/>
      <c r="M932" s="12"/>
      <c r="N932" s="12"/>
      <c r="O932" s="12"/>
      <c r="P932" s="12"/>
      <c r="Q932" s="12"/>
      <c r="R932" s="12"/>
      <c r="S932" s="12"/>
      <c r="T932" s="12"/>
    </row>
    <row r="933">
      <c r="B933" s="12"/>
      <c r="C933" s="12"/>
      <c r="D933" s="12"/>
      <c r="E933" s="12"/>
      <c r="F933" s="12"/>
      <c r="G933" s="12"/>
      <c r="H933" s="12"/>
      <c r="I933" s="12"/>
      <c r="J933" s="12"/>
      <c r="K933" s="12"/>
      <c r="L933" s="12"/>
      <c r="M933" s="12"/>
      <c r="N933" s="12"/>
      <c r="O933" s="12"/>
      <c r="P933" s="12"/>
      <c r="Q933" s="12"/>
      <c r="R933" s="12"/>
      <c r="S933" s="12"/>
      <c r="T933" s="12"/>
    </row>
    <row r="934">
      <c r="B934" s="12"/>
      <c r="C934" s="12"/>
      <c r="D934" s="12"/>
      <c r="E934" s="12"/>
      <c r="F934" s="12"/>
      <c r="G934" s="12"/>
      <c r="H934" s="12"/>
      <c r="I934" s="12"/>
      <c r="J934" s="12"/>
      <c r="K934" s="12"/>
      <c r="L934" s="12"/>
      <c r="M934" s="12"/>
      <c r="N934" s="12"/>
      <c r="O934" s="12"/>
      <c r="P934" s="12"/>
      <c r="Q934" s="12"/>
      <c r="R934" s="12"/>
      <c r="S934" s="12"/>
      <c r="T934" s="12"/>
    </row>
    <row r="935">
      <c r="B935" s="12"/>
      <c r="C935" s="12"/>
      <c r="D935" s="12"/>
      <c r="E935" s="12"/>
      <c r="F935" s="12"/>
      <c r="G935" s="12"/>
      <c r="H935" s="12"/>
      <c r="I935" s="12"/>
      <c r="J935" s="12"/>
      <c r="K935" s="12"/>
      <c r="L935" s="12"/>
      <c r="M935" s="12"/>
      <c r="N935" s="12"/>
      <c r="O935" s="12"/>
      <c r="P935" s="12"/>
      <c r="Q935" s="12"/>
      <c r="R935" s="12"/>
      <c r="S935" s="12"/>
      <c r="T935" s="12"/>
    </row>
    <row r="936">
      <c r="B936" s="12"/>
      <c r="C936" s="12"/>
      <c r="D936" s="12"/>
      <c r="E936" s="12"/>
      <c r="F936" s="12"/>
      <c r="G936" s="12"/>
      <c r="H936" s="12"/>
      <c r="I936" s="12"/>
      <c r="J936" s="12"/>
      <c r="K936" s="12"/>
      <c r="L936" s="12"/>
      <c r="M936" s="12"/>
      <c r="N936" s="12"/>
      <c r="O936" s="12"/>
      <c r="P936" s="12"/>
      <c r="Q936" s="12"/>
      <c r="R936" s="12"/>
      <c r="S936" s="12"/>
      <c r="T936" s="12"/>
    </row>
    <row r="937">
      <c r="B937" s="12"/>
      <c r="C937" s="12"/>
      <c r="D937" s="12"/>
      <c r="E937" s="12"/>
      <c r="F937" s="12"/>
      <c r="G937" s="12"/>
      <c r="H937" s="12"/>
      <c r="I937" s="12"/>
      <c r="J937" s="12"/>
      <c r="K937" s="12"/>
      <c r="L937" s="12"/>
      <c r="M937" s="12"/>
      <c r="N937" s="12"/>
      <c r="O937" s="12"/>
      <c r="P937" s="12"/>
      <c r="Q937" s="12"/>
      <c r="R937" s="12"/>
      <c r="S937" s="12"/>
      <c r="T937" s="12"/>
    </row>
    <row r="938">
      <c r="B938" s="12"/>
      <c r="C938" s="12"/>
      <c r="D938" s="12"/>
      <c r="E938" s="12"/>
      <c r="F938" s="12"/>
      <c r="G938" s="12"/>
      <c r="H938" s="12"/>
      <c r="I938" s="12"/>
      <c r="J938" s="12"/>
      <c r="K938" s="12"/>
      <c r="L938" s="12"/>
      <c r="M938" s="12"/>
      <c r="N938" s="12"/>
      <c r="O938" s="12"/>
      <c r="P938" s="12"/>
      <c r="Q938" s="12"/>
      <c r="R938" s="12"/>
      <c r="S938" s="12"/>
      <c r="T938" s="12"/>
    </row>
    <row r="939">
      <c r="B939" s="12"/>
      <c r="C939" s="12"/>
      <c r="D939" s="12"/>
      <c r="E939" s="12"/>
      <c r="F939" s="12"/>
      <c r="G939" s="12"/>
      <c r="H939" s="12"/>
      <c r="I939" s="12"/>
      <c r="J939" s="12"/>
      <c r="K939" s="12"/>
      <c r="L939" s="12"/>
      <c r="M939" s="12"/>
      <c r="N939" s="12"/>
      <c r="O939" s="12"/>
      <c r="P939" s="12"/>
      <c r="Q939" s="12"/>
      <c r="R939" s="12"/>
      <c r="S939" s="12"/>
      <c r="T939" s="12"/>
    </row>
    <row r="940">
      <c r="B940" s="12"/>
      <c r="C940" s="12"/>
      <c r="D940" s="12"/>
      <c r="E940" s="12"/>
      <c r="F940" s="12"/>
      <c r="G940" s="12"/>
      <c r="H940" s="12"/>
      <c r="I940" s="12"/>
      <c r="J940" s="12"/>
      <c r="K940" s="12"/>
      <c r="L940" s="12"/>
      <c r="M940" s="12"/>
      <c r="N940" s="12"/>
      <c r="O940" s="12"/>
      <c r="P940" s="12"/>
      <c r="Q940" s="12"/>
      <c r="R940" s="12"/>
      <c r="S940" s="12"/>
      <c r="T940" s="12"/>
    </row>
    <row r="941">
      <c r="B941" s="12"/>
      <c r="C941" s="12"/>
      <c r="D941" s="12"/>
      <c r="E941" s="12"/>
      <c r="F941" s="12"/>
      <c r="G941" s="12"/>
      <c r="H941" s="12"/>
      <c r="I941" s="12"/>
      <c r="J941" s="12"/>
      <c r="K941" s="12"/>
      <c r="L941" s="12"/>
      <c r="M941" s="12"/>
      <c r="N941" s="12"/>
      <c r="O941" s="12"/>
      <c r="P941" s="12"/>
      <c r="Q941" s="12"/>
      <c r="R941" s="12"/>
      <c r="S941" s="12"/>
      <c r="T941" s="12"/>
    </row>
    <row r="942">
      <c r="B942" s="12"/>
      <c r="C942" s="12"/>
      <c r="D942" s="12"/>
      <c r="E942" s="12"/>
      <c r="F942" s="12"/>
      <c r="G942" s="12"/>
      <c r="H942" s="12"/>
      <c r="I942" s="12"/>
      <c r="J942" s="12"/>
      <c r="K942" s="12"/>
      <c r="L942" s="12"/>
      <c r="M942" s="12"/>
      <c r="N942" s="12"/>
      <c r="O942" s="12"/>
      <c r="P942" s="12"/>
      <c r="Q942" s="12"/>
      <c r="R942" s="12"/>
      <c r="S942" s="12"/>
      <c r="T942" s="12"/>
    </row>
    <row r="943">
      <c r="B943" s="12"/>
      <c r="C943" s="12"/>
      <c r="D943" s="12"/>
      <c r="E943" s="12"/>
      <c r="F943" s="12"/>
      <c r="G943" s="12"/>
      <c r="H943" s="12"/>
      <c r="I943" s="12"/>
      <c r="J943" s="12"/>
      <c r="K943" s="12"/>
      <c r="L943" s="12"/>
      <c r="M943" s="12"/>
      <c r="N943" s="12"/>
      <c r="O943" s="12"/>
      <c r="P943" s="12"/>
      <c r="Q943" s="12"/>
      <c r="R943" s="12"/>
      <c r="S943" s="12"/>
      <c r="T943" s="12"/>
    </row>
    <row r="944">
      <c r="B944" s="12"/>
      <c r="C944" s="12"/>
      <c r="D944" s="12"/>
      <c r="E944" s="12"/>
      <c r="F944" s="12"/>
      <c r="G944" s="12"/>
      <c r="H944" s="12"/>
      <c r="I944" s="12"/>
      <c r="J944" s="12"/>
      <c r="K944" s="12"/>
      <c r="L944" s="12"/>
      <c r="M944" s="12"/>
      <c r="N944" s="12"/>
      <c r="O944" s="12"/>
      <c r="P944" s="12"/>
      <c r="Q944" s="12"/>
      <c r="R944" s="12"/>
      <c r="S944" s="12"/>
      <c r="T944" s="12"/>
    </row>
    <row r="945">
      <c r="B945" s="12"/>
      <c r="C945" s="12"/>
      <c r="D945" s="12"/>
      <c r="E945" s="12"/>
      <c r="F945" s="12"/>
      <c r="G945" s="12"/>
      <c r="H945" s="12"/>
      <c r="I945" s="12"/>
      <c r="J945" s="12"/>
      <c r="K945" s="12"/>
      <c r="L945" s="12"/>
      <c r="M945" s="12"/>
      <c r="N945" s="12"/>
      <c r="O945" s="12"/>
      <c r="P945" s="12"/>
      <c r="Q945" s="12"/>
      <c r="R945" s="12"/>
      <c r="S945" s="12"/>
      <c r="T945" s="12"/>
    </row>
    <row r="946">
      <c r="B946" s="12"/>
      <c r="C946" s="12"/>
      <c r="D946" s="12"/>
      <c r="E946" s="12"/>
      <c r="F946" s="12"/>
      <c r="G946" s="12"/>
      <c r="H946" s="12"/>
      <c r="I946" s="12"/>
      <c r="J946" s="12"/>
      <c r="K946" s="12"/>
      <c r="L946" s="12"/>
      <c r="M946" s="12"/>
      <c r="N946" s="12"/>
      <c r="O946" s="12"/>
      <c r="P946" s="12"/>
      <c r="Q946" s="12"/>
      <c r="R946" s="12"/>
      <c r="S946" s="12"/>
      <c r="T946" s="12"/>
    </row>
    <row r="947">
      <c r="B947" s="12"/>
      <c r="C947" s="12"/>
      <c r="D947" s="12"/>
      <c r="E947" s="12"/>
      <c r="F947" s="12"/>
      <c r="G947" s="12"/>
      <c r="H947" s="12"/>
      <c r="I947" s="12"/>
      <c r="J947" s="12"/>
      <c r="K947" s="12"/>
      <c r="L947" s="12"/>
      <c r="M947" s="12"/>
      <c r="N947" s="12"/>
      <c r="O947" s="12"/>
      <c r="P947" s="12"/>
      <c r="Q947" s="12"/>
      <c r="R947" s="12"/>
      <c r="S947" s="12"/>
      <c r="T947" s="12"/>
    </row>
    <row r="948">
      <c r="B948" s="12"/>
      <c r="C948" s="12"/>
      <c r="D948" s="12"/>
      <c r="E948" s="12"/>
      <c r="F948" s="12"/>
      <c r="G948" s="12"/>
      <c r="H948" s="12"/>
      <c r="I948" s="12"/>
      <c r="J948" s="12"/>
      <c r="K948" s="12"/>
      <c r="L948" s="12"/>
      <c r="M948" s="12"/>
      <c r="N948" s="12"/>
      <c r="O948" s="12"/>
      <c r="P948" s="12"/>
      <c r="Q948" s="12"/>
      <c r="R948" s="12"/>
      <c r="S948" s="12"/>
      <c r="T948" s="12"/>
    </row>
    <row r="949">
      <c r="B949" s="12"/>
      <c r="C949" s="12"/>
      <c r="D949" s="12"/>
      <c r="E949" s="12"/>
      <c r="F949" s="12"/>
      <c r="G949" s="12"/>
      <c r="H949" s="12"/>
      <c r="I949" s="12"/>
      <c r="J949" s="12"/>
      <c r="K949" s="12"/>
      <c r="L949" s="12"/>
      <c r="M949" s="12"/>
      <c r="N949" s="12"/>
      <c r="O949" s="12"/>
      <c r="P949" s="12"/>
      <c r="Q949" s="12"/>
      <c r="R949" s="12"/>
      <c r="S949" s="12"/>
      <c r="T949" s="12"/>
    </row>
    <row r="950">
      <c r="B950" s="12"/>
      <c r="C950" s="12"/>
      <c r="D950" s="12"/>
      <c r="E950" s="12"/>
      <c r="F950" s="12"/>
      <c r="G950" s="12"/>
      <c r="H950" s="12"/>
      <c r="I950" s="12"/>
      <c r="J950" s="12"/>
      <c r="K950" s="12"/>
      <c r="L950" s="12"/>
      <c r="M950" s="12"/>
      <c r="N950" s="12"/>
      <c r="O950" s="12"/>
      <c r="P950" s="12"/>
      <c r="Q950" s="12"/>
      <c r="R950" s="12"/>
      <c r="S950" s="12"/>
      <c r="T950" s="12"/>
    </row>
    <row r="951">
      <c r="B951" s="12"/>
      <c r="C951" s="12"/>
      <c r="D951" s="12"/>
      <c r="E951" s="12"/>
      <c r="F951" s="12"/>
      <c r="G951" s="12"/>
      <c r="H951" s="12"/>
      <c r="I951" s="12"/>
      <c r="J951" s="12"/>
      <c r="K951" s="12"/>
      <c r="L951" s="12"/>
      <c r="M951" s="12"/>
      <c r="N951" s="12"/>
      <c r="O951" s="12"/>
      <c r="P951" s="12"/>
      <c r="Q951" s="12"/>
      <c r="R951" s="12"/>
      <c r="S951" s="12"/>
      <c r="T951" s="12"/>
    </row>
    <row r="952">
      <c r="B952" s="12"/>
      <c r="C952" s="12"/>
      <c r="D952" s="12"/>
      <c r="E952" s="12"/>
      <c r="F952" s="12"/>
      <c r="G952" s="12"/>
      <c r="H952" s="12"/>
      <c r="I952" s="12"/>
      <c r="J952" s="12"/>
      <c r="K952" s="12"/>
      <c r="L952" s="12"/>
      <c r="M952" s="12"/>
      <c r="N952" s="12"/>
      <c r="O952" s="12"/>
      <c r="P952" s="12"/>
      <c r="Q952" s="12"/>
      <c r="R952" s="12"/>
      <c r="S952" s="12"/>
      <c r="T952" s="12"/>
    </row>
    <row r="953">
      <c r="B953" s="12"/>
      <c r="C953" s="12"/>
      <c r="D953" s="12"/>
      <c r="E953" s="12"/>
      <c r="F953" s="12"/>
      <c r="G953" s="12"/>
      <c r="H953" s="12"/>
      <c r="I953" s="12"/>
      <c r="J953" s="12"/>
      <c r="K953" s="12"/>
      <c r="L953" s="12"/>
      <c r="M953" s="12"/>
      <c r="N953" s="12"/>
      <c r="O953" s="12"/>
      <c r="P953" s="12"/>
      <c r="Q953" s="12"/>
      <c r="R953" s="12"/>
      <c r="S953" s="12"/>
      <c r="T953" s="12"/>
    </row>
    <row r="954">
      <c r="B954" s="12"/>
      <c r="C954" s="12"/>
      <c r="D954" s="12"/>
      <c r="E954" s="12"/>
      <c r="F954" s="12"/>
      <c r="G954" s="12"/>
      <c r="H954" s="12"/>
      <c r="I954" s="12"/>
      <c r="J954" s="12"/>
      <c r="K954" s="12"/>
      <c r="L954" s="12"/>
      <c r="M954" s="12"/>
      <c r="N954" s="12"/>
      <c r="O954" s="12"/>
      <c r="P954" s="12"/>
      <c r="Q954" s="12"/>
      <c r="R954" s="12"/>
      <c r="S954" s="12"/>
      <c r="T954" s="12"/>
    </row>
    <row r="955">
      <c r="B955" s="12"/>
      <c r="C955" s="12"/>
      <c r="D955" s="12"/>
      <c r="E955" s="12"/>
      <c r="F955" s="12"/>
      <c r="G955" s="12"/>
      <c r="H955" s="12"/>
      <c r="I955" s="12"/>
      <c r="J955" s="12"/>
      <c r="K955" s="12"/>
      <c r="L955" s="12"/>
      <c r="M955" s="12"/>
      <c r="N955" s="12"/>
      <c r="O955" s="12"/>
      <c r="P955" s="12"/>
      <c r="Q955" s="12"/>
      <c r="R955" s="12"/>
      <c r="S955" s="12"/>
      <c r="T955" s="12"/>
    </row>
    <row r="956">
      <c r="B956" s="12"/>
      <c r="C956" s="12"/>
      <c r="D956" s="12"/>
      <c r="E956" s="12"/>
      <c r="F956" s="12"/>
      <c r="G956" s="12"/>
      <c r="H956" s="12"/>
      <c r="I956" s="12"/>
      <c r="J956" s="12"/>
      <c r="K956" s="12"/>
      <c r="L956" s="12"/>
      <c r="M956" s="12"/>
      <c r="N956" s="12"/>
      <c r="O956" s="12"/>
      <c r="P956" s="12"/>
      <c r="Q956" s="12"/>
      <c r="R956" s="12"/>
      <c r="S956" s="12"/>
      <c r="T956" s="12"/>
    </row>
    <row r="957">
      <c r="B957" s="12"/>
      <c r="C957" s="12"/>
      <c r="D957" s="12"/>
      <c r="E957" s="12"/>
      <c r="F957" s="12"/>
      <c r="G957" s="12"/>
      <c r="H957" s="12"/>
      <c r="I957" s="12"/>
      <c r="J957" s="12"/>
      <c r="K957" s="12"/>
      <c r="L957" s="12"/>
      <c r="M957" s="12"/>
      <c r="N957" s="12"/>
      <c r="O957" s="12"/>
      <c r="P957" s="12"/>
      <c r="Q957" s="12"/>
      <c r="R957" s="12"/>
      <c r="S957" s="12"/>
      <c r="T957" s="12"/>
    </row>
    <row r="958">
      <c r="B958" s="12"/>
      <c r="C958" s="12"/>
      <c r="D958" s="12"/>
      <c r="E958" s="12"/>
      <c r="F958" s="12"/>
      <c r="G958" s="12"/>
      <c r="H958" s="12"/>
      <c r="I958" s="12"/>
      <c r="J958" s="12"/>
      <c r="K958" s="12"/>
      <c r="L958" s="12"/>
      <c r="M958" s="12"/>
      <c r="N958" s="12"/>
      <c r="O958" s="12"/>
      <c r="P958" s="12"/>
      <c r="Q958" s="12"/>
      <c r="R958" s="12"/>
      <c r="S958" s="12"/>
      <c r="T958" s="12"/>
    </row>
    <row r="959">
      <c r="B959" s="12"/>
      <c r="C959" s="12"/>
      <c r="D959" s="12"/>
      <c r="E959" s="12"/>
      <c r="F959" s="12"/>
      <c r="G959" s="12"/>
      <c r="H959" s="12"/>
      <c r="I959" s="12"/>
      <c r="J959" s="12"/>
      <c r="K959" s="12"/>
      <c r="L959" s="12"/>
      <c r="M959" s="12"/>
      <c r="N959" s="12"/>
      <c r="O959" s="12"/>
      <c r="P959" s="12"/>
      <c r="Q959" s="12"/>
      <c r="R959" s="12"/>
      <c r="S959" s="12"/>
      <c r="T959" s="12"/>
    </row>
    <row r="960">
      <c r="B960" s="12"/>
      <c r="C960" s="12"/>
      <c r="D960" s="12"/>
      <c r="E960" s="12"/>
      <c r="F960" s="12"/>
      <c r="G960" s="12"/>
      <c r="H960" s="12"/>
      <c r="I960" s="12"/>
      <c r="J960" s="12"/>
      <c r="K960" s="12"/>
      <c r="L960" s="12"/>
      <c r="M960" s="12"/>
      <c r="N960" s="12"/>
      <c r="O960" s="12"/>
      <c r="P960" s="12"/>
      <c r="Q960" s="12"/>
      <c r="R960" s="12"/>
      <c r="S960" s="12"/>
      <c r="T960" s="12"/>
    </row>
    <row r="961">
      <c r="B961" s="12"/>
      <c r="C961" s="12"/>
      <c r="D961" s="12"/>
      <c r="E961" s="12"/>
      <c r="F961" s="12"/>
      <c r="G961" s="12"/>
      <c r="H961" s="12"/>
      <c r="I961" s="12"/>
      <c r="J961" s="12"/>
      <c r="K961" s="12"/>
      <c r="L961" s="12"/>
      <c r="M961" s="12"/>
      <c r="N961" s="12"/>
      <c r="O961" s="12"/>
      <c r="P961" s="12"/>
      <c r="Q961" s="12"/>
      <c r="R961" s="12"/>
      <c r="S961" s="12"/>
      <c r="T961" s="12"/>
    </row>
    <row r="962">
      <c r="B962" s="12"/>
      <c r="C962" s="12"/>
      <c r="D962" s="12"/>
      <c r="E962" s="12"/>
      <c r="F962" s="12"/>
      <c r="G962" s="12"/>
      <c r="H962" s="12"/>
      <c r="I962" s="12"/>
      <c r="J962" s="12"/>
      <c r="K962" s="12"/>
      <c r="L962" s="12"/>
      <c r="M962" s="12"/>
      <c r="N962" s="12"/>
      <c r="O962" s="12"/>
      <c r="P962" s="12"/>
      <c r="Q962" s="12"/>
      <c r="R962" s="12"/>
      <c r="S962" s="12"/>
      <c r="T962" s="12"/>
    </row>
    <row r="963">
      <c r="B963" s="12"/>
      <c r="C963" s="12"/>
      <c r="D963" s="12"/>
      <c r="E963" s="12"/>
      <c r="F963" s="12"/>
      <c r="G963" s="12"/>
      <c r="H963" s="12"/>
      <c r="I963" s="12"/>
      <c r="J963" s="12"/>
      <c r="K963" s="12"/>
      <c r="L963" s="12"/>
      <c r="M963" s="12"/>
      <c r="N963" s="12"/>
      <c r="O963" s="12"/>
      <c r="P963" s="12"/>
      <c r="Q963" s="12"/>
      <c r="R963" s="12"/>
      <c r="S963" s="12"/>
      <c r="T963" s="12"/>
    </row>
    <row r="964">
      <c r="B964" s="12"/>
      <c r="C964" s="12"/>
      <c r="D964" s="12"/>
      <c r="E964" s="12"/>
      <c r="F964" s="12"/>
      <c r="G964" s="12"/>
      <c r="H964" s="12"/>
      <c r="I964" s="12"/>
      <c r="J964" s="12"/>
      <c r="K964" s="12"/>
      <c r="L964" s="12"/>
      <c r="M964" s="12"/>
      <c r="N964" s="12"/>
      <c r="O964" s="12"/>
      <c r="P964" s="12"/>
      <c r="Q964" s="12"/>
      <c r="R964" s="12"/>
      <c r="S964" s="12"/>
      <c r="T964" s="12"/>
    </row>
    <row r="965">
      <c r="B965" s="12"/>
      <c r="C965" s="12"/>
      <c r="D965" s="12"/>
      <c r="E965" s="12"/>
      <c r="F965" s="12"/>
      <c r="G965" s="12"/>
      <c r="H965" s="12"/>
      <c r="I965" s="12"/>
      <c r="J965" s="12"/>
      <c r="K965" s="12"/>
      <c r="L965" s="12"/>
      <c r="M965" s="12"/>
      <c r="N965" s="12"/>
      <c r="O965" s="12"/>
      <c r="P965" s="12"/>
      <c r="Q965" s="12"/>
      <c r="R965" s="12"/>
      <c r="S965" s="12"/>
      <c r="T965" s="12"/>
    </row>
    <row r="966">
      <c r="B966" s="12"/>
      <c r="C966" s="12"/>
      <c r="D966" s="12"/>
      <c r="E966" s="12"/>
      <c r="F966" s="12"/>
      <c r="G966" s="12"/>
      <c r="H966" s="12"/>
      <c r="I966" s="12"/>
      <c r="J966" s="12"/>
      <c r="K966" s="12"/>
      <c r="L966" s="12"/>
      <c r="M966" s="12"/>
      <c r="N966" s="12"/>
      <c r="O966" s="12"/>
      <c r="P966" s="12"/>
      <c r="Q966" s="12"/>
      <c r="R966" s="12"/>
      <c r="S966" s="12"/>
      <c r="T966" s="12"/>
    </row>
    <row r="967">
      <c r="B967" s="12"/>
      <c r="C967" s="12"/>
      <c r="D967" s="12"/>
      <c r="E967" s="12"/>
      <c r="F967" s="12"/>
      <c r="G967" s="12"/>
      <c r="H967" s="12"/>
      <c r="I967" s="12"/>
      <c r="J967" s="12"/>
      <c r="K967" s="12"/>
      <c r="L967" s="12"/>
      <c r="M967" s="12"/>
      <c r="N967" s="12"/>
      <c r="O967" s="12"/>
      <c r="P967" s="12"/>
      <c r="Q967" s="12"/>
      <c r="R967" s="12"/>
      <c r="S967" s="12"/>
      <c r="T967" s="12"/>
    </row>
    <row r="968">
      <c r="B968" s="12"/>
      <c r="C968" s="12"/>
      <c r="D968" s="12"/>
      <c r="E968" s="12"/>
      <c r="F968" s="12"/>
      <c r="G968" s="12"/>
      <c r="H968" s="12"/>
      <c r="I968" s="12"/>
      <c r="J968" s="12"/>
      <c r="K968" s="12"/>
      <c r="L968" s="12"/>
      <c r="M968" s="12"/>
      <c r="N968" s="12"/>
      <c r="O968" s="12"/>
      <c r="P968" s="12"/>
      <c r="Q968" s="12"/>
      <c r="R968" s="12"/>
      <c r="S968" s="12"/>
      <c r="T968" s="12"/>
    </row>
    <row r="969">
      <c r="B969" s="12"/>
      <c r="C969" s="12"/>
      <c r="D969" s="12"/>
      <c r="E969" s="12"/>
      <c r="F969" s="12"/>
      <c r="G969" s="12"/>
      <c r="H969" s="12"/>
      <c r="I969" s="12"/>
      <c r="J969" s="12"/>
      <c r="K969" s="12"/>
      <c r="L969" s="12"/>
      <c r="M969" s="12"/>
      <c r="N969" s="12"/>
      <c r="O969" s="12"/>
      <c r="P969" s="12"/>
      <c r="Q969" s="12"/>
      <c r="R969" s="12"/>
      <c r="S969" s="12"/>
      <c r="T969" s="12"/>
    </row>
    <row r="970">
      <c r="B970" s="12"/>
      <c r="C970" s="12"/>
      <c r="D970" s="12"/>
      <c r="E970" s="12"/>
      <c r="F970" s="12"/>
      <c r="G970" s="12"/>
      <c r="H970" s="12"/>
      <c r="I970" s="12"/>
      <c r="J970" s="12"/>
      <c r="K970" s="12"/>
      <c r="L970" s="12"/>
      <c r="M970" s="12"/>
      <c r="N970" s="12"/>
      <c r="O970" s="12"/>
      <c r="P970" s="12"/>
      <c r="Q970" s="12"/>
      <c r="R970" s="12"/>
      <c r="S970" s="12"/>
      <c r="T970" s="12"/>
    </row>
    <row r="971">
      <c r="B971" s="12"/>
      <c r="C971" s="12"/>
      <c r="D971" s="12"/>
      <c r="E971" s="12"/>
      <c r="F971" s="12"/>
      <c r="G971" s="12"/>
      <c r="H971" s="12"/>
      <c r="I971" s="12"/>
      <c r="J971" s="12"/>
      <c r="K971" s="12"/>
      <c r="L971" s="12"/>
      <c r="M971" s="12"/>
      <c r="N971" s="12"/>
      <c r="O971" s="12"/>
      <c r="P971" s="12"/>
      <c r="Q971" s="12"/>
      <c r="R971" s="12"/>
      <c r="S971" s="12"/>
      <c r="T971" s="12"/>
    </row>
    <row r="972">
      <c r="B972" s="12"/>
      <c r="C972" s="12"/>
      <c r="D972" s="12"/>
      <c r="E972" s="12"/>
      <c r="F972" s="12"/>
      <c r="G972" s="12"/>
      <c r="H972" s="12"/>
      <c r="I972" s="12"/>
      <c r="J972" s="12"/>
      <c r="K972" s="12"/>
      <c r="L972" s="12"/>
      <c r="M972" s="12"/>
      <c r="N972" s="12"/>
      <c r="O972" s="12"/>
      <c r="P972" s="12"/>
      <c r="Q972" s="12"/>
      <c r="R972" s="12"/>
      <c r="S972" s="12"/>
      <c r="T972" s="12"/>
    </row>
    <row r="973">
      <c r="B973" s="12"/>
      <c r="C973" s="12"/>
      <c r="D973" s="12"/>
      <c r="E973" s="12"/>
      <c r="F973" s="12"/>
      <c r="G973" s="12"/>
      <c r="H973" s="12"/>
      <c r="I973" s="12"/>
      <c r="J973" s="12"/>
      <c r="K973" s="12"/>
      <c r="L973" s="12"/>
      <c r="M973" s="12"/>
      <c r="N973" s="12"/>
      <c r="O973" s="12"/>
      <c r="P973" s="12"/>
      <c r="Q973" s="12"/>
      <c r="R973" s="12"/>
      <c r="S973" s="12"/>
      <c r="T973" s="12"/>
    </row>
    <row r="974">
      <c r="B974" s="12"/>
      <c r="C974" s="12"/>
      <c r="D974" s="12"/>
      <c r="E974" s="12"/>
      <c r="F974" s="12"/>
      <c r="G974" s="12"/>
      <c r="H974" s="12"/>
      <c r="I974" s="12"/>
      <c r="J974" s="12"/>
      <c r="K974" s="12"/>
      <c r="L974" s="12"/>
      <c r="M974" s="12"/>
      <c r="N974" s="12"/>
      <c r="O974" s="12"/>
      <c r="P974" s="12"/>
      <c r="Q974" s="12"/>
      <c r="R974" s="12"/>
      <c r="S974" s="12"/>
      <c r="T974" s="12"/>
    </row>
    <row r="975">
      <c r="B975" s="12"/>
      <c r="C975" s="12"/>
      <c r="D975" s="12"/>
      <c r="E975" s="12"/>
      <c r="F975" s="12"/>
      <c r="G975" s="12"/>
      <c r="H975" s="12"/>
      <c r="I975" s="12"/>
      <c r="J975" s="12"/>
      <c r="K975" s="12"/>
      <c r="L975" s="12"/>
      <c r="M975" s="12"/>
      <c r="N975" s="12"/>
      <c r="O975" s="12"/>
      <c r="P975" s="12"/>
      <c r="Q975" s="12"/>
      <c r="R975" s="12"/>
      <c r="S975" s="12"/>
      <c r="T975" s="12"/>
    </row>
    <row r="976">
      <c r="B976" s="12"/>
      <c r="C976" s="12"/>
      <c r="D976" s="12"/>
      <c r="E976" s="12"/>
      <c r="F976" s="12"/>
      <c r="G976" s="12"/>
      <c r="H976" s="12"/>
      <c r="I976" s="12"/>
      <c r="J976" s="12"/>
      <c r="K976" s="12"/>
      <c r="L976" s="12"/>
      <c r="M976" s="12"/>
      <c r="N976" s="12"/>
      <c r="O976" s="12"/>
      <c r="P976" s="12"/>
      <c r="Q976" s="12"/>
      <c r="R976" s="12"/>
      <c r="S976" s="12"/>
      <c r="T976" s="12"/>
    </row>
    <row r="977">
      <c r="B977" s="12"/>
      <c r="C977" s="12"/>
      <c r="D977" s="12"/>
      <c r="E977" s="12"/>
      <c r="F977" s="12"/>
      <c r="G977" s="12"/>
      <c r="H977" s="12"/>
      <c r="I977" s="12"/>
      <c r="J977" s="12"/>
      <c r="K977" s="12"/>
      <c r="L977" s="12"/>
      <c r="M977" s="12"/>
      <c r="N977" s="12"/>
      <c r="O977" s="12"/>
      <c r="P977" s="12"/>
      <c r="Q977" s="12"/>
      <c r="R977" s="12"/>
      <c r="S977" s="12"/>
      <c r="T977" s="12"/>
    </row>
    <row r="978">
      <c r="B978" s="12"/>
      <c r="C978" s="12"/>
      <c r="D978" s="12"/>
      <c r="E978" s="12"/>
      <c r="F978" s="12"/>
      <c r="G978" s="12"/>
      <c r="H978" s="12"/>
      <c r="I978" s="12"/>
      <c r="J978" s="12"/>
      <c r="K978" s="12"/>
      <c r="L978" s="12"/>
      <c r="M978" s="12"/>
      <c r="N978" s="12"/>
      <c r="O978" s="12"/>
      <c r="P978" s="12"/>
      <c r="Q978" s="12"/>
      <c r="R978" s="12"/>
      <c r="S978" s="12"/>
      <c r="T978" s="12"/>
    </row>
    <row r="979">
      <c r="B979" s="12"/>
      <c r="C979" s="12"/>
      <c r="D979" s="12"/>
      <c r="E979" s="12"/>
      <c r="F979" s="12"/>
      <c r="G979" s="12"/>
      <c r="H979" s="12"/>
      <c r="I979" s="12"/>
      <c r="J979" s="12"/>
      <c r="K979" s="12"/>
      <c r="L979" s="12"/>
      <c r="M979" s="12"/>
      <c r="N979" s="12"/>
      <c r="O979" s="12"/>
      <c r="P979" s="12"/>
      <c r="Q979" s="12"/>
      <c r="R979" s="12"/>
      <c r="S979" s="12"/>
      <c r="T979" s="12"/>
    </row>
    <row r="980">
      <c r="B980" s="12"/>
      <c r="C980" s="12"/>
      <c r="D980" s="12"/>
      <c r="E980" s="12"/>
      <c r="F980" s="12"/>
      <c r="G980" s="12"/>
      <c r="H980" s="12"/>
      <c r="I980" s="12"/>
      <c r="J980" s="12"/>
      <c r="K980" s="12"/>
      <c r="L980" s="12"/>
      <c r="M980" s="12"/>
      <c r="N980" s="12"/>
      <c r="O980" s="12"/>
      <c r="P980" s="12"/>
      <c r="Q980" s="12"/>
      <c r="R980" s="12"/>
      <c r="S980" s="12"/>
      <c r="T980" s="12"/>
    </row>
    <row r="981">
      <c r="B981" s="12"/>
      <c r="C981" s="12"/>
      <c r="D981" s="12"/>
      <c r="E981" s="12"/>
      <c r="F981" s="12"/>
      <c r="G981" s="12"/>
      <c r="H981" s="12"/>
      <c r="I981" s="12"/>
      <c r="J981" s="12"/>
      <c r="K981" s="12"/>
      <c r="L981" s="12"/>
      <c r="M981" s="12"/>
      <c r="N981" s="12"/>
      <c r="O981" s="12"/>
      <c r="P981" s="12"/>
      <c r="Q981" s="12"/>
      <c r="R981" s="12"/>
      <c r="S981" s="12"/>
      <c r="T981" s="12"/>
    </row>
    <row r="982">
      <c r="B982" s="12"/>
      <c r="C982" s="12"/>
      <c r="D982" s="12"/>
      <c r="E982" s="12"/>
      <c r="F982" s="12"/>
      <c r="G982" s="12"/>
      <c r="H982" s="12"/>
      <c r="I982" s="12"/>
      <c r="J982" s="12"/>
      <c r="K982" s="12"/>
      <c r="L982" s="12"/>
      <c r="M982" s="12"/>
      <c r="N982" s="12"/>
      <c r="O982" s="12"/>
      <c r="P982" s="12"/>
      <c r="Q982" s="12"/>
      <c r="R982" s="12"/>
      <c r="S982" s="12"/>
      <c r="T982" s="12"/>
    </row>
    <row r="983">
      <c r="B983" s="12"/>
      <c r="C983" s="12"/>
      <c r="D983" s="12"/>
      <c r="E983" s="12"/>
      <c r="F983" s="12"/>
      <c r="G983" s="12"/>
      <c r="H983" s="12"/>
      <c r="I983" s="12"/>
      <c r="J983" s="12"/>
      <c r="K983" s="12"/>
      <c r="L983" s="12"/>
      <c r="M983" s="12"/>
      <c r="N983" s="12"/>
      <c r="O983" s="12"/>
      <c r="P983" s="12"/>
      <c r="Q983" s="12"/>
      <c r="R983" s="12"/>
      <c r="S983" s="12"/>
      <c r="T983" s="12"/>
    </row>
    <row r="984">
      <c r="B984" s="12"/>
      <c r="C984" s="12"/>
      <c r="D984" s="12"/>
      <c r="E984" s="12"/>
      <c r="F984" s="12"/>
      <c r="G984" s="12"/>
      <c r="H984" s="12"/>
      <c r="I984" s="12"/>
      <c r="J984" s="12"/>
      <c r="K984" s="12"/>
      <c r="L984" s="12"/>
      <c r="M984" s="12"/>
      <c r="N984" s="12"/>
      <c r="O984" s="12"/>
      <c r="P984" s="12"/>
      <c r="Q984" s="12"/>
      <c r="R984" s="12"/>
      <c r="S984" s="12"/>
      <c r="T984" s="12"/>
    </row>
    <row r="985">
      <c r="B985" s="12"/>
      <c r="C985" s="12"/>
      <c r="D985" s="12"/>
      <c r="E985" s="12"/>
      <c r="F985" s="12"/>
      <c r="G985" s="12"/>
      <c r="H985" s="12"/>
      <c r="I985" s="12"/>
      <c r="J985" s="12"/>
      <c r="K985" s="12"/>
      <c r="L985" s="12"/>
      <c r="M985" s="12"/>
      <c r="N985" s="12"/>
      <c r="O985" s="12"/>
      <c r="P985" s="12"/>
      <c r="Q985" s="12"/>
      <c r="R985" s="12"/>
      <c r="S985" s="12"/>
      <c r="T985" s="12"/>
    </row>
    <row r="986">
      <c r="B986" s="12"/>
      <c r="C986" s="12"/>
      <c r="D986" s="12"/>
      <c r="E986" s="12"/>
      <c r="F986" s="12"/>
      <c r="G986" s="12"/>
      <c r="H986" s="12"/>
      <c r="I986" s="12"/>
      <c r="J986" s="12"/>
      <c r="K986" s="12"/>
      <c r="L986" s="12"/>
      <c r="M986" s="12"/>
      <c r="N986" s="12"/>
      <c r="O986" s="12"/>
      <c r="P986" s="12"/>
      <c r="Q986" s="12"/>
      <c r="R986" s="12"/>
      <c r="S986" s="12"/>
      <c r="T986" s="12"/>
    </row>
    <row r="987">
      <c r="B987" s="12"/>
      <c r="C987" s="12"/>
      <c r="D987" s="12"/>
      <c r="E987" s="12"/>
      <c r="F987" s="12"/>
      <c r="G987" s="12"/>
      <c r="H987" s="12"/>
      <c r="I987" s="12"/>
      <c r="J987" s="12"/>
      <c r="K987" s="12"/>
      <c r="L987" s="12"/>
      <c r="M987" s="12"/>
      <c r="N987" s="12"/>
      <c r="O987" s="12"/>
      <c r="P987" s="12"/>
      <c r="Q987" s="12"/>
      <c r="R987" s="12"/>
      <c r="S987" s="12"/>
      <c r="T987" s="12"/>
    </row>
    <row r="988">
      <c r="B988" s="12"/>
      <c r="C988" s="12"/>
      <c r="D988" s="12"/>
      <c r="E988" s="12"/>
      <c r="F988" s="12"/>
      <c r="G988" s="12"/>
      <c r="H988" s="12"/>
      <c r="I988" s="12"/>
      <c r="J988" s="12"/>
      <c r="K988" s="12"/>
      <c r="L988" s="12"/>
      <c r="M988" s="12"/>
      <c r="N988" s="12"/>
      <c r="O988" s="12"/>
      <c r="P988" s="12"/>
      <c r="Q988" s="12"/>
      <c r="R988" s="12"/>
      <c r="S988" s="12"/>
      <c r="T988" s="12"/>
    </row>
    <row r="989">
      <c r="B989" s="12"/>
      <c r="C989" s="12"/>
      <c r="D989" s="12"/>
      <c r="E989" s="12"/>
      <c r="F989" s="12"/>
      <c r="G989" s="12"/>
      <c r="H989" s="12"/>
      <c r="I989" s="12"/>
      <c r="J989" s="12"/>
      <c r="K989" s="12"/>
      <c r="L989" s="12"/>
      <c r="M989" s="12"/>
      <c r="N989" s="12"/>
      <c r="O989" s="12"/>
      <c r="P989" s="12"/>
      <c r="Q989" s="12"/>
      <c r="R989" s="12"/>
      <c r="S989" s="12"/>
      <c r="T989" s="12"/>
    </row>
    <row r="990">
      <c r="B990" s="12"/>
      <c r="C990" s="12"/>
      <c r="D990" s="12"/>
      <c r="E990" s="12"/>
      <c r="F990" s="12"/>
      <c r="G990" s="12"/>
      <c r="H990" s="12"/>
      <c r="I990" s="12"/>
      <c r="J990" s="12"/>
      <c r="K990" s="12"/>
      <c r="L990" s="12"/>
      <c r="M990" s="12"/>
      <c r="N990" s="12"/>
      <c r="O990" s="12"/>
      <c r="P990" s="12"/>
      <c r="Q990" s="12"/>
      <c r="R990" s="12"/>
      <c r="S990" s="12"/>
      <c r="T990" s="12"/>
    </row>
    <row r="991">
      <c r="B991" s="12"/>
      <c r="C991" s="12"/>
      <c r="D991" s="12"/>
      <c r="E991" s="12"/>
      <c r="F991" s="12"/>
      <c r="G991" s="12"/>
      <c r="H991" s="12"/>
      <c r="I991" s="12"/>
      <c r="J991" s="12"/>
      <c r="K991" s="12"/>
      <c r="L991" s="12"/>
      <c r="M991" s="12"/>
      <c r="N991" s="12"/>
      <c r="O991" s="12"/>
      <c r="P991" s="12"/>
      <c r="Q991" s="12"/>
      <c r="R991" s="12"/>
      <c r="S991" s="12"/>
      <c r="T991" s="12"/>
    </row>
    <row r="992">
      <c r="B992" s="12"/>
      <c r="C992" s="12"/>
      <c r="D992" s="12"/>
      <c r="E992" s="12"/>
      <c r="F992" s="12"/>
      <c r="G992" s="12"/>
      <c r="H992" s="12"/>
      <c r="I992" s="12"/>
      <c r="J992" s="12"/>
      <c r="K992" s="12"/>
      <c r="L992" s="12"/>
      <c r="M992" s="12"/>
      <c r="N992" s="12"/>
      <c r="O992" s="12"/>
      <c r="P992" s="12"/>
      <c r="Q992" s="12"/>
      <c r="R992" s="12"/>
      <c r="S992" s="12"/>
      <c r="T992" s="12"/>
    </row>
    <row r="993">
      <c r="B993" s="12"/>
      <c r="C993" s="12"/>
      <c r="D993" s="12"/>
      <c r="E993" s="12"/>
      <c r="F993" s="12"/>
      <c r="G993" s="12"/>
      <c r="H993" s="12"/>
      <c r="I993" s="12"/>
      <c r="J993" s="12"/>
      <c r="K993" s="12"/>
      <c r="L993" s="12"/>
      <c r="M993" s="12"/>
      <c r="N993" s="12"/>
      <c r="O993" s="12"/>
      <c r="P993" s="12"/>
      <c r="Q993" s="12"/>
      <c r="R993" s="12"/>
      <c r="S993" s="12"/>
      <c r="T993" s="12"/>
    </row>
    <row r="994">
      <c r="B994" s="12"/>
      <c r="C994" s="12"/>
      <c r="D994" s="12"/>
      <c r="E994" s="12"/>
      <c r="F994" s="12"/>
      <c r="G994" s="12"/>
      <c r="H994" s="12"/>
      <c r="I994" s="12"/>
      <c r="J994" s="12"/>
      <c r="K994" s="12"/>
      <c r="L994" s="12"/>
      <c r="M994" s="12"/>
      <c r="N994" s="12"/>
      <c r="O994" s="12"/>
      <c r="P994" s="12"/>
      <c r="Q994" s="12"/>
      <c r="R994" s="12"/>
      <c r="S994" s="12"/>
      <c r="T994" s="12"/>
    </row>
    <row r="995">
      <c r="B995" s="12"/>
      <c r="C995" s="12"/>
      <c r="D995" s="12"/>
      <c r="E995" s="12"/>
      <c r="F995" s="12"/>
      <c r="G995" s="12"/>
      <c r="H995" s="12"/>
      <c r="I995" s="12"/>
      <c r="J995" s="12"/>
      <c r="K995" s="12"/>
      <c r="L995" s="12"/>
      <c r="M995" s="12"/>
      <c r="N995" s="12"/>
      <c r="O995" s="12"/>
      <c r="P995" s="12"/>
      <c r="Q995" s="12"/>
      <c r="R995" s="12"/>
      <c r="S995" s="12"/>
      <c r="T995" s="12"/>
    </row>
    <row r="996">
      <c r="B996" s="12"/>
      <c r="C996" s="12"/>
      <c r="D996" s="12"/>
      <c r="E996" s="12"/>
      <c r="F996" s="12"/>
      <c r="G996" s="12"/>
      <c r="H996" s="12"/>
      <c r="I996" s="12"/>
      <c r="J996" s="12"/>
      <c r="K996" s="12"/>
      <c r="L996" s="12"/>
      <c r="M996" s="12"/>
      <c r="N996" s="12"/>
      <c r="O996" s="12"/>
      <c r="P996" s="12"/>
      <c r="Q996" s="12"/>
      <c r="R996" s="12"/>
      <c r="S996" s="12"/>
      <c r="T996" s="12"/>
    </row>
    <row r="997">
      <c r="B997" s="12"/>
      <c r="C997" s="12"/>
      <c r="D997" s="12"/>
      <c r="E997" s="12"/>
      <c r="F997" s="12"/>
      <c r="G997" s="12"/>
      <c r="H997" s="12"/>
      <c r="I997" s="12"/>
      <c r="J997" s="12"/>
      <c r="K997" s="12"/>
      <c r="L997" s="12"/>
      <c r="M997" s="12"/>
      <c r="N997" s="12"/>
      <c r="O997" s="12"/>
      <c r="P997" s="12"/>
      <c r="Q997" s="12"/>
      <c r="R997" s="12"/>
      <c r="S997" s="12"/>
      <c r="T997" s="12"/>
    </row>
    <row r="998">
      <c r="B998" s="12"/>
      <c r="C998" s="12"/>
      <c r="D998" s="12"/>
      <c r="E998" s="12"/>
      <c r="F998" s="12"/>
      <c r="G998" s="12"/>
      <c r="H998" s="12"/>
      <c r="I998" s="12"/>
      <c r="J998" s="12"/>
      <c r="K998" s="12"/>
      <c r="L998" s="12"/>
      <c r="M998" s="12"/>
      <c r="N998" s="12"/>
      <c r="O998" s="12"/>
      <c r="P998" s="12"/>
      <c r="Q998" s="12"/>
      <c r="R998" s="12"/>
      <c r="S998" s="12"/>
      <c r="T998" s="12"/>
    </row>
  </sheetData>
  <hyperlinks>
    <hyperlink r:id="rId1" ref="B8"/>
    <hyperlink r:id="rId2" ref="B16"/>
    <hyperlink r:id="rId3" ref="B25"/>
    <hyperlink r:id="rId4" ref="B44"/>
    <hyperlink r:id="rId5" ref="B57"/>
    <hyperlink r:id="rId6" ref="B61"/>
    <hyperlink r:id="rId7" ref="B68"/>
    <hyperlink r:id="rId8" ref="B90"/>
    <hyperlink r:id="rId9" ref="B93"/>
    <hyperlink r:id="rId10" ref="B99"/>
    <hyperlink r:id="rId11" ref="B130"/>
    <hyperlink r:id="rId12" ref="B150"/>
    <hyperlink r:id="rId13" ref="B168"/>
    <hyperlink r:id="rId14" ref="B179"/>
    <hyperlink r:id="rId15" ref="B201"/>
    <hyperlink r:id="rId16" ref="B267"/>
    <hyperlink r:id="rId17" ref="B281"/>
    <hyperlink r:id="rId18" ref="E281"/>
    <hyperlink r:id="rId19" ref="B283"/>
    <hyperlink r:id="rId20" ref="B294"/>
    <hyperlink r:id="rId21" ref="B323"/>
    <hyperlink r:id="rId22" ref="B324"/>
    <hyperlink r:id="rId23" ref="B325"/>
    <hyperlink r:id="rId24" ref="B342"/>
    <hyperlink r:id="rId25" ref="B415"/>
  </hyperlinks>
  <drawing r:id="rId2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5.43"/>
    <col customWidth="1" min="2" max="2" width="66.57"/>
    <col customWidth="1" min="3" max="10" width="30.29"/>
  </cols>
  <sheetData>
    <row r="1">
      <c r="A1" s="16" t="str">
        <f>IFERROR(__xludf.DUMMYFUNCTION("QUERY('All Responses'!2:998,""select A,B"")"),"Response ID")</f>
        <v>Response ID</v>
      </c>
      <c r="B1" s="17" t="str">
        <f>IFERROR(__xludf.DUMMYFUNCTION("""COMPUTED_VALUE"""),"google_recall_sso_yes_app")</f>
        <v>google_recall_sso_yes_app</v>
      </c>
      <c r="C1" s="17" t="s">
        <v>1399</v>
      </c>
      <c r="D1" s="17" t="s">
        <v>1400</v>
      </c>
      <c r="E1" s="17" t="s">
        <v>1401</v>
      </c>
      <c r="F1" s="17" t="s">
        <v>1402</v>
      </c>
      <c r="G1" s="17" t="s">
        <v>1403</v>
      </c>
      <c r="H1" s="17" t="s">
        <v>1404</v>
      </c>
      <c r="I1" s="17" t="s">
        <v>1405</v>
      </c>
      <c r="J1" s="17" t="s">
        <v>1406</v>
      </c>
    </row>
    <row r="2">
      <c r="A2" s="18">
        <f>IFERROR(__xludf.DUMMYFUNCTION("""COMPUTED_VALUE"""),1.0)</f>
        <v>1</v>
      </c>
      <c r="B2" s="19"/>
      <c r="D2" s="3"/>
      <c r="E2" s="3"/>
      <c r="F2" s="12"/>
      <c r="G2" s="12"/>
      <c r="H2" s="12"/>
      <c r="I2" s="12"/>
      <c r="J2" s="12"/>
    </row>
    <row r="3">
      <c r="A3" s="18">
        <f>IFERROR(__xludf.DUMMYFUNCTION("""COMPUTED_VALUE"""),2.0)</f>
        <v>2</v>
      </c>
      <c r="B3" s="19" t="str">
        <f>IFERROR(__xludf.DUMMYFUNCTION("""COMPUTED_VALUE"""),"shop")</f>
        <v>shop</v>
      </c>
      <c r="C3" s="20" t="s">
        <v>1407</v>
      </c>
      <c r="D3" s="20" t="s">
        <v>1408</v>
      </c>
      <c r="E3" s="3" t="s">
        <v>1409</v>
      </c>
      <c r="F3" s="3"/>
      <c r="G3" s="3"/>
      <c r="H3" s="12"/>
      <c r="I3" s="12"/>
      <c r="J3" s="12"/>
    </row>
    <row r="4">
      <c r="A4" s="18">
        <f>IFERROR(__xludf.DUMMYFUNCTION("""COMPUTED_VALUE"""),3.0)</f>
        <v>3</v>
      </c>
      <c r="B4" s="19"/>
      <c r="E4" s="3"/>
      <c r="F4" s="3"/>
      <c r="G4" s="3"/>
      <c r="H4" s="12"/>
      <c r="I4" s="12"/>
      <c r="J4" s="12"/>
    </row>
    <row r="5">
      <c r="A5" s="18">
        <f>IFERROR(__xludf.DUMMYFUNCTION("""COMPUTED_VALUE"""),4.0)</f>
        <v>4</v>
      </c>
      <c r="B5" s="19" t="str">
        <f>IFERROR(__xludf.DUMMYFUNCTION("""COMPUTED_VALUE"""),"Misc websites that I didn't want to make an account for")</f>
        <v>Misc websites that I didn't want to make an account for</v>
      </c>
      <c r="C5" s="20" t="s">
        <v>1407</v>
      </c>
      <c r="D5" s="20" t="s">
        <v>1410</v>
      </c>
      <c r="E5" s="3" t="s">
        <v>1411</v>
      </c>
      <c r="F5" s="3"/>
      <c r="G5" s="3"/>
      <c r="H5" s="12"/>
      <c r="I5" s="12"/>
      <c r="J5" s="12"/>
    </row>
    <row r="6">
      <c r="A6" s="18">
        <f>IFERROR(__xludf.DUMMYFUNCTION("""COMPUTED_VALUE"""),5.0)</f>
        <v>5</v>
      </c>
      <c r="B6" s="19"/>
      <c r="E6" s="3"/>
      <c r="F6" s="3"/>
      <c r="G6" s="3"/>
      <c r="H6" s="12"/>
      <c r="I6" s="12"/>
      <c r="J6" s="12"/>
    </row>
    <row r="7">
      <c r="A7" s="18">
        <f>IFERROR(__xludf.DUMMYFUNCTION("""COMPUTED_VALUE"""),10.0)</f>
        <v>10</v>
      </c>
      <c r="B7" s="21" t="str">
        <f>IFERROR(__xludf.DUMMYFUNCTION("""COMPUTED_VALUE"""),"Shein.com")</f>
        <v>Shein.com</v>
      </c>
      <c r="C7" s="20" t="s">
        <v>1407</v>
      </c>
      <c r="D7" s="20" t="s">
        <v>1408</v>
      </c>
      <c r="E7" s="22" t="s">
        <v>627</v>
      </c>
      <c r="F7" s="3"/>
      <c r="G7" s="3"/>
      <c r="H7" s="3"/>
      <c r="I7" s="12"/>
      <c r="J7" s="12"/>
    </row>
    <row r="8">
      <c r="A8" s="18">
        <f>IFERROR(__xludf.DUMMYFUNCTION("""COMPUTED_VALUE"""),12.0)</f>
        <v>12</v>
      </c>
      <c r="B8" s="19"/>
      <c r="E8" s="3"/>
      <c r="F8" s="3"/>
      <c r="G8" s="12"/>
      <c r="H8" s="12"/>
      <c r="I8" s="12"/>
      <c r="J8" s="12"/>
    </row>
    <row r="9">
      <c r="A9" s="18">
        <f>IFERROR(__xludf.DUMMYFUNCTION("""COMPUTED_VALUE"""),13.0)</f>
        <v>13</v>
      </c>
      <c r="B9" s="19" t="str">
        <f>IFERROR(__xludf.DUMMYFUNCTION("""COMPUTED_VALUE"""),"Reddit")</f>
        <v>Reddit</v>
      </c>
      <c r="C9" s="20" t="s">
        <v>1407</v>
      </c>
      <c r="D9" s="20" t="s">
        <v>1412</v>
      </c>
      <c r="E9" s="3" t="s">
        <v>1413</v>
      </c>
      <c r="F9" s="3"/>
      <c r="G9" s="3"/>
      <c r="H9" s="12"/>
      <c r="I9" s="12"/>
      <c r="J9" s="12"/>
    </row>
    <row r="10">
      <c r="A10" s="18">
        <f>IFERROR(__xludf.DUMMYFUNCTION("""COMPUTED_VALUE"""),14.0)</f>
        <v>14</v>
      </c>
      <c r="B10" s="19" t="str">
        <f>IFERROR(__xludf.DUMMYFUNCTION("""COMPUTED_VALUE"""),"today, Nest security cams")</f>
        <v>today, Nest security cams</v>
      </c>
      <c r="C10" s="20" t="s">
        <v>1407</v>
      </c>
      <c r="D10" s="20" t="s">
        <v>1414</v>
      </c>
      <c r="E10" s="3" t="s">
        <v>1415</v>
      </c>
      <c r="F10" s="3"/>
      <c r="G10" s="3"/>
      <c r="H10" s="12"/>
      <c r="I10" s="12"/>
      <c r="J10" s="12"/>
    </row>
    <row r="11">
      <c r="A11" s="18">
        <f>IFERROR(__xludf.DUMMYFUNCTION("""COMPUTED_VALUE"""),16.0)</f>
        <v>16</v>
      </c>
      <c r="B11" s="19" t="str">
        <f>IFERROR(__xludf.DUMMYFUNCTION("""COMPUTED_VALUE"""),"Twitter")</f>
        <v>Twitter</v>
      </c>
      <c r="C11" s="20" t="s">
        <v>1407</v>
      </c>
      <c r="D11" s="20" t="s">
        <v>1412</v>
      </c>
      <c r="E11" s="3" t="s">
        <v>1113</v>
      </c>
      <c r="F11" s="23"/>
      <c r="G11" s="23"/>
      <c r="H11" s="23"/>
      <c r="I11" s="23"/>
      <c r="J11" s="3"/>
    </row>
    <row r="12">
      <c r="A12" s="18">
        <f>IFERROR(__xludf.DUMMYFUNCTION("""COMPUTED_VALUE"""),19.0)</f>
        <v>19</v>
      </c>
      <c r="B12" s="19" t="str">
        <f>IFERROR(__xludf.DUMMYFUNCTION("""COMPUTED_VALUE"""),"PayPal")</f>
        <v>PayPal</v>
      </c>
      <c r="C12" s="20" t="s">
        <v>1407</v>
      </c>
      <c r="D12" s="20" t="s">
        <v>1416</v>
      </c>
      <c r="E12" s="3" t="s">
        <v>1242</v>
      </c>
      <c r="F12" s="23"/>
      <c r="G12" s="23"/>
      <c r="H12" s="24"/>
      <c r="I12" s="24"/>
      <c r="J12" s="12"/>
    </row>
    <row r="13">
      <c r="A13" s="18">
        <f>IFERROR(__xludf.DUMMYFUNCTION("""COMPUTED_VALUE"""),21.0)</f>
        <v>21</v>
      </c>
      <c r="B13" s="19" t="str">
        <f>IFERROR(__xludf.DUMMYFUNCTION("""COMPUTED_VALUE"""),"Web ex")</f>
        <v>Web ex</v>
      </c>
      <c r="C13" s="20" t="s">
        <v>1407</v>
      </c>
      <c r="D13" s="20" t="s">
        <v>1417</v>
      </c>
      <c r="E13" s="3" t="s">
        <v>1418</v>
      </c>
      <c r="F13" s="3"/>
      <c r="G13" s="3"/>
      <c r="H13" s="12"/>
      <c r="I13" s="12"/>
      <c r="J13" s="12"/>
    </row>
    <row r="14">
      <c r="A14" s="18">
        <f>IFERROR(__xludf.DUMMYFUNCTION("""COMPUTED_VALUE"""),22.0)</f>
        <v>22</v>
      </c>
      <c r="B14" s="19" t="str">
        <f>IFERROR(__xludf.DUMMYFUNCTION("""COMPUTED_VALUE"""),"amazon")</f>
        <v>amazon</v>
      </c>
      <c r="C14" s="20" t="s">
        <v>1407</v>
      </c>
      <c r="D14" s="20" t="s">
        <v>1408</v>
      </c>
      <c r="E14" s="3" t="s">
        <v>64</v>
      </c>
      <c r="F14" s="3"/>
      <c r="G14" s="3"/>
      <c r="H14" s="12"/>
      <c r="I14" s="12"/>
      <c r="J14" s="12"/>
    </row>
    <row r="15">
      <c r="A15" s="18">
        <f>IFERROR(__xludf.DUMMYFUNCTION("""COMPUTED_VALUE"""),24.0)</f>
        <v>24</v>
      </c>
      <c r="B15" s="21" t="str">
        <f>IFERROR(__xludf.DUMMYFUNCTION("""COMPUTED_VALUE"""),"realtor.com")</f>
        <v>realtor.com</v>
      </c>
      <c r="C15" s="20" t="s">
        <v>1407</v>
      </c>
      <c r="D15" s="20" t="s">
        <v>1419</v>
      </c>
      <c r="E15" s="25" t="s">
        <v>1420</v>
      </c>
      <c r="F15" s="3"/>
      <c r="G15" s="3"/>
      <c r="H15" s="12"/>
      <c r="I15" s="12"/>
      <c r="J15" s="12"/>
    </row>
    <row r="16">
      <c r="A16" s="18">
        <f>IFERROR(__xludf.DUMMYFUNCTION("""COMPUTED_VALUE"""),25.0)</f>
        <v>25</v>
      </c>
      <c r="B16" s="19" t="str">
        <f>IFERROR(__xludf.DUMMYFUNCTION("""COMPUTED_VALUE"""),"Medium")</f>
        <v>Medium</v>
      </c>
      <c r="C16" s="20" t="s">
        <v>1407</v>
      </c>
      <c r="D16" s="20" t="s">
        <v>1421</v>
      </c>
      <c r="E16" s="3" t="s">
        <v>1422</v>
      </c>
      <c r="F16" s="3"/>
      <c r="G16" s="3"/>
      <c r="H16" s="12"/>
      <c r="I16" s="12"/>
      <c r="J16" s="12"/>
    </row>
    <row r="17">
      <c r="A17" s="18">
        <f>IFERROR(__xludf.DUMMYFUNCTION("""COMPUTED_VALUE"""),26.0)</f>
        <v>26</v>
      </c>
      <c r="B17" s="19" t="str">
        <f>IFERROR(__xludf.DUMMYFUNCTION("""COMPUTED_VALUE"""),"Seesaw")</f>
        <v>Seesaw</v>
      </c>
      <c r="C17" s="20" t="s">
        <v>1407</v>
      </c>
      <c r="D17" s="20" t="s">
        <v>1423</v>
      </c>
      <c r="E17" s="3" t="s">
        <v>1424</v>
      </c>
      <c r="F17" s="3"/>
      <c r="G17" s="26"/>
      <c r="H17" s="12"/>
      <c r="I17" s="12"/>
      <c r="J17" s="12"/>
    </row>
    <row r="18">
      <c r="A18" s="18">
        <f>IFERROR(__xludf.DUMMYFUNCTION("""COMPUTED_VALUE"""),28.0)</f>
        <v>28</v>
      </c>
      <c r="B18" s="19"/>
      <c r="E18" s="3"/>
      <c r="F18" s="3"/>
      <c r="G18" s="3"/>
      <c r="H18" s="12"/>
      <c r="I18" s="12"/>
      <c r="J18" s="12"/>
    </row>
    <row r="19">
      <c r="A19" s="18">
        <f>IFERROR(__xludf.DUMMYFUNCTION("""COMPUTED_VALUE"""),29.0)</f>
        <v>29</v>
      </c>
      <c r="B19" s="19" t="str">
        <f>IFERROR(__xludf.DUMMYFUNCTION("""COMPUTED_VALUE"""),"yellow pages app")</f>
        <v>yellow pages app</v>
      </c>
      <c r="C19" s="20" t="s">
        <v>1407</v>
      </c>
      <c r="D19" s="20" t="s">
        <v>1425</v>
      </c>
      <c r="E19" s="3" t="s">
        <v>1426</v>
      </c>
      <c r="F19" s="3"/>
      <c r="G19" s="3"/>
      <c r="H19" s="12"/>
      <c r="I19" s="12"/>
      <c r="J19" s="12"/>
    </row>
    <row r="20">
      <c r="A20" s="18">
        <f>IFERROR(__xludf.DUMMYFUNCTION("""COMPUTED_VALUE"""),30.0)</f>
        <v>30</v>
      </c>
      <c r="B20" s="19" t="str">
        <f>IFERROR(__xludf.DUMMYFUNCTION("""COMPUTED_VALUE"""),"Indeed job search let me log in with my Google account.")</f>
        <v>Indeed job search let me log in with my Google account.</v>
      </c>
      <c r="C20" s="20" t="s">
        <v>1407</v>
      </c>
      <c r="D20" s="20" t="s">
        <v>1417</v>
      </c>
      <c r="E20" s="3" t="s">
        <v>1427</v>
      </c>
      <c r="F20" s="3"/>
      <c r="G20" s="3"/>
      <c r="H20" s="12"/>
      <c r="I20" s="12"/>
      <c r="J20" s="12"/>
    </row>
    <row r="21">
      <c r="A21" s="18">
        <f>IFERROR(__xludf.DUMMYFUNCTION("""COMPUTED_VALUE"""),31.0)</f>
        <v>31</v>
      </c>
      <c r="B21" s="19" t="str">
        <f>IFERROR(__xludf.DUMMYFUNCTION("""COMPUTED_VALUE"""),"Schoology")</f>
        <v>Schoology</v>
      </c>
      <c r="C21" s="20" t="s">
        <v>1407</v>
      </c>
      <c r="D21" s="20" t="s">
        <v>1423</v>
      </c>
      <c r="E21" s="3" t="s">
        <v>1428</v>
      </c>
      <c r="F21" s="3"/>
      <c r="G21" s="12"/>
      <c r="H21" s="12"/>
      <c r="I21" s="12"/>
      <c r="J21" s="12"/>
    </row>
    <row r="22">
      <c r="A22" s="18">
        <f>IFERROR(__xludf.DUMMYFUNCTION("""COMPUTED_VALUE"""),32.0)</f>
        <v>32</v>
      </c>
      <c r="B22" s="19" t="str">
        <f>IFERROR(__xludf.DUMMYFUNCTION("""COMPUTED_VALUE"""),"I think it was DoorDash or another food account.")</f>
        <v>I think it was DoorDash or another food account.</v>
      </c>
      <c r="C22" s="20" t="s">
        <v>1407</v>
      </c>
      <c r="D22" s="20" t="s">
        <v>1429</v>
      </c>
      <c r="E22" s="3" t="s">
        <v>1430</v>
      </c>
      <c r="F22" s="3"/>
      <c r="G22" s="3"/>
      <c r="H22" s="12"/>
      <c r="I22" s="12"/>
      <c r="J22" s="12"/>
    </row>
    <row r="23">
      <c r="A23" s="18">
        <f>IFERROR(__xludf.DUMMYFUNCTION("""COMPUTED_VALUE"""),35.0)</f>
        <v>35</v>
      </c>
      <c r="B23" s="19" t="str">
        <f>IFERROR(__xludf.DUMMYFUNCTION("""COMPUTED_VALUE"""),"I don't remember")</f>
        <v>I don't remember</v>
      </c>
      <c r="C23" s="20" t="s">
        <v>1407</v>
      </c>
      <c r="D23" s="20" t="s">
        <v>1431</v>
      </c>
      <c r="E23" s="3" t="s">
        <v>1432</v>
      </c>
      <c r="F23" s="3"/>
      <c r="G23" s="3"/>
      <c r="H23" s="12"/>
      <c r="I23" s="12"/>
      <c r="J23" s="12"/>
    </row>
    <row r="24">
      <c r="A24" s="18">
        <f>IFERROR(__xludf.DUMMYFUNCTION("""COMPUTED_VALUE"""),36.0)</f>
        <v>36</v>
      </c>
      <c r="B24" s="19" t="str">
        <f>IFERROR(__xludf.DUMMYFUNCTION("""COMPUTED_VALUE"""),"Yesterday, to a website called pomofocus.io, which offers a pomodoro-style timer")</f>
        <v>Yesterday, to a website called pomofocus.io, which offers a pomodoro-style timer</v>
      </c>
      <c r="C24" s="20" t="s">
        <v>1407</v>
      </c>
      <c r="D24" s="20" t="s">
        <v>1433</v>
      </c>
      <c r="E24" s="27" t="s">
        <v>1434</v>
      </c>
      <c r="F24" s="3"/>
      <c r="G24" s="12"/>
      <c r="H24" s="12"/>
      <c r="I24" s="12"/>
      <c r="J24" s="12"/>
    </row>
    <row r="25">
      <c r="A25" s="18">
        <f>IFERROR(__xludf.DUMMYFUNCTION("""COMPUTED_VALUE"""),39.0)</f>
        <v>39</v>
      </c>
      <c r="B25" s="19" t="str">
        <f>IFERROR(__xludf.DUMMYFUNCTION("""COMPUTED_VALUE"""),"Khan Academy")</f>
        <v>Khan Academy</v>
      </c>
      <c r="C25" s="20" t="s">
        <v>1407</v>
      </c>
      <c r="D25" s="20" t="s">
        <v>1423</v>
      </c>
      <c r="E25" s="3" t="s">
        <v>1435</v>
      </c>
      <c r="F25" s="3"/>
      <c r="G25" s="3"/>
      <c r="H25" s="12"/>
      <c r="I25" s="12"/>
      <c r="J25" s="12"/>
    </row>
    <row r="26">
      <c r="A26" s="18">
        <f>IFERROR(__xludf.DUMMYFUNCTION("""COMPUTED_VALUE"""),40.0)</f>
        <v>40</v>
      </c>
      <c r="B26" s="19" t="str">
        <f>IFERROR(__xludf.DUMMYFUNCTION("""COMPUTED_VALUE"""),"Probably Clash of Clans - app")</f>
        <v>Probably Clash of Clans - app</v>
      </c>
      <c r="C26" s="20" t="s">
        <v>1407</v>
      </c>
      <c r="D26" s="20" t="s">
        <v>1436</v>
      </c>
      <c r="E26" s="3" t="s">
        <v>1437</v>
      </c>
      <c r="F26" s="3"/>
      <c r="G26" s="3"/>
      <c r="H26" s="12"/>
      <c r="I26" s="12"/>
      <c r="J26" s="12"/>
    </row>
    <row r="27">
      <c r="A27" s="18">
        <f>IFERROR(__xludf.DUMMYFUNCTION("""COMPUTED_VALUE"""),42.0)</f>
        <v>42</v>
      </c>
      <c r="B27" s="19" t="str">
        <f>IFERROR(__xludf.DUMMYFUNCTION("""COMPUTED_VALUE"""),"Stitch Fix")</f>
        <v>Stitch Fix</v>
      </c>
      <c r="C27" s="20" t="s">
        <v>1407</v>
      </c>
      <c r="D27" s="20" t="s">
        <v>1408</v>
      </c>
      <c r="E27" s="3" t="s">
        <v>1438</v>
      </c>
      <c r="F27" s="3"/>
      <c r="G27" s="12"/>
      <c r="H27" s="12"/>
      <c r="I27" s="12"/>
      <c r="J27" s="12"/>
    </row>
    <row r="28">
      <c r="A28" s="18">
        <f>IFERROR(__xludf.DUMMYFUNCTION("""COMPUTED_VALUE"""),46.0)</f>
        <v>46</v>
      </c>
      <c r="B28" s="19" t="str">
        <f>IFERROR(__xludf.DUMMYFUNCTION("""COMPUTED_VALUE"""),"LinkedIn.")</f>
        <v>LinkedIn.</v>
      </c>
      <c r="C28" s="20" t="s">
        <v>1407</v>
      </c>
      <c r="D28" s="20" t="s">
        <v>1417</v>
      </c>
      <c r="E28" s="3" t="s">
        <v>1439</v>
      </c>
      <c r="F28" s="3"/>
      <c r="G28" s="26"/>
      <c r="H28" s="12"/>
      <c r="I28" s="12"/>
      <c r="J28" s="12"/>
    </row>
    <row r="29">
      <c r="A29">
        <f>IFERROR(__xludf.DUMMYFUNCTION("""COMPUTED_VALUE"""),47.0)</f>
        <v>47</v>
      </c>
      <c r="B29" s="12" t="str">
        <f>IFERROR(__xludf.DUMMYFUNCTION("""COMPUTED_VALUE"""),"Goodreads")</f>
        <v>Goodreads</v>
      </c>
      <c r="C29" s="20" t="s">
        <v>1407</v>
      </c>
      <c r="D29" s="20" t="s">
        <v>1440</v>
      </c>
      <c r="E29" s="3" t="s">
        <v>1441</v>
      </c>
      <c r="F29" s="3"/>
      <c r="G29" s="28"/>
      <c r="H29" s="12"/>
      <c r="I29" s="12"/>
      <c r="J29" s="12"/>
    </row>
    <row r="30">
      <c r="A30">
        <f>IFERROR(__xludf.DUMMYFUNCTION("""COMPUTED_VALUE"""),50.0)</f>
        <v>50</v>
      </c>
      <c r="B30" s="12" t="str">
        <f>IFERROR(__xludf.DUMMYFUNCTION("""COMPUTED_VALUE"""),"fitbit")</f>
        <v>fitbit</v>
      </c>
      <c r="C30" s="20" t="s">
        <v>1407</v>
      </c>
      <c r="D30" s="20" t="s">
        <v>1442</v>
      </c>
      <c r="E30" s="3" t="s">
        <v>120</v>
      </c>
      <c r="F30" s="3"/>
      <c r="G30" s="3"/>
      <c r="H30" s="12"/>
      <c r="I30" s="12"/>
      <c r="J30" s="12"/>
    </row>
    <row r="31">
      <c r="A31">
        <f>IFERROR(__xludf.DUMMYFUNCTION("""COMPUTED_VALUE"""),51.0)</f>
        <v>51</v>
      </c>
      <c r="B31" s="12"/>
      <c r="E31" s="3"/>
      <c r="F31" s="3"/>
      <c r="G31" s="12"/>
      <c r="H31" s="12"/>
      <c r="I31" s="12"/>
      <c r="J31" s="12"/>
    </row>
    <row r="32">
      <c r="A32">
        <f>IFERROR(__xludf.DUMMYFUNCTION("""COMPUTED_VALUE"""),52.0)</f>
        <v>52</v>
      </c>
      <c r="B32" s="12" t="str">
        <f>IFERROR(__xludf.DUMMYFUNCTION("""COMPUTED_VALUE"""),"Youtube")</f>
        <v>Youtube</v>
      </c>
      <c r="C32" s="20" t="s">
        <v>1407</v>
      </c>
      <c r="D32" s="20" t="s">
        <v>1443</v>
      </c>
      <c r="E32" s="3" t="s">
        <v>228</v>
      </c>
      <c r="F32" s="3"/>
      <c r="G32" s="12"/>
      <c r="H32" s="12"/>
      <c r="I32" s="12"/>
      <c r="J32" s="12"/>
    </row>
    <row r="33">
      <c r="A33">
        <f>IFERROR(__xludf.DUMMYFUNCTION("""COMPUTED_VALUE"""),53.0)</f>
        <v>53</v>
      </c>
      <c r="B33" s="12" t="str">
        <f>IFERROR(__xludf.DUMMYFUNCTION("""COMPUTED_VALUE"""),"BoredPanda")</f>
        <v>BoredPanda</v>
      </c>
      <c r="C33" s="20" t="s">
        <v>1407</v>
      </c>
      <c r="D33" s="20" t="s">
        <v>1443</v>
      </c>
      <c r="E33" s="3" t="s">
        <v>1444</v>
      </c>
      <c r="F33" s="3"/>
      <c r="G33" s="12"/>
      <c r="H33" s="12"/>
      <c r="I33" s="12"/>
      <c r="J33" s="12"/>
    </row>
    <row r="34">
      <c r="A34">
        <f>IFERROR(__xludf.DUMMYFUNCTION("""COMPUTED_VALUE"""),55.0)</f>
        <v>55</v>
      </c>
      <c r="B34" s="12" t="str">
        <f>IFERROR(__xludf.DUMMYFUNCTION("""COMPUTED_VALUE"""),"I can't recall the app/service I do however recall signing to apps with Google")</f>
        <v>I can't recall the app/service I do however recall signing to apps with Google</v>
      </c>
      <c r="C34" s="20" t="s">
        <v>1407</v>
      </c>
      <c r="D34" s="20" t="s">
        <v>1431</v>
      </c>
      <c r="E34" s="3" t="s">
        <v>1432</v>
      </c>
      <c r="F34" s="3"/>
      <c r="G34" s="12"/>
      <c r="H34" s="12"/>
      <c r="I34" s="12"/>
      <c r="J34" s="12"/>
    </row>
    <row r="35">
      <c r="A35">
        <f>IFERROR(__xludf.DUMMYFUNCTION("""COMPUTED_VALUE"""),56.0)</f>
        <v>56</v>
      </c>
      <c r="B35" s="12" t="str">
        <f>IFERROR(__xludf.DUMMYFUNCTION("""COMPUTED_VALUE"""),"Amazon Prime")</f>
        <v>Amazon Prime</v>
      </c>
      <c r="C35" s="20" t="s">
        <v>1407</v>
      </c>
      <c r="D35" s="20" t="s">
        <v>1408</v>
      </c>
      <c r="E35" s="3" t="s">
        <v>64</v>
      </c>
      <c r="F35" s="12"/>
      <c r="G35" s="12"/>
      <c r="H35" s="12"/>
      <c r="I35" s="12"/>
      <c r="J35" s="12"/>
    </row>
    <row r="36">
      <c r="A36">
        <f>IFERROR(__xludf.DUMMYFUNCTION("""COMPUTED_VALUE"""),58.0)</f>
        <v>58</v>
      </c>
      <c r="B36" s="12" t="str">
        <f>IFERROR(__xludf.DUMMYFUNCTION("""COMPUTED_VALUE"""),"Pixiv")</f>
        <v>Pixiv</v>
      </c>
      <c r="C36" s="20" t="s">
        <v>1407</v>
      </c>
      <c r="D36" s="20" t="s">
        <v>1412</v>
      </c>
      <c r="E36" s="3" t="s">
        <v>1445</v>
      </c>
      <c r="F36" s="3"/>
      <c r="G36" s="3"/>
      <c r="H36" s="12"/>
      <c r="I36" s="12"/>
      <c r="J36" s="12"/>
    </row>
    <row r="37">
      <c r="A37">
        <f>IFERROR(__xludf.DUMMYFUNCTION("""COMPUTED_VALUE"""),59.0)</f>
        <v>59</v>
      </c>
      <c r="B37" s="12" t="str">
        <f>IFERROR(__xludf.DUMMYFUNCTION("""COMPUTED_VALUE"""),"Offerup")</f>
        <v>Offerup</v>
      </c>
      <c r="C37" s="20" t="s">
        <v>1407</v>
      </c>
      <c r="D37" s="20" t="s">
        <v>1408</v>
      </c>
      <c r="E37" s="3" t="s">
        <v>1446</v>
      </c>
      <c r="F37" s="28"/>
      <c r="G37" s="3"/>
      <c r="H37" s="12"/>
      <c r="I37" s="12"/>
      <c r="J37" s="12"/>
    </row>
    <row r="38">
      <c r="A38">
        <f>IFERROR(__xludf.DUMMYFUNCTION("""COMPUTED_VALUE"""),60.0)</f>
        <v>60</v>
      </c>
      <c r="B38" s="12" t="str">
        <f>IFERROR(__xludf.DUMMYFUNCTION("""COMPUTED_VALUE"""),"zillow")</f>
        <v>zillow</v>
      </c>
      <c r="C38" s="20" t="s">
        <v>1407</v>
      </c>
      <c r="D38" s="20" t="s">
        <v>1419</v>
      </c>
      <c r="E38" s="3" t="s">
        <v>146</v>
      </c>
      <c r="F38" s="3"/>
      <c r="G38" s="12"/>
      <c r="H38" s="12"/>
      <c r="I38" s="12"/>
      <c r="J38" s="12"/>
    </row>
    <row r="39">
      <c r="A39">
        <f>IFERROR(__xludf.DUMMYFUNCTION("""COMPUTED_VALUE"""),61.0)</f>
        <v>61</v>
      </c>
      <c r="B39" s="12" t="str">
        <f>IFERROR(__xludf.DUMMYFUNCTION("""COMPUTED_VALUE"""),"A clothing website")</f>
        <v>A clothing website</v>
      </c>
      <c r="C39" s="20" t="s">
        <v>1407</v>
      </c>
      <c r="D39" s="20" t="s">
        <v>1408</v>
      </c>
      <c r="E39" s="3" t="s">
        <v>1409</v>
      </c>
      <c r="F39" s="3"/>
      <c r="G39" s="12"/>
      <c r="H39" s="12"/>
      <c r="I39" s="12"/>
      <c r="J39" s="12"/>
    </row>
    <row r="40">
      <c r="A40">
        <f>IFERROR(__xludf.DUMMYFUNCTION("""COMPUTED_VALUE"""),62.0)</f>
        <v>62</v>
      </c>
      <c r="B40" s="12" t="str">
        <f>IFERROR(__xludf.DUMMYFUNCTION("""COMPUTED_VALUE"""),"The most recent is a game through the Epic Games Client called Auto Chess. I had a mobile account for them first, and then associated it with my Google login so that I could switch when the PC platform launched.")</f>
        <v>The most recent is a game through the Epic Games Client called Auto Chess. I had a mobile account for them first, and then associated it with my Google login so that I could switch when the PC platform launched.</v>
      </c>
      <c r="C40" s="20" t="s">
        <v>1407</v>
      </c>
      <c r="D40" s="20" t="s">
        <v>1436</v>
      </c>
      <c r="E40" s="3" t="s">
        <v>1447</v>
      </c>
      <c r="F40" s="3"/>
      <c r="G40" s="3"/>
      <c r="H40" s="12"/>
      <c r="I40" s="12"/>
      <c r="J40" s="12"/>
    </row>
    <row r="41">
      <c r="A41">
        <f>IFERROR(__xludf.DUMMYFUNCTION("""COMPUTED_VALUE"""),64.0)</f>
        <v>64</v>
      </c>
      <c r="B41" s="12" t="str">
        <f>IFERROR(__xludf.DUMMYFUNCTION("""COMPUTED_VALUE"""),"Free Code Camp")</f>
        <v>Free Code Camp</v>
      </c>
      <c r="C41" s="20" t="s">
        <v>1407</v>
      </c>
      <c r="D41" s="20" t="s">
        <v>1423</v>
      </c>
      <c r="E41" s="3" t="s">
        <v>1448</v>
      </c>
      <c r="F41" s="3"/>
      <c r="G41" s="12"/>
      <c r="H41" s="12"/>
      <c r="I41" s="12"/>
      <c r="J41" s="12"/>
    </row>
    <row r="42">
      <c r="A42">
        <f>IFERROR(__xludf.DUMMYFUNCTION("""COMPUTED_VALUE"""),66.0)</f>
        <v>66</v>
      </c>
      <c r="B42" s="12" t="str">
        <f>IFERROR(__xludf.DUMMYFUNCTION("""COMPUTED_VALUE"""),"Facebook")</f>
        <v>Facebook</v>
      </c>
      <c r="C42" s="20" t="s">
        <v>1407</v>
      </c>
      <c r="D42" s="20" t="s">
        <v>1412</v>
      </c>
      <c r="E42" s="3" t="s">
        <v>187</v>
      </c>
      <c r="F42" s="3"/>
      <c r="G42" s="12"/>
      <c r="H42" s="12"/>
      <c r="I42" s="12"/>
      <c r="J42" s="12"/>
    </row>
    <row r="43">
      <c r="A43">
        <f>IFERROR(__xludf.DUMMYFUNCTION("""COMPUTED_VALUE"""),67.0)</f>
        <v>67</v>
      </c>
      <c r="B43" s="12" t="str">
        <f>IFERROR(__xludf.DUMMYFUNCTION("""COMPUTED_VALUE"""),"Beyondmenu.com 
 It's a food delivery service.")</f>
        <v>Beyondmenu.com 
 It's a food delivery service.</v>
      </c>
      <c r="C43" s="20" t="s">
        <v>1407</v>
      </c>
      <c r="D43" s="20" t="s">
        <v>1429</v>
      </c>
      <c r="E43" s="27" t="s">
        <v>1449</v>
      </c>
      <c r="F43" s="3"/>
      <c r="G43" s="3"/>
      <c r="H43" s="3"/>
      <c r="I43" s="12"/>
      <c r="J43" s="12"/>
    </row>
    <row r="44">
      <c r="A44">
        <f>IFERROR(__xludf.DUMMYFUNCTION("""COMPUTED_VALUE"""),69.0)</f>
        <v>69</v>
      </c>
      <c r="B44" s="12" t="str">
        <f>IFERROR(__xludf.DUMMYFUNCTION("""COMPUTED_VALUE"""),"It was a forum that asked for it")</f>
        <v>It was a forum that asked for it</v>
      </c>
      <c r="C44" s="20" t="s">
        <v>1407</v>
      </c>
      <c r="D44" s="20" t="s">
        <v>1412</v>
      </c>
      <c r="E44" s="3" t="s">
        <v>1450</v>
      </c>
      <c r="F44" s="3"/>
      <c r="G44" s="12"/>
      <c r="H44" s="12"/>
      <c r="I44" s="12"/>
      <c r="J44" s="12"/>
    </row>
    <row r="45">
      <c r="A45">
        <f>IFERROR(__xludf.DUMMYFUNCTION("""COMPUTED_VALUE"""),70.0)</f>
        <v>70</v>
      </c>
      <c r="B45" s="12"/>
      <c r="E45" s="3"/>
      <c r="F45" s="3"/>
      <c r="G45" s="12"/>
      <c r="H45" s="12"/>
      <c r="I45" s="12"/>
      <c r="J45" s="12"/>
    </row>
    <row r="46">
      <c r="A46">
        <f>IFERROR(__xludf.DUMMYFUNCTION("""COMPUTED_VALUE"""),72.0)</f>
        <v>72</v>
      </c>
      <c r="B46" s="12" t="str">
        <f>IFERROR(__xludf.DUMMYFUNCTION("""COMPUTED_VALUE"""),"I signed into reddit using my google account.")</f>
        <v>I signed into reddit using my google account.</v>
      </c>
      <c r="C46" s="20" t="s">
        <v>1407</v>
      </c>
      <c r="D46" s="20" t="s">
        <v>1412</v>
      </c>
      <c r="E46" s="3" t="s">
        <v>1413</v>
      </c>
      <c r="F46" s="3"/>
      <c r="G46" s="12"/>
      <c r="H46" s="12"/>
      <c r="I46" s="12"/>
      <c r="J46" s="12"/>
    </row>
    <row r="47">
      <c r="A47">
        <f>IFERROR(__xludf.DUMMYFUNCTION("""COMPUTED_VALUE"""),73.0)</f>
        <v>73</v>
      </c>
      <c r="B47" s="12" t="str">
        <f>IFERROR(__xludf.DUMMYFUNCTION("""COMPUTED_VALUE"""),"Hideout")</f>
        <v>Hideout</v>
      </c>
      <c r="C47" s="20" t="s">
        <v>1407</v>
      </c>
      <c r="D47" s="20" t="s">
        <v>1443</v>
      </c>
      <c r="E47" s="3" t="s">
        <v>1451</v>
      </c>
      <c r="F47" s="3"/>
      <c r="G47" s="3"/>
      <c r="H47" s="12"/>
      <c r="I47" s="12"/>
      <c r="J47" s="12"/>
    </row>
    <row r="48">
      <c r="A48">
        <f>IFERROR(__xludf.DUMMYFUNCTION("""COMPUTED_VALUE"""),74.0)</f>
        <v>74</v>
      </c>
      <c r="B48" s="12" t="str">
        <f>IFERROR(__xludf.DUMMYFUNCTION("""COMPUTED_VALUE"""),"quora")</f>
        <v>quora</v>
      </c>
      <c r="C48" s="20" t="s">
        <v>1407</v>
      </c>
      <c r="D48" s="20" t="s">
        <v>1421</v>
      </c>
      <c r="E48" s="3" t="s">
        <v>178</v>
      </c>
      <c r="F48" s="3"/>
      <c r="G48" s="12"/>
      <c r="H48" s="12"/>
      <c r="I48" s="12"/>
      <c r="J48" s="12"/>
    </row>
    <row r="49">
      <c r="A49">
        <f>IFERROR(__xludf.DUMMYFUNCTION("""COMPUTED_VALUE"""),75.0)</f>
        <v>75</v>
      </c>
      <c r="B49" s="12" t="str">
        <f>IFERROR(__xludf.DUMMYFUNCTION("""COMPUTED_VALUE"""),"Logged in to place order at a local restaurant chain")</f>
        <v>Logged in to place order at a local restaurant chain</v>
      </c>
      <c r="C49" s="20" t="s">
        <v>1407</v>
      </c>
      <c r="D49" s="20" t="s">
        <v>1429</v>
      </c>
      <c r="E49" s="3" t="s">
        <v>1452</v>
      </c>
      <c r="F49" s="3"/>
      <c r="G49" s="12"/>
      <c r="H49" s="12"/>
      <c r="I49" s="12"/>
      <c r="J49" s="12"/>
    </row>
    <row r="50">
      <c r="A50">
        <f>IFERROR(__xludf.DUMMYFUNCTION("""COMPUTED_VALUE"""),78.0)</f>
        <v>78</v>
      </c>
      <c r="B50" s="12" t="str">
        <f>IFERROR(__xludf.DUMMYFUNCTION("""COMPUTED_VALUE"""),"Facebook")</f>
        <v>Facebook</v>
      </c>
      <c r="C50" s="20" t="s">
        <v>1407</v>
      </c>
      <c r="D50" s="20" t="s">
        <v>1412</v>
      </c>
      <c r="E50" s="3" t="s">
        <v>187</v>
      </c>
      <c r="F50" s="3"/>
      <c r="G50" s="3"/>
      <c r="H50" s="12"/>
      <c r="I50" s="12"/>
      <c r="J50" s="12"/>
    </row>
    <row r="51">
      <c r="A51">
        <f>IFERROR(__xludf.DUMMYFUNCTION("""COMPUTED_VALUE"""),80.0)</f>
        <v>80</v>
      </c>
      <c r="B51" s="12" t="str">
        <f>IFERROR(__xludf.DUMMYFUNCTION("""COMPUTED_VALUE"""),"facebook")</f>
        <v>facebook</v>
      </c>
      <c r="C51" s="20" t="s">
        <v>1407</v>
      </c>
      <c r="D51" s="20" t="s">
        <v>1412</v>
      </c>
      <c r="E51" s="3" t="s">
        <v>187</v>
      </c>
      <c r="F51" s="28"/>
      <c r="G51" s="3"/>
      <c r="H51" s="12"/>
      <c r="I51" s="12"/>
      <c r="J51" s="12"/>
    </row>
    <row r="52">
      <c r="A52">
        <f>IFERROR(__xludf.DUMMYFUNCTION("""COMPUTED_VALUE"""),81.0)</f>
        <v>81</v>
      </c>
      <c r="B52" s="12" t="str">
        <f>IFERROR(__xludf.DUMMYFUNCTION("""COMPUTED_VALUE"""),"I last did so to sign into Humble Bundle.")</f>
        <v>I last did so to sign into Humble Bundle.</v>
      </c>
      <c r="C52" s="20" t="s">
        <v>1407</v>
      </c>
      <c r="D52" s="20" t="s">
        <v>1408</v>
      </c>
      <c r="E52" s="3" t="s">
        <v>1453</v>
      </c>
      <c r="F52" s="3"/>
      <c r="G52" s="28"/>
      <c r="H52" s="12"/>
      <c r="I52" s="12"/>
      <c r="J52" s="12"/>
    </row>
    <row r="53">
      <c r="A53">
        <f>IFERROR(__xludf.DUMMYFUNCTION("""COMPUTED_VALUE"""),84.0)</f>
        <v>84</v>
      </c>
      <c r="B53" s="12" t="str">
        <f>IFERROR(__xludf.DUMMYFUNCTION("""COMPUTED_VALUE"""),"Wirecutter")</f>
        <v>Wirecutter</v>
      </c>
      <c r="C53" s="20" t="s">
        <v>1407</v>
      </c>
      <c r="D53" s="20" t="s">
        <v>1421</v>
      </c>
      <c r="E53" s="3" t="s">
        <v>1454</v>
      </c>
      <c r="F53" s="3"/>
      <c r="G53" s="3"/>
      <c r="H53" s="12"/>
      <c r="I53" s="12"/>
      <c r="J53" s="12"/>
    </row>
    <row r="54">
      <c r="A54">
        <f>IFERROR(__xludf.DUMMYFUNCTION("""COMPUTED_VALUE"""),86.0)</f>
        <v>86</v>
      </c>
      <c r="B54" s="12"/>
      <c r="E54" s="3"/>
      <c r="F54" s="3"/>
      <c r="G54" s="12"/>
      <c r="H54" s="12"/>
      <c r="I54" s="12"/>
      <c r="J54" s="12"/>
    </row>
    <row r="55">
      <c r="A55">
        <f>IFERROR(__xludf.DUMMYFUNCTION("""COMPUTED_VALUE"""),87.0)</f>
        <v>87</v>
      </c>
      <c r="B55" s="12" t="str">
        <f>IFERROR(__xludf.DUMMYFUNCTION("""COMPUTED_VALUE"""),"Most recently, I think connected my Google Account with the McDonalds app.")</f>
        <v>Most recently, I think connected my Google Account with the McDonalds app.</v>
      </c>
      <c r="C55" s="20" t="s">
        <v>1407</v>
      </c>
      <c r="D55" s="20" t="s">
        <v>1429</v>
      </c>
      <c r="E55" s="3" t="s">
        <v>977</v>
      </c>
      <c r="F55" s="3"/>
      <c r="G55" s="12"/>
      <c r="H55" s="12"/>
      <c r="I55" s="12"/>
      <c r="J55" s="12"/>
    </row>
    <row r="56">
      <c r="A56">
        <f>IFERROR(__xludf.DUMMYFUNCTION("""COMPUTED_VALUE"""),88.0)</f>
        <v>88</v>
      </c>
      <c r="B56" s="12" t="str">
        <f>IFERROR(__xludf.DUMMYFUNCTION("""COMPUTED_VALUE"""),"DoSomething.org was the last time I used Google to sign-in to a third-party app or service (about a week ago)")</f>
        <v>DoSomething.org was the last time I used Google to sign-in to a third-party app or service (about a week ago)</v>
      </c>
      <c r="C56" s="20" t="s">
        <v>1407</v>
      </c>
      <c r="D56" s="20" t="s">
        <v>1410</v>
      </c>
      <c r="E56" s="29" t="s">
        <v>1455</v>
      </c>
      <c r="F56" s="30"/>
      <c r="G56" s="12"/>
      <c r="H56" s="12"/>
      <c r="I56" s="12"/>
      <c r="J56" s="12"/>
    </row>
    <row r="57">
      <c r="A57">
        <f>IFERROR(__xludf.DUMMYFUNCTION("""COMPUTED_VALUE"""),89.0)</f>
        <v>89</v>
      </c>
      <c r="B57" s="12"/>
      <c r="E57" s="23"/>
      <c r="F57" s="3"/>
      <c r="G57" s="28"/>
      <c r="H57" s="12"/>
      <c r="I57" s="12"/>
      <c r="J57" s="12"/>
    </row>
    <row r="58">
      <c r="A58">
        <f>IFERROR(__xludf.DUMMYFUNCTION("""COMPUTED_VALUE"""),90.0)</f>
        <v>90</v>
      </c>
      <c r="B58" s="12" t="str">
        <f>IFERROR(__xludf.DUMMYFUNCTION("""COMPUTED_VALUE"""),"GasBuddy")</f>
        <v>GasBuddy</v>
      </c>
      <c r="C58" s="20" t="s">
        <v>1407</v>
      </c>
      <c r="D58" s="20" t="s">
        <v>1425</v>
      </c>
      <c r="E58" s="3" t="s">
        <v>1456</v>
      </c>
      <c r="F58" s="3"/>
      <c r="G58" s="3"/>
      <c r="H58" s="12"/>
      <c r="I58" s="12"/>
      <c r="J58" s="12"/>
    </row>
    <row r="59">
      <c r="A59">
        <f>IFERROR(__xludf.DUMMYFUNCTION("""COMPUTED_VALUE"""),93.0)</f>
        <v>93</v>
      </c>
      <c r="B59" s="12" t="str">
        <f>IFERROR(__xludf.DUMMYFUNCTION("""COMPUTED_VALUE"""),"Zoom")</f>
        <v>Zoom</v>
      </c>
      <c r="C59" s="20" t="s">
        <v>1407</v>
      </c>
      <c r="D59" s="20" t="s">
        <v>1417</v>
      </c>
      <c r="E59" s="3" t="s">
        <v>588</v>
      </c>
      <c r="F59" s="3"/>
      <c r="G59" s="12"/>
      <c r="H59" s="12"/>
      <c r="I59" s="12"/>
      <c r="J59" s="12"/>
    </row>
    <row r="60">
      <c r="A60">
        <f>IFERROR(__xludf.DUMMYFUNCTION("""COMPUTED_VALUE"""),95.0)</f>
        <v>95</v>
      </c>
      <c r="B60" s="31" t="str">
        <f>IFERROR(__xludf.DUMMYFUNCTION("""COMPUTED_VALUE"""),"tapas.io")</f>
        <v>tapas.io</v>
      </c>
      <c r="C60" s="20" t="s">
        <v>1407</v>
      </c>
      <c r="D60" s="20" t="s">
        <v>1443</v>
      </c>
      <c r="E60" s="27" t="s">
        <v>1457</v>
      </c>
      <c r="F60" s="3"/>
      <c r="G60" s="3"/>
      <c r="H60" s="12"/>
      <c r="I60" s="12"/>
      <c r="J60" s="12"/>
    </row>
    <row r="61">
      <c r="A61">
        <f>IFERROR(__xludf.DUMMYFUNCTION("""COMPUTED_VALUE"""),97.0)</f>
        <v>97</v>
      </c>
      <c r="B61" s="12" t="str">
        <f>IFERROR(__xludf.DUMMYFUNCTION("""COMPUTED_VALUE"""),"I think I used it for signing into a site that I didn't want to have to create a separate account for, like a single use type thing.")</f>
        <v>I think I used it for signing into a site that I didn't want to have to create a separate account for, like a single use type thing.</v>
      </c>
      <c r="C61" s="20" t="s">
        <v>1407</v>
      </c>
      <c r="D61" s="20" t="s">
        <v>1410</v>
      </c>
      <c r="E61" s="3" t="s">
        <v>1411</v>
      </c>
      <c r="F61" s="3"/>
      <c r="G61" s="28"/>
      <c r="H61" s="12"/>
      <c r="I61" s="12"/>
      <c r="J61" s="12"/>
    </row>
    <row r="62">
      <c r="A62">
        <f>IFERROR(__xludf.DUMMYFUNCTION("""COMPUTED_VALUE"""),98.0)</f>
        <v>98</v>
      </c>
      <c r="B62" s="12" t="str">
        <f>IFERROR(__xludf.DUMMYFUNCTION("""COMPUTED_VALUE"""),"I believe it amazon and/or facebook")</f>
        <v>I believe it amazon and/or facebook</v>
      </c>
      <c r="C62" s="20" t="s">
        <v>1407</v>
      </c>
      <c r="D62" s="20" t="s">
        <v>1408</v>
      </c>
      <c r="E62" s="3" t="s">
        <v>64</v>
      </c>
      <c r="F62" s="28" t="s">
        <v>187</v>
      </c>
      <c r="G62" s="12"/>
      <c r="H62" s="12"/>
      <c r="I62" s="12"/>
      <c r="J62" s="12"/>
    </row>
    <row r="63">
      <c r="A63">
        <f>IFERROR(__xludf.DUMMYFUNCTION("""COMPUTED_VALUE"""),99.0)</f>
        <v>99</v>
      </c>
      <c r="B63" s="12" t="str">
        <f>IFERROR(__xludf.DUMMYFUNCTION("""COMPUTED_VALUE"""),"Phemex")</f>
        <v>Phemex</v>
      </c>
      <c r="C63" s="20" t="s">
        <v>1407</v>
      </c>
      <c r="D63" s="20" t="s">
        <v>1416</v>
      </c>
      <c r="E63" s="3" t="s">
        <v>1458</v>
      </c>
      <c r="F63" s="3"/>
      <c r="H63" s="12"/>
      <c r="I63" s="12"/>
      <c r="J63" s="12"/>
    </row>
    <row r="64">
      <c r="A64">
        <f>IFERROR(__xludf.DUMMYFUNCTION("""COMPUTED_VALUE"""),100.0)</f>
        <v>100</v>
      </c>
      <c r="B64" s="12"/>
      <c r="E64" s="3"/>
      <c r="F64" s="28"/>
      <c r="G64" s="28"/>
      <c r="H64" s="12"/>
      <c r="I64" s="12"/>
      <c r="J64" s="12"/>
    </row>
    <row r="65">
      <c r="A65">
        <f>IFERROR(__xludf.DUMMYFUNCTION("""COMPUTED_VALUE"""),101.0)</f>
        <v>101</v>
      </c>
      <c r="B65" s="12" t="str">
        <f>IFERROR(__xludf.DUMMYFUNCTION("""COMPUTED_VALUE"""),"A gaming app.")</f>
        <v>A gaming app.</v>
      </c>
      <c r="C65" s="20" t="s">
        <v>1407</v>
      </c>
      <c r="D65" s="20" t="s">
        <v>1436</v>
      </c>
      <c r="E65" s="3" t="s">
        <v>1459</v>
      </c>
      <c r="F65" s="3"/>
      <c r="G65" s="3"/>
      <c r="H65" s="12"/>
      <c r="I65" s="12"/>
      <c r="J65" s="12"/>
    </row>
    <row r="66">
      <c r="A66">
        <f>IFERROR(__xludf.DUMMYFUNCTION("""COMPUTED_VALUE"""),103.0)</f>
        <v>103</v>
      </c>
      <c r="B66" s="12" t="str">
        <f>IFERROR(__xludf.DUMMYFUNCTION("""COMPUTED_VALUE"""),"Pinterest")</f>
        <v>Pinterest</v>
      </c>
      <c r="C66" s="20" t="s">
        <v>1407</v>
      </c>
      <c r="D66" s="20" t="s">
        <v>1414</v>
      </c>
      <c r="E66" s="3" t="s">
        <v>533</v>
      </c>
      <c r="F66" s="28"/>
      <c r="G66" s="28"/>
      <c r="H66" s="12"/>
      <c r="I66" s="12"/>
      <c r="J66" s="12"/>
    </row>
    <row r="67">
      <c r="A67">
        <f>IFERROR(__xludf.DUMMYFUNCTION("""COMPUTED_VALUE"""),104.0)</f>
        <v>104</v>
      </c>
      <c r="B67" s="12" t="str">
        <f>IFERROR(__xludf.DUMMYFUNCTION("""COMPUTED_VALUE"""),"joinhoney.com. (a rabat site).")</f>
        <v>joinhoney.com. (a rabat site).</v>
      </c>
      <c r="C67" s="20" t="s">
        <v>1407</v>
      </c>
      <c r="D67" s="20" t="s">
        <v>1408</v>
      </c>
      <c r="E67" s="22" t="s">
        <v>1460</v>
      </c>
      <c r="F67" s="3"/>
      <c r="G67" s="26"/>
      <c r="H67" s="3"/>
      <c r="J67" s="12"/>
    </row>
    <row r="68">
      <c r="A68">
        <f>IFERROR(__xludf.DUMMYFUNCTION("""COMPUTED_VALUE"""),105.0)</f>
        <v>105</v>
      </c>
      <c r="B68" s="12" t="str">
        <f>IFERROR(__xludf.DUMMYFUNCTION("""COMPUTED_VALUE"""),"Microsoft job application")</f>
        <v>Microsoft job application</v>
      </c>
      <c r="C68" s="20" t="s">
        <v>1407</v>
      </c>
      <c r="D68" s="20" t="s">
        <v>1417</v>
      </c>
      <c r="E68" s="3" t="s">
        <v>1461</v>
      </c>
      <c r="F68" s="3"/>
      <c r="G68" s="28"/>
      <c r="J68" s="12"/>
    </row>
    <row r="69">
      <c r="A69">
        <f>IFERROR(__xludf.DUMMYFUNCTION("""COMPUTED_VALUE"""),107.0)</f>
        <v>107</v>
      </c>
      <c r="B69" s="12" t="str">
        <f>IFERROR(__xludf.DUMMYFUNCTION("""COMPUTED_VALUE"""),"Netflix and amazon")</f>
        <v>Netflix and amazon</v>
      </c>
      <c r="C69" s="20" t="s">
        <v>1407</v>
      </c>
      <c r="D69" s="20" t="s">
        <v>1443</v>
      </c>
      <c r="E69" s="3" t="s">
        <v>1462</v>
      </c>
      <c r="F69" s="3" t="s">
        <v>64</v>
      </c>
      <c r="G69" s="3"/>
      <c r="J69" s="12"/>
    </row>
    <row r="70">
      <c r="A70">
        <f>IFERROR(__xludf.DUMMYFUNCTION("""COMPUTED_VALUE"""),108.0)</f>
        <v>108</v>
      </c>
      <c r="B70" s="12"/>
      <c r="E70" s="3"/>
      <c r="F70" s="28"/>
      <c r="G70" s="28"/>
      <c r="H70" s="12"/>
      <c r="I70" s="12"/>
      <c r="J70" s="12"/>
    </row>
    <row r="71">
      <c r="A71">
        <f>IFERROR(__xludf.DUMMYFUNCTION("""COMPUTED_VALUE"""),109.0)</f>
        <v>109</v>
      </c>
      <c r="B71" s="12" t="str">
        <f>IFERROR(__xludf.DUMMYFUNCTION("""COMPUTED_VALUE"""),"Zoom")</f>
        <v>Zoom</v>
      </c>
      <c r="C71" s="20" t="s">
        <v>1407</v>
      </c>
      <c r="D71" s="20" t="s">
        <v>1417</v>
      </c>
      <c r="E71" s="3" t="s">
        <v>588</v>
      </c>
      <c r="F71" s="3"/>
      <c r="G71" s="28"/>
      <c r="H71" s="3"/>
      <c r="I71" s="3"/>
      <c r="J71" s="12"/>
    </row>
    <row r="72">
      <c r="A72">
        <f>IFERROR(__xludf.DUMMYFUNCTION("""COMPUTED_VALUE"""),111.0)</f>
        <v>111</v>
      </c>
      <c r="B72" s="12" t="str">
        <f>IFERROR(__xludf.DUMMYFUNCTION("""COMPUTED_VALUE"""),"Probably YouTube or linking it to my Xbox account")</f>
        <v>Probably YouTube or linking it to my Xbox account</v>
      </c>
      <c r="C72" s="20" t="s">
        <v>1407</v>
      </c>
      <c r="D72" s="20" t="s">
        <v>1443</v>
      </c>
      <c r="E72" s="3" t="s">
        <v>228</v>
      </c>
      <c r="F72" s="28"/>
      <c r="G72" s="12"/>
      <c r="H72" s="12"/>
      <c r="I72" s="12"/>
      <c r="J72" s="12"/>
    </row>
    <row r="73">
      <c r="A73">
        <f>IFERROR(__xludf.DUMMYFUNCTION("""COMPUTED_VALUE"""),112.0)</f>
        <v>112</v>
      </c>
      <c r="B73" s="12"/>
      <c r="E73" s="3"/>
      <c r="F73" s="28"/>
      <c r="G73" s="28"/>
      <c r="H73" s="3"/>
      <c r="I73" s="12"/>
      <c r="J73" s="12"/>
    </row>
    <row r="74">
      <c r="A74">
        <f>IFERROR(__xludf.DUMMYFUNCTION("""COMPUTED_VALUE"""),113.0)</f>
        <v>113</v>
      </c>
      <c r="B74" s="12" t="str">
        <f>IFERROR(__xludf.DUMMYFUNCTION("""COMPUTED_VALUE"""),"This survey")</f>
        <v>This survey</v>
      </c>
      <c r="C74" s="20" t="s">
        <v>1407</v>
      </c>
      <c r="D74" s="20" t="s">
        <v>1463</v>
      </c>
      <c r="E74" s="3" t="s">
        <v>1464</v>
      </c>
      <c r="F74" s="28"/>
      <c r="G74" s="28"/>
      <c r="H74" s="12"/>
      <c r="I74" s="12"/>
      <c r="J74" s="12"/>
    </row>
    <row r="75">
      <c r="A75">
        <f>IFERROR(__xludf.DUMMYFUNCTION("""COMPUTED_VALUE"""),115.0)</f>
        <v>115</v>
      </c>
      <c r="B75" s="12"/>
      <c r="E75" s="3"/>
      <c r="F75" s="3"/>
      <c r="G75" s="3"/>
      <c r="H75" s="12"/>
      <c r="I75" s="12"/>
      <c r="J75" s="12"/>
    </row>
    <row r="76">
      <c r="A76">
        <f>IFERROR(__xludf.DUMMYFUNCTION("""COMPUTED_VALUE"""),116.0)</f>
        <v>116</v>
      </c>
      <c r="B76" s="12" t="str">
        <f>IFERROR(__xludf.DUMMYFUNCTION("""COMPUTED_VALUE"""),"I used it to play a mobile game. Was too lazy to make a separate account not based on google.")</f>
        <v>I used it to play a mobile game. Was too lazy to make a separate account not based on google.</v>
      </c>
      <c r="C76" s="20" t="s">
        <v>1407</v>
      </c>
      <c r="D76" s="20" t="s">
        <v>1436</v>
      </c>
      <c r="E76" s="3" t="s">
        <v>1459</v>
      </c>
      <c r="F76" s="3"/>
      <c r="G76" s="3"/>
      <c r="H76" s="12"/>
      <c r="I76" s="12"/>
      <c r="J76" s="12"/>
    </row>
    <row r="77">
      <c r="A77">
        <f>IFERROR(__xludf.DUMMYFUNCTION("""COMPUTED_VALUE"""),117.0)</f>
        <v>117</v>
      </c>
      <c r="B77" s="12" t="str">
        <f>IFERROR(__xludf.DUMMYFUNCTION("""COMPUTED_VALUE"""),"I honestly don't remember, but it happens often-ish, like once or twice a month.")</f>
        <v>I honestly don't remember, but it happens often-ish, like once or twice a month.</v>
      </c>
      <c r="C77" s="20" t="s">
        <v>1407</v>
      </c>
      <c r="D77" s="20" t="s">
        <v>1431</v>
      </c>
      <c r="E77" s="3" t="s">
        <v>1432</v>
      </c>
      <c r="F77" s="28"/>
      <c r="G77" s="28"/>
      <c r="H77" s="12"/>
      <c r="I77" s="12"/>
      <c r="J77" s="12"/>
    </row>
    <row r="78">
      <c r="A78">
        <f>IFERROR(__xludf.DUMMYFUNCTION("""COMPUTED_VALUE"""),122.0)</f>
        <v>122</v>
      </c>
      <c r="B78" s="12" t="str">
        <f>IFERROR(__xludf.DUMMYFUNCTION("""COMPUTED_VALUE"""),"I think it was a food delivery app (Doordash,Ubereats etc.)")</f>
        <v>I think it was a food delivery app (Doordash,Ubereats etc.)</v>
      </c>
      <c r="C78" s="20" t="s">
        <v>1407</v>
      </c>
      <c r="D78" s="20" t="s">
        <v>1429</v>
      </c>
      <c r="E78" s="3" t="s">
        <v>1430</v>
      </c>
      <c r="F78" s="3" t="s">
        <v>1465</v>
      </c>
      <c r="G78" s="28"/>
      <c r="H78" s="12"/>
      <c r="I78" s="12"/>
      <c r="J78" s="12"/>
    </row>
    <row r="79">
      <c r="A79">
        <f>IFERROR(__xludf.DUMMYFUNCTION("""COMPUTED_VALUE"""),123.0)</f>
        <v>123</v>
      </c>
      <c r="B79" s="12" t="str">
        <f>IFERROR(__xludf.DUMMYFUNCTION("""COMPUTED_VALUE"""),"I don't remember.")</f>
        <v>I don't remember.</v>
      </c>
      <c r="C79" s="20" t="s">
        <v>1407</v>
      </c>
      <c r="D79" s="20" t="s">
        <v>1431</v>
      </c>
      <c r="E79" s="3" t="s">
        <v>1432</v>
      </c>
      <c r="F79" s="3"/>
      <c r="G79" s="12"/>
      <c r="H79" s="12"/>
      <c r="I79" s="12"/>
      <c r="J79" s="12"/>
    </row>
    <row r="80">
      <c r="A80">
        <f>IFERROR(__xludf.DUMMYFUNCTION("""COMPUTED_VALUE"""),124.0)</f>
        <v>124</v>
      </c>
      <c r="B80" s="12"/>
      <c r="E80" s="3"/>
      <c r="F80" s="3"/>
      <c r="G80" s="3"/>
      <c r="H80" s="12"/>
      <c r="I80" s="12"/>
      <c r="J80" s="12"/>
    </row>
    <row r="81">
      <c r="A81">
        <f>IFERROR(__xludf.DUMMYFUNCTION("""COMPUTED_VALUE"""),125.0)</f>
        <v>125</v>
      </c>
      <c r="B81" s="12" t="str">
        <f>IFERROR(__xludf.DUMMYFUNCTION("""COMPUTED_VALUE"""),"Reddit")</f>
        <v>Reddit</v>
      </c>
      <c r="C81" s="20" t="s">
        <v>1407</v>
      </c>
      <c r="D81" s="20" t="s">
        <v>1412</v>
      </c>
      <c r="E81" s="3" t="s">
        <v>1413</v>
      </c>
      <c r="F81" s="3"/>
      <c r="G81" s="3"/>
      <c r="H81" s="12"/>
      <c r="I81" s="12"/>
      <c r="J81" s="12"/>
    </row>
    <row r="82">
      <c r="A82">
        <f>IFERROR(__xludf.DUMMYFUNCTION("""COMPUTED_VALUE"""),126.0)</f>
        <v>126</v>
      </c>
      <c r="B82" s="12" t="str">
        <f>IFERROR(__xludf.DUMMYFUNCTION("""COMPUTED_VALUE"""),"Reddit")</f>
        <v>Reddit</v>
      </c>
      <c r="C82" s="20" t="s">
        <v>1407</v>
      </c>
      <c r="D82" s="20" t="s">
        <v>1412</v>
      </c>
      <c r="E82" s="28" t="s">
        <v>1413</v>
      </c>
      <c r="F82" s="28"/>
      <c r="G82" s="28"/>
      <c r="H82" s="12"/>
      <c r="I82" s="12"/>
      <c r="J82" s="12"/>
    </row>
    <row r="83">
      <c r="A83">
        <f>IFERROR(__xludf.DUMMYFUNCTION("""COMPUTED_VALUE"""),127.0)</f>
        <v>127</v>
      </c>
      <c r="B83" s="12" t="str">
        <f>IFERROR(__xludf.DUMMYFUNCTION("""COMPUTED_VALUE"""),"I used it to sign up for an online newspaper subscription. It was for the WSJ.")</f>
        <v>I used it to sign up for an online newspaper subscription. It was for the WSJ.</v>
      </c>
      <c r="C83" s="20" t="s">
        <v>1407</v>
      </c>
      <c r="D83" s="20" t="s">
        <v>1421</v>
      </c>
      <c r="E83" s="3" t="s">
        <v>1466</v>
      </c>
      <c r="F83" s="28"/>
      <c r="G83" s="28"/>
      <c r="H83" s="12"/>
      <c r="I83" s="12"/>
      <c r="J83" s="12"/>
    </row>
    <row r="84">
      <c r="A84">
        <f>IFERROR(__xludf.DUMMYFUNCTION("""COMPUTED_VALUE"""),128.0)</f>
        <v>128</v>
      </c>
      <c r="B84" s="12" t="str">
        <f>IFERROR(__xludf.DUMMYFUNCTION("""COMPUTED_VALUE"""),"I don't remember")</f>
        <v>I don't remember</v>
      </c>
      <c r="C84" s="20" t="s">
        <v>1407</v>
      </c>
      <c r="D84" s="20" t="s">
        <v>1431</v>
      </c>
      <c r="E84" s="3" t="s">
        <v>1432</v>
      </c>
      <c r="F84" s="28"/>
      <c r="G84" s="28"/>
      <c r="H84" s="12"/>
      <c r="I84" s="12"/>
      <c r="J84" s="12"/>
    </row>
    <row r="85">
      <c r="A85">
        <f>IFERROR(__xludf.DUMMYFUNCTION("""COMPUTED_VALUE"""),129.0)</f>
        <v>129</v>
      </c>
      <c r="B85" s="12" t="str">
        <f>IFERROR(__xludf.DUMMYFUNCTION("""COMPUTED_VALUE"""),"The last time i did was when i was trying to log into my Fantasy premier league account")</f>
        <v>The last time i did was when i was trying to log into my Fantasy premier league account</v>
      </c>
      <c r="C85" s="20" t="s">
        <v>1407</v>
      </c>
      <c r="D85" s="20" t="s">
        <v>1467</v>
      </c>
      <c r="E85" s="3" t="s">
        <v>1468</v>
      </c>
      <c r="F85" s="3"/>
      <c r="G85" s="28"/>
      <c r="H85" s="12"/>
      <c r="I85" s="12"/>
      <c r="J85" s="12"/>
    </row>
    <row r="86">
      <c r="A86">
        <f>IFERROR(__xludf.DUMMYFUNCTION("""COMPUTED_VALUE"""),130.0)</f>
        <v>130</v>
      </c>
      <c r="B86" s="12" t="str">
        <f>IFERROR(__xludf.DUMMYFUNCTION("""COMPUTED_VALUE"""),"I mostly use it to sign into third party social media apps, such as Reddit.")</f>
        <v>I mostly use it to sign into third party social media apps, such as Reddit.</v>
      </c>
      <c r="C86" s="20" t="s">
        <v>1407</v>
      </c>
      <c r="D86" s="20" t="s">
        <v>1412</v>
      </c>
      <c r="E86" s="3" t="s">
        <v>1413</v>
      </c>
      <c r="F86" s="3"/>
      <c r="G86" s="3"/>
      <c r="H86" s="12"/>
      <c r="I86" s="12"/>
      <c r="J86" s="12"/>
    </row>
    <row r="87">
      <c r="A87">
        <f>IFERROR(__xludf.DUMMYFUNCTION("""COMPUTED_VALUE"""),132.0)</f>
        <v>132</v>
      </c>
      <c r="B87" s="12"/>
      <c r="E87" s="3"/>
      <c r="F87" s="28"/>
      <c r="G87" s="12"/>
      <c r="H87" s="12"/>
      <c r="I87" s="12"/>
      <c r="J87" s="12"/>
    </row>
    <row r="88">
      <c r="A88">
        <f>IFERROR(__xludf.DUMMYFUNCTION("""COMPUTED_VALUE"""),135.0)</f>
        <v>135</v>
      </c>
      <c r="B88" s="12" t="str">
        <f>IFERROR(__xludf.DUMMYFUNCTION("""COMPUTED_VALUE"""),"infinix hot 8")</f>
        <v>infinix hot 8</v>
      </c>
      <c r="C88" s="20" t="s">
        <v>1407</v>
      </c>
      <c r="D88" s="20" t="s">
        <v>1410</v>
      </c>
      <c r="E88" s="3" t="s">
        <v>1469</v>
      </c>
      <c r="F88" s="3"/>
      <c r="G88" s="12"/>
      <c r="H88" s="12"/>
      <c r="I88" s="12"/>
      <c r="J88" s="12"/>
    </row>
    <row r="89">
      <c r="A89">
        <f>IFERROR(__xludf.DUMMYFUNCTION("""COMPUTED_VALUE"""),137.0)</f>
        <v>137</v>
      </c>
      <c r="B89" s="31" t="str">
        <f>IFERROR(__xludf.DUMMYFUNCTION("""COMPUTED_VALUE"""),"Indeed.com")</f>
        <v>Indeed.com</v>
      </c>
      <c r="C89" s="20" t="s">
        <v>1407</v>
      </c>
      <c r="D89" s="20" t="s">
        <v>1417</v>
      </c>
      <c r="E89" s="3" t="s">
        <v>1427</v>
      </c>
      <c r="F89" s="28"/>
      <c r="G89" s="3"/>
      <c r="H89" s="12"/>
      <c r="I89" s="12"/>
      <c r="J89" s="12"/>
    </row>
    <row r="90">
      <c r="A90">
        <f>IFERROR(__xludf.DUMMYFUNCTION("""COMPUTED_VALUE"""),138.0)</f>
        <v>138</v>
      </c>
      <c r="B90" s="12" t="str">
        <f>IFERROR(__xludf.DUMMYFUNCTION("""COMPUTED_VALUE"""),"Mcdonalds app to get free fries.")</f>
        <v>Mcdonalds app to get free fries.</v>
      </c>
      <c r="C90" s="20" t="s">
        <v>1407</v>
      </c>
      <c r="D90" s="20" t="s">
        <v>1429</v>
      </c>
      <c r="E90" s="3" t="s">
        <v>977</v>
      </c>
      <c r="F90" s="28"/>
      <c r="G90" s="28"/>
      <c r="H90" s="12"/>
      <c r="I90" s="12"/>
      <c r="J90" s="12"/>
    </row>
    <row r="91">
      <c r="A91">
        <f>IFERROR(__xludf.DUMMYFUNCTION("""COMPUTED_VALUE"""),140.0)</f>
        <v>140</v>
      </c>
      <c r="B91" s="12" t="str">
        <f>IFERROR(__xludf.DUMMYFUNCTION("""COMPUTED_VALUE"""),"It was Facebook")</f>
        <v>It was Facebook</v>
      </c>
      <c r="C91" s="20" t="s">
        <v>1407</v>
      </c>
      <c r="D91" s="20" t="s">
        <v>1412</v>
      </c>
      <c r="E91" s="3" t="s">
        <v>187</v>
      </c>
      <c r="F91" s="28"/>
      <c r="G91" s="3"/>
      <c r="H91" s="12"/>
      <c r="I91" s="12"/>
      <c r="J91" s="12"/>
    </row>
    <row r="92">
      <c r="A92">
        <f>IFERROR(__xludf.DUMMYFUNCTION("""COMPUTED_VALUE"""),141.0)</f>
        <v>141</v>
      </c>
      <c r="B92" s="12" t="str">
        <f>IFERROR(__xludf.DUMMYFUNCTION("""COMPUTED_VALUE"""),"I was using a website called hideout.tv and used google to sign in.")</f>
        <v>I was using a website called hideout.tv and used google to sign in.</v>
      </c>
      <c r="C92" s="20" t="s">
        <v>1407</v>
      </c>
      <c r="D92" s="20" t="s">
        <v>1443</v>
      </c>
      <c r="E92" s="27" t="s">
        <v>1451</v>
      </c>
      <c r="F92" s="3"/>
      <c r="G92" s="3"/>
      <c r="H92" s="12"/>
      <c r="I92" s="12"/>
      <c r="J92" s="12"/>
    </row>
    <row r="93">
      <c r="A93">
        <f>IFERROR(__xludf.DUMMYFUNCTION("""COMPUTED_VALUE"""),142.0)</f>
        <v>142</v>
      </c>
      <c r="B93" s="12" t="str">
        <f>IFERROR(__xludf.DUMMYFUNCTION("""COMPUTED_VALUE"""),"Handshake")</f>
        <v>Handshake</v>
      </c>
      <c r="C93" s="20" t="s">
        <v>1407</v>
      </c>
      <c r="D93" s="20" t="s">
        <v>1417</v>
      </c>
      <c r="E93" s="3" t="s">
        <v>1470</v>
      </c>
      <c r="F93" s="3"/>
      <c r="G93" s="12"/>
      <c r="H93" s="12"/>
      <c r="I93" s="12"/>
      <c r="J93" s="12"/>
    </row>
    <row r="94">
      <c r="A94">
        <f>IFERROR(__xludf.DUMMYFUNCTION("""COMPUTED_VALUE"""),143.0)</f>
        <v>143</v>
      </c>
      <c r="B94" s="12" t="str">
        <f>IFERROR(__xludf.DUMMYFUNCTION("""COMPUTED_VALUE"""),"Instacart")</f>
        <v>Instacart</v>
      </c>
      <c r="C94" s="20" t="s">
        <v>1407</v>
      </c>
      <c r="D94" s="20" t="s">
        <v>1429</v>
      </c>
      <c r="E94" s="3" t="s">
        <v>1471</v>
      </c>
      <c r="F94" s="3"/>
      <c r="G94" s="12"/>
      <c r="H94" s="12"/>
      <c r="I94" s="12"/>
      <c r="J94" s="12"/>
    </row>
    <row r="95">
      <c r="A95">
        <f>IFERROR(__xludf.DUMMYFUNCTION("""COMPUTED_VALUE"""),146.0)</f>
        <v>146</v>
      </c>
      <c r="B95" s="12" t="str">
        <f>IFERROR(__xludf.DUMMYFUNCTION("""COMPUTED_VALUE"""),"A protein bar shopping website.")</f>
        <v>A protein bar shopping website.</v>
      </c>
      <c r="C95" s="20" t="s">
        <v>1407</v>
      </c>
      <c r="D95" s="20" t="s">
        <v>1408</v>
      </c>
      <c r="E95" s="3" t="s">
        <v>1409</v>
      </c>
      <c r="F95" s="3"/>
      <c r="G95" s="28"/>
      <c r="H95" s="12"/>
      <c r="I95" s="12"/>
      <c r="J95" s="12"/>
    </row>
    <row r="96">
      <c r="A96">
        <f>IFERROR(__xludf.DUMMYFUNCTION("""COMPUTED_VALUE"""),147.0)</f>
        <v>147</v>
      </c>
      <c r="B96" s="12" t="str">
        <f>IFERROR(__xludf.DUMMYFUNCTION("""COMPUTED_VALUE"""),"Clash Royale")</f>
        <v>Clash Royale</v>
      </c>
      <c r="C96" s="20" t="s">
        <v>1407</v>
      </c>
      <c r="D96" s="20" t="s">
        <v>1436</v>
      </c>
      <c r="E96" s="3" t="s">
        <v>1472</v>
      </c>
      <c r="F96" s="28"/>
      <c r="G96" s="28"/>
      <c r="H96" s="12"/>
      <c r="I96" s="12"/>
      <c r="J96" s="12"/>
    </row>
    <row r="97">
      <c r="A97">
        <f>IFERROR(__xludf.DUMMYFUNCTION("""COMPUTED_VALUE"""),148.0)</f>
        <v>148</v>
      </c>
      <c r="B97" s="12" t="str">
        <f>IFERROR(__xludf.DUMMYFUNCTION("""COMPUTED_VALUE"""),"Class Link")</f>
        <v>Class Link</v>
      </c>
      <c r="C97" s="20" t="s">
        <v>1407</v>
      </c>
      <c r="D97" s="20" t="s">
        <v>1423</v>
      </c>
      <c r="E97" s="3" t="s">
        <v>1473</v>
      </c>
      <c r="F97" s="28"/>
      <c r="G97" s="12"/>
      <c r="H97" s="12"/>
      <c r="I97" s="12"/>
      <c r="J97" s="12"/>
    </row>
    <row r="98">
      <c r="A98">
        <f>IFERROR(__xludf.DUMMYFUNCTION("""COMPUTED_VALUE"""),149.0)</f>
        <v>149</v>
      </c>
      <c r="B98" s="31" t="str">
        <f>IFERROR(__xludf.DUMMYFUNCTION("""COMPUTED_VALUE"""),"youtube.com")</f>
        <v>youtube.com</v>
      </c>
      <c r="C98" s="20" t="s">
        <v>1407</v>
      </c>
      <c r="D98" s="20" t="s">
        <v>1443</v>
      </c>
      <c r="E98" s="3" t="s">
        <v>228</v>
      </c>
      <c r="F98" s="3"/>
      <c r="G98" s="3"/>
      <c r="H98" s="12"/>
      <c r="I98" s="12"/>
      <c r="J98" s="12"/>
    </row>
    <row r="99">
      <c r="A99">
        <f>IFERROR(__xludf.DUMMYFUNCTION("""COMPUTED_VALUE"""),150.0)</f>
        <v>150</v>
      </c>
      <c r="B99" s="12" t="str">
        <f>IFERROR(__xludf.DUMMYFUNCTION("""COMPUTED_VALUE"""),"I used another (work) google account to sign into various software accounts at work. Most often, the Amplify ELA program and Zearn math program.")</f>
        <v>I used another (work) google account to sign into various software accounts at work. Most often, the Amplify ELA program and Zearn math program.</v>
      </c>
      <c r="C99" s="20" t="s">
        <v>1407</v>
      </c>
      <c r="D99" s="20" t="s">
        <v>1443</v>
      </c>
      <c r="E99" s="3" t="s">
        <v>1474</v>
      </c>
      <c r="F99" s="3" t="s">
        <v>1475</v>
      </c>
      <c r="G99" s="12"/>
      <c r="H99" s="12"/>
      <c r="I99" s="12"/>
      <c r="J99" s="12"/>
    </row>
    <row r="100">
      <c r="A100" s="32">
        <f>IFERROR(__xludf.DUMMYFUNCTION("""COMPUTED_VALUE"""),151.0)</f>
        <v>151</v>
      </c>
      <c r="B100" s="33" t="str">
        <f>IFERROR(__xludf.DUMMYFUNCTION("""COMPUTED_VALUE"""),"Do not remember. I use this so frequently because it is very convenient")</f>
        <v>Do not remember. I use this so frequently because it is very convenient</v>
      </c>
      <c r="C100" s="20" t="s">
        <v>1407</v>
      </c>
      <c r="D100" s="20" t="s">
        <v>1431</v>
      </c>
      <c r="E100" s="3" t="s">
        <v>1432</v>
      </c>
      <c r="F100" s="3"/>
      <c r="G100" s="12"/>
      <c r="H100" s="12"/>
      <c r="I100" s="12"/>
      <c r="J100" s="12"/>
    </row>
    <row r="101">
      <c r="A101" s="32">
        <f>IFERROR(__xludf.DUMMYFUNCTION("""COMPUTED_VALUE"""),152.0)</f>
        <v>152</v>
      </c>
      <c r="B101" s="33" t="str">
        <f>IFERROR(__xludf.DUMMYFUNCTION("""COMPUTED_VALUE"""),"I use Google Account sign in on most platforms that make it available. It's hard to remember which ones I use it on specifically (such as the last time I used it), because it is so ubiquitous.")</f>
        <v>I use Google Account sign in on most platforms that make it available. It's hard to remember which ones I use it on specifically (such as the last time I used it), because it is so ubiquitous.</v>
      </c>
      <c r="C101" s="20" t="s">
        <v>1407</v>
      </c>
      <c r="D101" s="20" t="s">
        <v>1431</v>
      </c>
      <c r="E101" s="3" t="s">
        <v>1432</v>
      </c>
      <c r="F101" s="3"/>
      <c r="G101" s="3"/>
      <c r="H101" s="12"/>
      <c r="I101" s="12"/>
      <c r="J101" s="12"/>
    </row>
    <row r="102">
      <c r="A102">
        <f>IFERROR(__xludf.DUMMYFUNCTION("""COMPUTED_VALUE"""),154.0)</f>
        <v>154</v>
      </c>
      <c r="B102" s="12" t="str">
        <f>IFERROR(__xludf.DUMMYFUNCTION("""COMPUTED_VALUE"""),"Canva")</f>
        <v>Canva</v>
      </c>
      <c r="C102" s="20" t="s">
        <v>1407</v>
      </c>
      <c r="D102" s="20" t="s">
        <v>1476</v>
      </c>
      <c r="E102" s="3" t="s">
        <v>1477</v>
      </c>
      <c r="F102" s="3"/>
      <c r="G102" s="28"/>
      <c r="H102" s="12"/>
      <c r="I102" s="12"/>
      <c r="J102" s="12"/>
    </row>
    <row r="103">
      <c r="A103">
        <f>IFERROR(__xludf.DUMMYFUNCTION("""COMPUTED_VALUE"""),155.0)</f>
        <v>155</v>
      </c>
      <c r="B103" s="12" t="str">
        <f>IFERROR(__xludf.DUMMYFUNCTION("""COMPUTED_VALUE"""),"I was registering on a website to buy some lawn mower parts. I don't remember the exact website name.")</f>
        <v>I was registering on a website to buy some lawn mower parts. I don't remember the exact website name.</v>
      </c>
      <c r="C103" s="20" t="s">
        <v>1407</v>
      </c>
      <c r="D103" s="20" t="s">
        <v>1408</v>
      </c>
      <c r="E103" s="3" t="s">
        <v>1409</v>
      </c>
      <c r="F103" s="28"/>
      <c r="G103" s="12"/>
      <c r="H103" s="12"/>
      <c r="I103" s="12"/>
      <c r="J103" s="12"/>
    </row>
    <row r="104">
      <c r="A104">
        <f>IFERROR(__xludf.DUMMYFUNCTION("""COMPUTED_VALUE"""),156.0)</f>
        <v>156</v>
      </c>
      <c r="B104" s="12" t="str">
        <f>IFERROR(__xludf.DUMMYFUNCTION("""COMPUTED_VALUE"""),"I think it was some sort of online service, I don't remember exactly for what though.")</f>
        <v>I think it was some sort of online service, I don't remember exactly for what though.</v>
      </c>
      <c r="C104" s="20" t="s">
        <v>1407</v>
      </c>
      <c r="D104" s="20" t="s">
        <v>1431</v>
      </c>
      <c r="E104" s="3" t="s">
        <v>1411</v>
      </c>
      <c r="F104" s="28"/>
      <c r="G104" s="12"/>
      <c r="H104" s="12"/>
      <c r="I104" s="12"/>
      <c r="J104" s="12"/>
    </row>
    <row r="105">
      <c r="A105">
        <f>IFERROR(__xludf.DUMMYFUNCTION("""COMPUTED_VALUE"""),157.0)</f>
        <v>157</v>
      </c>
      <c r="B105" s="12" t="str">
        <f>IFERROR(__xludf.DUMMYFUNCTION("""COMPUTED_VALUE"""),"Instagram")</f>
        <v>Instagram</v>
      </c>
      <c r="C105" s="20" t="s">
        <v>1407</v>
      </c>
      <c r="D105" s="20" t="s">
        <v>1412</v>
      </c>
      <c r="E105" s="3" t="s">
        <v>1478</v>
      </c>
      <c r="F105" s="3"/>
      <c r="G105" s="3"/>
      <c r="H105" s="12"/>
      <c r="I105" s="12"/>
      <c r="J105" s="12"/>
    </row>
    <row r="106">
      <c r="A106">
        <f>IFERROR(__xludf.DUMMYFUNCTION("""COMPUTED_VALUE"""),158.0)</f>
        <v>158</v>
      </c>
      <c r="B106" s="12" t="str">
        <f>IFERROR(__xludf.DUMMYFUNCTION("""COMPUTED_VALUE"""),"I think it was some shopping app, possibly Poskmark?")</f>
        <v>I think it was some shopping app, possibly Poskmark?</v>
      </c>
      <c r="C106" s="20" t="s">
        <v>1407</v>
      </c>
      <c r="D106" s="20" t="s">
        <v>1408</v>
      </c>
      <c r="E106" s="3" t="s">
        <v>1479</v>
      </c>
      <c r="G106" s="12"/>
      <c r="H106" s="12"/>
      <c r="I106" s="12"/>
      <c r="J106" s="12"/>
    </row>
    <row r="107">
      <c r="A107">
        <f>IFERROR(__xludf.DUMMYFUNCTION("""COMPUTED_VALUE"""),159.0)</f>
        <v>159</v>
      </c>
      <c r="B107" s="12" t="str">
        <f>IFERROR(__xludf.DUMMYFUNCTION("""COMPUTED_VALUE"""),"A restaurant...But I can't remember which one it was.")</f>
        <v>A restaurant...But I can't remember which one it was.</v>
      </c>
      <c r="C107" s="20" t="s">
        <v>1407</v>
      </c>
      <c r="D107" s="20" t="s">
        <v>1429</v>
      </c>
      <c r="E107" s="3" t="s">
        <v>1452</v>
      </c>
      <c r="F107" s="3"/>
      <c r="G107" s="3"/>
      <c r="H107" s="12"/>
      <c r="I107" s="12"/>
      <c r="J107" s="12"/>
    </row>
    <row r="108">
      <c r="A108">
        <f>IFERROR(__xludf.DUMMYFUNCTION("""COMPUTED_VALUE"""),160.0)</f>
        <v>160</v>
      </c>
      <c r="B108" s="12" t="str">
        <f>IFERROR(__xludf.DUMMYFUNCTION("""COMPUTED_VALUE"""),"Last one I recall was Doordash.")</f>
        <v>Last one I recall was Doordash.</v>
      </c>
      <c r="C108" s="20" t="s">
        <v>1407</v>
      </c>
      <c r="D108" s="20" t="s">
        <v>1429</v>
      </c>
      <c r="E108" s="3" t="s">
        <v>1430</v>
      </c>
      <c r="F108" s="3"/>
      <c r="G108" s="3"/>
      <c r="H108" s="12"/>
      <c r="I108" s="12"/>
      <c r="J108" s="12"/>
    </row>
    <row r="109">
      <c r="A109">
        <f>IFERROR(__xludf.DUMMYFUNCTION("""COMPUTED_VALUE"""),162.0)</f>
        <v>162</v>
      </c>
      <c r="B109" s="12" t="str">
        <f>IFERROR(__xludf.DUMMYFUNCTION("""COMPUTED_VALUE"""),"I think it was for my son's school , some sort of educational app.")</f>
        <v>I think it was for my son's school , some sort of educational app.</v>
      </c>
      <c r="C109" s="20" t="s">
        <v>1407</v>
      </c>
      <c r="D109" s="20" t="s">
        <v>1423</v>
      </c>
      <c r="E109" s="3" t="s">
        <v>1480</v>
      </c>
      <c r="F109" s="3"/>
      <c r="G109" s="12"/>
      <c r="H109" s="12"/>
      <c r="I109" s="12"/>
      <c r="J109" s="12"/>
    </row>
    <row r="110">
      <c r="A110">
        <f>IFERROR(__xludf.DUMMYFUNCTION("""COMPUTED_VALUE"""),163.0)</f>
        <v>163</v>
      </c>
      <c r="B110" s="12" t="str">
        <f>IFERROR(__xludf.DUMMYFUNCTION("""COMPUTED_VALUE"""),"I used it to sign into a website like Yelp to look at reviews.")</f>
        <v>I used it to sign into a website like Yelp to look at reviews.</v>
      </c>
      <c r="C110" s="20" t="s">
        <v>1407</v>
      </c>
      <c r="D110" s="20" t="s">
        <v>1429</v>
      </c>
      <c r="E110" s="3" t="s">
        <v>1481</v>
      </c>
      <c r="F110" s="3"/>
      <c r="G110" s="3"/>
      <c r="H110" s="12"/>
      <c r="I110" s="12"/>
      <c r="J110" s="12"/>
    </row>
    <row r="111">
      <c r="A111">
        <f>IFERROR(__xludf.DUMMYFUNCTION("""COMPUTED_VALUE"""),164.0)</f>
        <v>164</v>
      </c>
      <c r="B111" s="12" t="str">
        <f>IFERROR(__xludf.DUMMYFUNCTION("""COMPUTED_VALUE"""),"Ebay")</f>
        <v>Ebay</v>
      </c>
      <c r="C111" s="20" t="s">
        <v>1407</v>
      </c>
      <c r="D111" s="20" t="s">
        <v>1408</v>
      </c>
      <c r="E111" s="26" t="s">
        <v>1482</v>
      </c>
      <c r="F111" s="3"/>
      <c r="G111" s="3"/>
      <c r="H111" s="12"/>
      <c r="I111" s="12"/>
      <c r="J111" s="12"/>
    </row>
    <row r="112">
      <c r="A112">
        <f>IFERROR(__xludf.DUMMYFUNCTION("""COMPUTED_VALUE"""),165.0)</f>
        <v>165</v>
      </c>
      <c r="B112" s="12"/>
      <c r="E112" s="3"/>
      <c r="F112" s="3"/>
      <c r="G112" s="3"/>
      <c r="H112" s="12"/>
      <c r="I112" s="12"/>
      <c r="J112" s="12"/>
    </row>
    <row r="113">
      <c r="A113">
        <f>IFERROR(__xludf.DUMMYFUNCTION("""COMPUTED_VALUE"""),166.0)</f>
        <v>166</v>
      </c>
      <c r="B113" s="12" t="str">
        <f>IFERROR(__xludf.DUMMYFUNCTION("""COMPUTED_VALUE"""),"I use it to sign in to google suite software.")</f>
        <v>I use it to sign in to google suite software.</v>
      </c>
      <c r="C113" s="20" t="s">
        <v>1407</v>
      </c>
      <c r="D113" s="20" t="s">
        <v>1433</v>
      </c>
      <c r="E113" s="3" t="s">
        <v>1483</v>
      </c>
      <c r="F113" s="3"/>
      <c r="G113" s="12"/>
      <c r="H113" s="12"/>
      <c r="I113" s="12"/>
      <c r="J113" s="12"/>
    </row>
    <row r="114">
      <c r="A114">
        <f>IFERROR(__xludf.DUMMYFUNCTION("""COMPUTED_VALUE"""),167.0)</f>
        <v>167</v>
      </c>
      <c r="B114" s="12"/>
      <c r="E114" s="3"/>
      <c r="F114" s="3"/>
      <c r="G114" s="3"/>
      <c r="H114" s="12"/>
      <c r="I114" s="12"/>
      <c r="J114" s="12"/>
    </row>
    <row r="115">
      <c r="A115">
        <f>IFERROR(__xludf.DUMMYFUNCTION("""COMPUTED_VALUE"""),168.0)</f>
        <v>168</v>
      </c>
      <c r="B115" s="12" t="str">
        <f>IFERROR(__xludf.DUMMYFUNCTION("""COMPUTED_VALUE"""),"Adobe")</f>
        <v>Adobe</v>
      </c>
      <c r="C115" s="20" t="s">
        <v>1407</v>
      </c>
      <c r="D115" s="20" t="s">
        <v>1433</v>
      </c>
      <c r="E115" s="3" t="s">
        <v>1484</v>
      </c>
      <c r="F115" s="12"/>
      <c r="G115" s="12"/>
      <c r="H115" s="12"/>
      <c r="I115" s="12"/>
      <c r="J115" s="12"/>
    </row>
    <row r="116">
      <c r="A116">
        <f>IFERROR(__xludf.DUMMYFUNCTION("""COMPUTED_VALUE"""),170.0)</f>
        <v>170</v>
      </c>
      <c r="B116" s="12" t="str">
        <f>IFERROR(__xludf.DUMMYFUNCTION("""COMPUTED_VALUE"""),"I believe I used it to sign into an online app like Canva for making designs for webpages/graphic design.")</f>
        <v>I believe I used it to sign into an online app like Canva for making designs for webpages/graphic design.</v>
      </c>
      <c r="C116" s="20" t="s">
        <v>1407</v>
      </c>
      <c r="D116" s="20" t="s">
        <v>1476</v>
      </c>
      <c r="E116" s="3" t="s">
        <v>1477</v>
      </c>
      <c r="F116" s="3"/>
      <c r="G116" s="3"/>
      <c r="H116" s="12"/>
      <c r="I116" s="12"/>
      <c r="J116" s="12"/>
    </row>
    <row r="117">
      <c r="A117">
        <f>IFERROR(__xludf.DUMMYFUNCTION("""COMPUTED_VALUE"""),171.0)</f>
        <v>171</v>
      </c>
      <c r="B117" s="12" t="str">
        <f>IFERROR(__xludf.DUMMYFUNCTION("""COMPUTED_VALUE"""),"simplifi")</f>
        <v>simplifi</v>
      </c>
      <c r="C117" s="20" t="s">
        <v>1407</v>
      </c>
      <c r="D117" s="20" t="s">
        <v>1416</v>
      </c>
      <c r="E117" s="3" t="s">
        <v>397</v>
      </c>
      <c r="F117" s="3"/>
      <c r="G117" s="12"/>
      <c r="H117" s="12"/>
      <c r="I117" s="12"/>
      <c r="J117" s="12"/>
    </row>
    <row r="118">
      <c r="A118">
        <f>IFERROR(__xludf.DUMMYFUNCTION("""COMPUTED_VALUE"""),172.0)</f>
        <v>172</v>
      </c>
      <c r="B118" s="12" t="str">
        <f>IFERROR(__xludf.DUMMYFUNCTION("""COMPUTED_VALUE"""),"I don't remember what the last time was, but I usually use this service for log ins that I deem unimportant in terms of security.")</f>
        <v>I don't remember what the last time was, but I usually use this service for log ins that I deem unimportant in terms of security.</v>
      </c>
      <c r="C118" s="20" t="s">
        <v>1407</v>
      </c>
      <c r="D118" s="20" t="s">
        <v>1431</v>
      </c>
      <c r="E118" s="3" t="s">
        <v>1432</v>
      </c>
      <c r="F118" s="3"/>
      <c r="G118" s="12"/>
      <c r="H118" s="12"/>
      <c r="I118" s="12"/>
      <c r="J118" s="12"/>
    </row>
    <row r="119">
      <c r="A119">
        <f>IFERROR(__xludf.DUMMYFUNCTION("""COMPUTED_VALUE"""),174.0)</f>
        <v>174</v>
      </c>
      <c r="B119" s="12" t="str">
        <f>IFERROR(__xludf.DUMMYFUNCTION("""COMPUTED_VALUE"""),"I think the last time I used a Google Account to sign in was Lumin PDF, a tool that you can use to edit and view PDFs.")</f>
        <v>I think the last time I used a Google Account to sign in was Lumin PDF, a tool that you can use to edit and view PDFs.</v>
      </c>
      <c r="C119" s="20" t="s">
        <v>1407</v>
      </c>
      <c r="D119" s="20" t="s">
        <v>1433</v>
      </c>
      <c r="E119" s="3" t="s">
        <v>1485</v>
      </c>
      <c r="F119" s="3"/>
      <c r="G119" s="12"/>
      <c r="H119" s="12"/>
      <c r="I119" s="12"/>
      <c r="J119" s="12"/>
    </row>
    <row r="120">
      <c r="A120">
        <f>IFERROR(__xludf.DUMMYFUNCTION("""COMPUTED_VALUE"""),175.0)</f>
        <v>175</v>
      </c>
      <c r="B120" s="12"/>
      <c r="E120" s="3"/>
      <c r="F120" s="12"/>
      <c r="G120" s="12"/>
      <c r="H120" s="12"/>
      <c r="I120" s="12"/>
      <c r="J120" s="12"/>
    </row>
    <row r="121">
      <c r="A121">
        <f>IFERROR(__xludf.DUMMYFUNCTION("""COMPUTED_VALUE"""),177.0)</f>
        <v>177</v>
      </c>
      <c r="B121" s="12" t="str">
        <f>IFERROR(__xludf.DUMMYFUNCTION("""COMPUTED_VALUE"""),"It was for a communication app for private messaging with my doctor's office.")</f>
        <v>It was for a communication app for private messaging with my doctor's office.</v>
      </c>
      <c r="C121" s="20" t="s">
        <v>1407</v>
      </c>
      <c r="D121" s="20" t="s">
        <v>1442</v>
      </c>
      <c r="E121" s="3" t="s">
        <v>1486</v>
      </c>
      <c r="F121" s="3"/>
      <c r="G121" s="3"/>
      <c r="H121" s="12"/>
      <c r="I121" s="12"/>
      <c r="J121" s="12"/>
    </row>
    <row r="122">
      <c r="A122">
        <f>IFERROR(__xludf.DUMMYFUNCTION("""COMPUTED_VALUE"""),179.0)</f>
        <v>179</v>
      </c>
      <c r="B122" s="12" t="str">
        <f>IFERROR(__xludf.DUMMYFUNCTION("""COMPUTED_VALUE"""),"I use the Google Account to sign into lots of things, I don't remember offhand what the last one was. I also keep most of my services signed in, only having to resubmit login forms when I clear browsing data.")</f>
        <v>I use the Google Account to sign into lots of things, I don't remember offhand what the last one was. I also keep most of my services signed in, only having to resubmit login forms when I clear browsing data.</v>
      </c>
      <c r="C122" s="20" t="s">
        <v>1407</v>
      </c>
      <c r="D122" s="20" t="s">
        <v>1431</v>
      </c>
      <c r="E122" s="3" t="s">
        <v>1432</v>
      </c>
      <c r="F122" s="3"/>
      <c r="G122" s="3"/>
      <c r="H122" s="12"/>
      <c r="I122" s="12"/>
      <c r="J122" s="12"/>
    </row>
    <row r="123">
      <c r="A123">
        <f>IFERROR(__xludf.DUMMYFUNCTION("""COMPUTED_VALUE"""),180.0)</f>
        <v>180</v>
      </c>
      <c r="B123" s="12" t="str">
        <f>IFERROR(__xludf.DUMMYFUNCTION("""COMPUTED_VALUE"""),"I honestly can't remember precisely. I think it might have been Slack or Bitbucket for work.")</f>
        <v>I honestly can't remember precisely. I think it might have been Slack or Bitbucket for work.</v>
      </c>
      <c r="C123" s="20" t="s">
        <v>1407</v>
      </c>
      <c r="D123" s="20" t="s">
        <v>1417</v>
      </c>
      <c r="E123" s="3" t="s">
        <v>1487</v>
      </c>
      <c r="F123" s="3" t="s">
        <v>1488</v>
      </c>
      <c r="G123" s="3"/>
      <c r="H123" s="12"/>
      <c r="I123" s="12"/>
      <c r="J123" s="12"/>
    </row>
    <row r="124">
      <c r="A124">
        <f>IFERROR(__xludf.DUMMYFUNCTION("""COMPUTED_VALUE"""),182.0)</f>
        <v>182</v>
      </c>
      <c r="B124" s="12" t="str">
        <f>IFERROR(__xludf.DUMMYFUNCTION("""COMPUTED_VALUE"""),"Indeed")</f>
        <v>Indeed</v>
      </c>
      <c r="C124" s="20" t="s">
        <v>1407</v>
      </c>
      <c r="D124" s="20" t="s">
        <v>1417</v>
      </c>
      <c r="E124" s="3" t="s">
        <v>1427</v>
      </c>
      <c r="F124" s="12"/>
      <c r="G124" s="12"/>
      <c r="H124" s="12"/>
      <c r="I124" s="12"/>
      <c r="J124" s="12"/>
    </row>
    <row r="125">
      <c r="A125">
        <f>IFERROR(__xludf.DUMMYFUNCTION("""COMPUTED_VALUE"""),184.0)</f>
        <v>184</v>
      </c>
      <c r="B125" s="12"/>
      <c r="E125" s="3"/>
      <c r="F125" s="3"/>
      <c r="G125" s="12"/>
      <c r="H125" s="12"/>
      <c r="I125" s="12"/>
      <c r="J125" s="12"/>
    </row>
    <row r="126">
      <c r="A126">
        <f>IFERROR(__xludf.DUMMYFUNCTION("""COMPUTED_VALUE"""),186.0)</f>
        <v>186</v>
      </c>
      <c r="B126" s="12" t="str">
        <f>IFERROR(__xludf.DUMMYFUNCTION("""COMPUTED_VALUE"""),"Amazon")</f>
        <v>Amazon</v>
      </c>
      <c r="C126" s="20" t="s">
        <v>1407</v>
      </c>
      <c r="D126" s="20" t="s">
        <v>1408</v>
      </c>
      <c r="E126" s="3" t="s">
        <v>64</v>
      </c>
      <c r="F126" s="3"/>
      <c r="G126" s="12"/>
      <c r="H126" s="12"/>
      <c r="I126" s="12"/>
      <c r="J126" s="12"/>
    </row>
    <row r="127">
      <c r="A127">
        <f>IFERROR(__xludf.DUMMYFUNCTION("""COMPUTED_VALUE"""),187.0)</f>
        <v>187</v>
      </c>
      <c r="B127" s="12" t="str">
        <f>IFERROR(__xludf.DUMMYFUNCTION("""COMPUTED_VALUE"""),"I used my Google account to sign into the McDonald's app.")</f>
        <v>I used my Google account to sign into the McDonald's app.</v>
      </c>
      <c r="C127" s="20" t="s">
        <v>1407</v>
      </c>
      <c r="D127" s="20" t="s">
        <v>1429</v>
      </c>
      <c r="E127" s="3" t="s">
        <v>977</v>
      </c>
      <c r="F127" s="12"/>
      <c r="G127" s="12"/>
      <c r="H127" s="12"/>
      <c r="I127" s="12"/>
      <c r="J127" s="12"/>
    </row>
    <row r="128">
      <c r="A128">
        <f>IFERROR(__xludf.DUMMYFUNCTION("""COMPUTED_VALUE"""),188.0)</f>
        <v>188</v>
      </c>
      <c r="B128" s="12" t="str">
        <f>IFERROR(__xludf.DUMMYFUNCTION("""COMPUTED_VALUE"""),"Tynker")</f>
        <v>Tynker</v>
      </c>
      <c r="C128" s="20" t="s">
        <v>1407</v>
      </c>
      <c r="D128" s="20" t="s">
        <v>1423</v>
      </c>
      <c r="E128" s="3" t="s">
        <v>1489</v>
      </c>
      <c r="F128" s="3"/>
      <c r="G128" s="3"/>
      <c r="H128" s="12"/>
      <c r="I128" s="12"/>
      <c r="J128" s="12"/>
    </row>
    <row r="129">
      <c r="A129">
        <f>IFERROR(__xludf.DUMMYFUNCTION("""COMPUTED_VALUE"""),189.0)</f>
        <v>189</v>
      </c>
      <c r="B129" s="31" t="str">
        <f>IFERROR(__xludf.DUMMYFUNCTION("""COMPUTED_VALUE"""),"Indeed.com")</f>
        <v>Indeed.com</v>
      </c>
      <c r="C129" s="20" t="s">
        <v>1407</v>
      </c>
      <c r="D129" s="20" t="s">
        <v>1417</v>
      </c>
      <c r="E129" s="3" t="s">
        <v>1427</v>
      </c>
      <c r="F129" s="3"/>
      <c r="G129" s="12"/>
      <c r="H129" s="12"/>
      <c r="I129" s="12"/>
      <c r="J129" s="12"/>
    </row>
    <row r="130">
      <c r="A130">
        <f>IFERROR(__xludf.DUMMYFUNCTION("""COMPUTED_VALUE"""),191.0)</f>
        <v>191</v>
      </c>
      <c r="B130" s="12" t="str">
        <f>IFERROR(__xludf.DUMMYFUNCTION("""COMPUTED_VALUE"""),"Facebook")</f>
        <v>Facebook</v>
      </c>
      <c r="C130" s="20" t="s">
        <v>1407</v>
      </c>
      <c r="D130" s="20" t="s">
        <v>1412</v>
      </c>
      <c r="E130" s="3" t="s">
        <v>187</v>
      </c>
      <c r="F130" s="3"/>
      <c r="G130" s="3"/>
      <c r="H130" s="12"/>
      <c r="I130" s="12"/>
      <c r="J130" s="12"/>
    </row>
    <row r="131">
      <c r="A131">
        <f>IFERROR(__xludf.DUMMYFUNCTION("""COMPUTED_VALUE"""),192.0)</f>
        <v>192</v>
      </c>
      <c r="B131" s="12" t="str">
        <f>IFERROR(__xludf.DUMMYFUNCTION("""COMPUTED_VALUE"""),"Hubspot")</f>
        <v>Hubspot</v>
      </c>
      <c r="C131" s="20" t="s">
        <v>1407</v>
      </c>
      <c r="D131" s="20" t="s">
        <v>1417</v>
      </c>
      <c r="E131" s="3" t="s">
        <v>1490</v>
      </c>
      <c r="F131" s="3"/>
      <c r="G131" s="12"/>
      <c r="H131" s="12"/>
      <c r="I131" s="12"/>
      <c r="J131" s="12"/>
    </row>
    <row r="132">
      <c r="A132">
        <f>IFERROR(__xludf.DUMMYFUNCTION("""COMPUTED_VALUE"""),194.0)</f>
        <v>194</v>
      </c>
      <c r="B132" s="12" t="str">
        <f>IFERROR(__xludf.DUMMYFUNCTION("""COMPUTED_VALUE"""),"Killi")</f>
        <v>Killi</v>
      </c>
      <c r="C132" s="20" t="s">
        <v>1407</v>
      </c>
      <c r="D132" s="20" t="s">
        <v>1414</v>
      </c>
      <c r="E132" s="3" t="s">
        <v>1491</v>
      </c>
      <c r="F132" s="3"/>
      <c r="G132" s="12"/>
      <c r="H132" s="12"/>
      <c r="I132" s="12"/>
      <c r="J132" s="12"/>
    </row>
    <row r="133">
      <c r="A133">
        <f>IFERROR(__xludf.DUMMYFUNCTION("""COMPUTED_VALUE"""),195.0)</f>
        <v>195</v>
      </c>
      <c r="B133" s="12" t="str">
        <f>IFERROR(__xludf.DUMMYFUNCTION("""COMPUTED_VALUE"""),"Indeed")</f>
        <v>Indeed</v>
      </c>
      <c r="C133" s="20" t="s">
        <v>1407</v>
      </c>
      <c r="D133" s="20" t="s">
        <v>1417</v>
      </c>
      <c r="E133" s="3" t="s">
        <v>1427</v>
      </c>
      <c r="F133" s="3"/>
      <c r="G133" s="12"/>
      <c r="H133" s="12"/>
      <c r="I133" s="12"/>
      <c r="J133" s="12"/>
    </row>
    <row r="134">
      <c r="A134">
        <f>IFERROR(__xludf.DUMMYFUNCTION("""COMPUTED_VALUE"""),198.0)</f>
        <v>198</v>
      </c>
      <c r="B134" s="12" t="str">
        <f>IFERROR(__xludf.DUMMYFUNCTION("""COMPUTED_VALUE"""),"This survey")</f>
        <v>This survey</v>
      </c>
      <c r="C134" s="20" t="s">
        <v>1407</v>
      </c>
      <c r="D134" s="20" t="s">
        <v>1463</v>
      </c>
      <c r="E134" s="3" t="s">
        <v>1464</v>
      </c>
      <c r="F134" s="3"/>
      <c r="G134" s="3"/>
      <c r="H134" s="12"/>
      <c r="I134" s="12"/>
      <c r="J134" s="12"/>
    </row>
    <row r="135">
      <c r="A135">
        <f>IFERROR(__xludf.DUMMYFUNCTION("""COMPUTED_VALUE"""),199.0)</f>
        <v>199</v>
      </c>
      <c r="B135" s="12" t="str">
        <f>IFERROR(__xludf.DUMMYFUNCTION("""COMPUTED_VALUE"""),"Lumen to edit pdfs")</f>
        <v>Lumen to edit pdfs</v>
      </c>
      <c r="C135" s="20" t="s">
        <v>1407</v>
      </c>
      <c r="D135" s="20" t="s">
        <v>1433</v>
      </c>
      <c r="E135" s="3" t="s">
        <v>1485</v>
      </c>
      <c r="F135" s="3"/>
      <c r="G135" s="12"/>
      <c r="H135" s="12"/>
      <c r="I135" s="12"/>
      <c r="J135" s="12"/>
    </row>
    <row r="136">
      <c r="A136">
        <f>IFERROR(__xludf.DUMMYFUNCTION("""COMPUTED_VALUE"""),200.0)</f>
        <v>200</v>
      </c>
      <c r="B136" s="12" t="str">
        <f>IFERROR(__xludf.DUMMYFUNCTION("""COMPUTED_VALUE"""),"I think it was for a food delivery app")</f>
        <v>I think it was for a food delivery app</v>
      </c>
      <c r="C136" s="20" t="s">
        <v>1407</v>
      </c>
      <c r="D136" s="20" t="s">
        <v>1429</v>
      </c>
      <c r="E136" s="3" t="s">
        <v>1492</v>
      </c>
      <c r="F136" s="3"/>
      <c r="G136" s="3"/>
      <c r="H136" s="12"/>
      <c r="I136" s="12"/>
      <c r="J136" s="12"/>
    </row>
    <row r="137">
      <c r="A137">
        <f>IFERROR(__xludf.DUMMYFUNCTION("""COMPUTED_VALUE"""),201.0)</f>
        <v>201</v>
      </c>
      <c r="B137" s="12" t="str">
        <f>IFERROR(__xludf.DUMMYFUNCTION("""COMPUTED_VALUE"""),"I think I did it for another survey app that was using my email.")</f>
        <v>I think I did it for another survey app that was using my email.</v>
      </c>
      <c r="C137" s="20" t="s">
        <v>1407</v>
      </c>
      <c r="D137" s="20" t="s">
        <v>1463</v>
      </c>
      <c r="E137" s="3" t="s">
        <v>1493</v>
      </c>
      <c r="F137" s="3"/>
      <c r="G137" s="12"/>
      <c r="H137" s="12"/>
      <c r="I137" s="12"/>
      <c r="J137" s="12"/>
    </row>
    <row r="138">
      <c r="A138">
        <f>IFERROR(__xludf.DUMMYFUNCTION("""COMPUTED_VALUE"""),202.0)</f>
        <v>202</v>
      </c>
      <c r="B138" s="12" t="str">
        <f>IFERROR(__xludf.DUMMYFUNCTION("""COMPUTED_VALUE"""),"Printify, an on-demand printing company.")</f>
        <v>Printify, an on-demand printing company.</v>
      </c>
      <c r="C138" s="20" t="s">
        <v>1407</v>
      </c>
      <c r="D138" s="20" t="s">
        <v>1417</v>
      </c>
      <c r="E138" s="3" t="s">
        <v>1494</v>
      </c>
      <c r="F138" s="3"/>
      <c r="G138" s="3"/>
      <c r="H138" s="12"/>
      <c r="I138" s="12"/>
      <c r="J138" s="12"/>
    </row>
    <row r="139">
      <c r="A139">
        <f>IFERROR(__xludf.DUMMYFUNCTION("""COMPUTED_VALUE"""),203.0)</f>
        <v>203</v>
      </c>
      <c r="B139" s="12" t="str">
        <f>IFERROR(__xludf.DUMMYFUNCTION("""COMPUTED_VALUE"""),"Linus Tech Tips forum.")</f>
        <v>Linus Tech Tips forum.</v>
      </c>
      <c r="C139" s="20" t="s">
        <v>1407</v>
      </c>
      <c r="D139" s="20" t="s">
        <v>1412</v>
      </c>
      <c r="E139" s="3" t="s">
        <v>1450</v>
      </c>
      <c r="F139" s="3"/>
      <c r="G139" s="3"/>
      <c r="H139" s="12"/>
      <c r="I139" s="12"/>
      <c r="J139" s="12"/>
    </row>
    <row r="140">
      <c r="A140">
        <f>IFERROR(__xludf.DUMMYFUNCTION("""COMPUTED_VALUE"""),204.0)</f>
        <v>204</v>
      </c>
      <c r="B140" s="12" t="str">
        <f>IFERROR(__xludf.DUMMYFUNCTION("""COMPUTED_VALUE"""),"I believe I used it to sign up for a website to make a restaurant reservation")</f>
        <v>I believe I used it to sign up for a website to make a restaurant reservation</v>
      </c>
      <c r="C140" s="20" t="s">
        <v>1407</v>
      </c>
      <c r="D140" s="20" t="s">
        <v>1429</v>
      </c>
      <c r="E140" s="3" t="s">
        <v>1452</v>
      </c>
      <c r="F140" s="3"/>
      <c r="G140" s="3"/>
      <c r="H140" s="12"/>
      <c r="I140" s="12"/>
      <c r="J140" s="12"/>
    </row>
    <row r="141">
      <c r="A141">
        <f>IFERROR(__xludf.DUMMYFUNCTION("""COMPUTED_VALUE"""),207.0)</f>
        <v>207</v>
      </c>
      <c r="B141" s="12" t="str">
        <f>IFERROR(__xludf.DUMMYFUNCTION("""COMPUTED_VALUE"""),"youtube")</f>
        <v>youtube</v>
      </c>
      <c r="C141" s="20" t="s">
        <v>1407</v>
      </c>
      <c r="D141" s="20" t="s">
        <v>1443</v>
      </c>
      <c r="E141" s="3" t="s">
        <v>228</v>
      </c>
      <c r="F141" s="3"/>
      <c r="G141" s="12"/>
      <c r="H141" s="12"/>
      <c r="I141" s="12"/>
      <c r="J141" s="12"/>
    </row>
    <row r="142">
      <c r="A142">
        <f>IFERROR(__xludf.DUMMYFUNCTION("""COMPUTED_VALUE"""),208.0)</f>
        <v>208</v>
      </c>
      <c r="B142" s="12" t="str">
        <f>IFERROR(__xludf.DUMMYFUNCTION("""COMPUTED_VALUE"""),"The reedsy website")</f>
        <v>The reedsy website</v>
      </c>
      <c r="C142" s="20" t="s">
        <v>1407</v>
      </c>
      <c r="D142" s="20" t="s">
        <v>1440</v>
      </c>
      <c r="E142" s="3" t="s">
        <v>1495</v>
      </c>
      <c r="F142" s="3"/>
      <c r="G142" s="12"/>
      <c r="H142" s="12"/>
      <c r="I142" s="12"/>
      <c r="J142" s="12"/>
    </row>
    <row r="143">
      <c r="A143">
        <f>IFERROR(__xludf.DUMMYFUNCTION("""COMPUTED_VALUE"""),209.0)</f>
        <v>209</v>
      </c>
      <c r="B143" s="12" t="str">
        <f>IFERROR(__xludf.DUMMYFUNCTION("""COMPUTED_VALUE"""),"McDonalds")</f>
        <v>McDonalds</v>
      </c>
      <c r="C143" s="20" t="s">
        <v>1407</v>
      </c>
      <c r="D143" s="20" t="s">
        <v>1429</v>
      </c>
      <c r="E143" s="3" t="s">
        <v>977</v>
      </c>
      <c r="F143" s="3"/>
      <c r="G143" s="3"/>
      <c r="H143" s="12"/>
      <c r="I143" s="12"/>
      <c r="J143" s="12"/>
    </row>
    <row r="144">
      <c r="A144">
        <f>IFERROR(__xludf.DUMMYFUNCTION("""COMPUTED_VALUE"""),210.0)</f>
        <v>210</v>
      </c>
      <c r="B144" s="12" t="str">
        <f>IFERROR(__xludf.DUMMYFUNCTION("""COMPUTED_VALUE"""),"I can't remember what I actually used it for but I remember pinterest trying to make me sign in, otherwise it seems impossible to look at their site. I refused though, because I don't want to connect with more junk.")</f>
        <v>I can't remember what I actually used it for but I remember pinterest trying to make me sign in, otherwise it seems impossible to look at their site. I refused though, because I don't want to connect with more junk.</v>
      </c>
      <c r="C144" s="20" t="s">
        <v>1407</v>
      </c>
      <c r="D144" s="20" t="s">
        <v>1431</v>
      </c>
      <c r="E144" s="3" t="s">
        <v>1432</v>
      </c>
      <c r="F144" s="3"/>
      <c r="G144" s="3"/>
      <c r="H144" s="12"/>
      <c r="I144" s="12"/>
      <c r="J144" s="12"/>
    </row>
    <row r="145">
      <c r="A145">
        <f>IFERROR(__xludf.DUMMYFUNCTION("""COMPUTED_VALUE"""),212.0)</f>
        <v>212</v>
      </c>
      <c r="B145" s="12" t="str">
        <f>IFERROR(__xludf.DUMMYFUNCTION("""COMPUTED_VALUE"""),"indeed app")</f>
        <v>indeed app</v>
      </c>
      <c r="C145" s="20" t="s">
        <v>1407</v>
      </c>
      <c r="D145" s="20" t="s">
        <v>1417</v>
      </c>
      <c r="E145" s="3" t="s">
        <v>1427</v>
      </c>
      <c r="F145" s="3"/>
      <c r="G145" s="3"/>
      <c r="H145" s="12"/>
      <c r="I145" s="12"/>
      <c r="J145" s="12"/>
    </row>
    <row r="146">
      <c r="A146">
        <f>IFERROR(__xludf.DUMMYFUNCTION("""COMPUTED_VALUE"""),213.0)</f>
        <v>213</v>
      </c>
      <c r="B146" s="12" t="str">
        <f>IFERROR(__xludf.DUMMYFUNCTION("""COMPUTED_VALUE"""),"Spotify")</f>
        <v>Spotify</v>
      </c>
      <c r="C146" s="20" t="s">
        <v>1407</v>
      </c>
      <c r="D146" s="20" t="s">
        <v>1443</v>
      </c>
      <c r="E146" s="3" t="s">
        <v>1496</v>
      </c>
      <c r="F146" s="3"/>
      <c r="G146" s="3"/>
      <c r="H146" s="12"/>
      <c r="I146" s="12"/>
      <c r="J146" s="12"/>
    </row>
    <row r="147">
      <c r="A147">
        <f>IFERROR(__xludf.DUMMYFUNCTION("""COMPUTED_VALUE"""),214.0)</f>
        <v>214</v>
      </c>
      <c r="B147" s="12"/>
      <c r="E147" s="3"/>
      <c r="F147" s="3"/>
      <c r="G147" s="3"/>
      <c r="H147" s="12"/>
      <c r="I147" s="12"/>
      <c r="J147" s="12"/>
    </row>
    <row r="148">
      <c r="A148">
        <f>IFERROR(__xludf.DUMMYFUNCTION("""COMPUTED_VALUE"""),215.0)</f>
        <v>215</v>
      </c>
      <c r="B148" s="12" t="str">
        <f>IFERROR(__xludf.DUMMYFUNCTION("""COMPUTED_VALUE"""),"I think I used my google account to sign into my adobe account, but I don't remember.")</f>
        <v>I think I used my google account to sign into my adobe account, but I don't remember.</v>
      </c>
      <c r="C148" s="20" t="s">
        <v>1407</v>
      </c>
      <c r="D148" s="20" t="s">
        <v>1433</v>
      </c>
      <c r="E148" s="3" t="s">
        <v>1484</v>
      </c>
      <c r="F148" s="3"/>
      <c r="G148" s="12"/>
      <c r="H148" s="12"/>
      <c r="I148" s="12"/>
      <c r="J148" s="12"/>
    </row>
    <row r="149">
      <c r="A149">
        <f>IFERROR(__xludf.DUMMYFUNCTION("""COMPUTED_VALUE"""),216.0)</f>
        <v>216</v>
      </c>
      <c r="B149" s="31" t="str">
        <f>IFERROR(__xludf.DUMMYFUNCTION("""COMPUTED_VALUE"""),"avclub.com")</f>
        <v>avclub.com</v>
      </c>
      <c r="C149" s="20" t="s">
        <v>1407</v>
      </c>
      <c r="D149" s="20" t="s">
        <v>1421</v>
      </c>
      <c r="E149" s="27" t="s">
        <v>1497</v>
      </c>
      <c r="F149" s="12"/>
      <c r="G149" s="12"/>
      <c r="H149" s="12"/>
      <c r="I149" s="12"/>
      <c r="J149" s="12"/>
    </row>
    <row r="150">
      <c r="A150">
        <f>IFERROR(__xludf.DUMMYFUNCTION("""COMPUTED_VALUE"""),217.0)</f>
        <v>217</v>
      </c>
      <c r="B150" s="12" t="str">
        <f>IFERROR(__xludf.DUMMYFUNCTION("""COMPUTED_VALUE"""),"A survey site")</f>
        <v>A survey site</v>
      </c>
      <c r="C150" s="20" t="s">
        <v>1407</v>
      </c>
      <c r="D150" s="20" t="s">
        <v>1463</v>
      </c>
      <c r="E150" s="3" t="s">
        <v>1493</v>
      </c>
      <c r="F150" s="3"/>
      <c r="G150" s="3"/>
      <c r="H150" s="12"/>
      <c r="I150" s="12"/>
      <c r="J150" s="12"/>
    </row>
    <row r="151">
      <c r="A151">
        <f>IFERROR(__xludf.DUMMYFUNCTION("""COMPUTED_VALUE"""),220.0)</f>
        <v>220</v>
      </c>
      <c r="B151" s="12" t="str">
        <f>IFERROR(__xludf.DUMMYFUNCTION("""COMPUTED_VALUE"""),"I used my Google Account to log into Canva")</f>
        <v>I used my Google Account to log into Canva</v>
      </c>
      <c r="C151" s="20" t="s">
        <v>1407</v>
      </c>
      <c r="D151" s="20" t="s">
        <v>1476</v>
      </c>
      <c r="E151" s="3" t="s">
        <v>1477</v>
      </c>
      <c r="F151" s="3"/>
      <c r="G151" s="3"/>
      <c r="H151" s="12"/>
      <c r="I151" s="12"/>
      <c r="J151" s="12"/>
    </row>
    <row r="152">
      <c r="A152">
        <f>IFERROR(__xludf.DUMMYFUNCTION("""COMPUTED_VALUE"""),221.0)</f>
        <v>221</v>
      </c>
      <c r="B152" s="12" t="str">
        <f>IFERROR(__xludf.DUMMYFUNCTION("""COMPUTED_VALUE"""),"It was a health portal at my doctor's office")</f>
        <v>It was a health portal at my doctor's office</v>
      </c>
      <c r="C152" s="20" t="s">
        <v>1407</v>
      </c>
      <c r="D152" s="20" t="s">
        <v>1442</v>
      </c>
      <c r="E152" s="3" t="s">
        <v>1498</v>
      </c>
      <c r="F152" s="3"/>
      <c r="G152" s="12"/>
      <c r="H152" s="12"/>
      <c r="I152" s="12"/>
      <c r="J152" s="12"/>
    </row>
    <row r="153">
      <c r="A153">
        <f>IFERROR(__xludf.DUMMYFUNCTION("""COMPUTED_VALUE"""),222.0)</f>
        <v>222</v>
      </c>
      <c r="B153" s="12" t="str">
        <f>IFERROR(__xludf.DUMMYFUNCTION("""COMPUTED_VALUE"""),"This survey")</f>
        <v>This survey</v>
      </c>
      <c r="C153" s="20" t="s">
        <v>1407</v>
      </c>
      <c r="D153" s="20" t="s">
        <v>1463</v>
      </c>
      <c r="E153" s="3" t="s">
        <v>1464</v>
      </c>
      <c r="F153" s="3"/>
      <c r="G153" s="12"/>
      <c r="H153" s="12"/>
      <c r="I153" s="12"/>
      <c r="J153" s="12"/>
    </row>
    <row r="154">
      <c r="A154">
        <f>IFERROR(__xludf.DUMMYFUNCTION("""COMPUTED_VALUE"""),223.0)</f>
        <v>223</v>
      </c>
      <c r="B154" s="12" t="str">
        <f>IFERROR(__xludf.DUMMYFUNCTION("""COMPUTED_VALUE"""),"I can't remember all of the specific services I've used it for, but I have used it several times in the past. I do know one app was Ibotta. I can't really recall the rest though, sorry.")</f>
        <v>I can't remember all of the specific services I've used it for, but I have used it several times in the past. I do know one app was Ibotta. I can't really recall the rest though, sorry.</v>
      </c>
      <c r="C154" s="20" t="s">
        <v>1407</v>
      </c>
      <c r="D154" s="20" t="s">
        <v>1408</v>
      </c>
      <c r="E154" s="3" t="s">
        <v>1499</v>
      </c>
      <c r="F154" s="3"/>
      <c r="G154" s="3"/>
      <c r="H154" s="12"/>
      <c r="I154" s="12"/>
      <c r="J154" s="12"/>
    </row>
    <row r="155">
      <c r="A155">
        <f>IFERROR(__xludf.DUMMYFUNCTION("""COMPUTED_VALUE"""),225.0)</f>
        <v>225</v>
      </c>
      <c r="B155" s="12" t="str">
        <f>IFERROR(__xludf.DUMMYFUNCTION("""COMPUTED_VALUE"""),"I am not sure.")</f>
        <v>I am not sure.</v>
      </c>
      <c r="C155" s="20" t="s">
        <v>1407</v>
      </c>
      <c r="D155" s="20" t="s">
        <v>1500</v>
      </c>
      <c r="E155" s="3" t="s">
        <v>1432</v>
      </c>
      <c r="F155" s="12"/>
      <c r="G155" s="12"/>
      <c r="H155" s="12"/>
      <c r="I155" s="12"/>
      <c r="J155" s="12"/>
    </row>
    <row r="156">
      <c r="A156">
        <f>IFERROR(__xludf.DUMMYFUNCTION("""COMPUTED_VALUE"""),226.0)</f>
        <v>226</v>
      </c>
      <c r="B156" s="12" t="str">
        <f>IFERROR(__xludf.DUMMYFUNCTION("""COMPUTED_VALUE"""),"Nest")</f>
        <v>Nest</v>
      </c>
      <c r="C156" s="20" t="s">
        <v>1407</v>
      </c>
      <c r="D156" s="20" t="s">
        <v>1414</v>
      </c>
      <c r="E156" s="3" t="s">
        <v>1415</v>
      </c>
      <c r="F156" s="12"/>
      <c r="G156" s="12"/>
      <c r="H156" s="12"/>
      <c r="I156" s="12"/>
      <c r="J156" s="12"/>
    </row>
    <row r="157">
      <c r="A157">
        <f>IFERROR(__xludf.DUMMYFUNCTION("""COMPUTED_VALUE"""),228.0)</f>
        <v>228</v>
      </c>
      <c r="B157" s="12" t="str">
        <f>IFERROR(__xludf.DUMMYFUNCTION("""COMPUTED_VALUE"""),"I used my google account to log in to a dating app.")</f>
        <v>I used my google account to log in to a dating app.</v>
      </c>
      <c r="C157" s="20" t="s">
        <v>1407</v>
      </c>
      <c r="D157" s="20" t="s">
        <v>1414</v>
      </c>
      <c r="E157" s="3" t="s">
        <v>1501</v>
      </c>
      <c r="F157" s="12"/>
      <c r="G157" s="12"/>
      <c r="H157" s="12"/>
      <c r="I157" s="12"/>
      <c r="J157" s="12"/>
    </row>
    <row r="158">
      <c r="A158">
        <f>IFERROR(__xludf.DUMMYFUNCTION("""COMPUTED_VALUE"""),230.0)</f>
        <v>230</v>
      </c>
      <c r="B158" s="12" t="str">
        <f>IFERROR(__xludf.DUMMYFUNCTION("""COMPUTED_VALUE"""),"loopnet")</f>
        <v>loopnet</v>
      </c>
      <c r="C158" s="20" t="s">
        <v>1407</v>
      </c>
      <c r="D158" s="20" t="s">
        <v>1417</v>
      </c>
      <c r="E158" s="3" t="s">
        <v>530</v>
      </c>
      <c r="F158" s="12"/>
      <c r="G158" s="12"/>
      <c r="H158" s="12"/>
      <c r="I158" s="12"/>
      <c r="J158" s="12"/>
    </row>
    <row r="159">
      <c r="A159">
        <f>IFERROR(__xludf.DUMMYFUNCTION("""COMPUTED_VALUE"""),231.0)</f>
        <v>231</v>
      </c>
      <c r="B159" s="12" t="str">
        <f>IFERROR(__xludf.DUMMYFUNCTION("""COMPUTED_VALUE"""),"pinterest")</f>
        <v>pinterest</v>
      </c>
      <c r="C159" s="20" t="s">
        <v>1407</v>
      </c>
      <c r="D159" s="20" t="s">
        <v>1414</v>
      </c>
      <c r="E159" s="3" t="s">
        <v>533</v>
      </c>
      <c r="F159" s="12"/>
      <c r="G159" s="12"/>
      <c r="H159" s="12"/>
      <c r="I159" s="12"/>
      <c r="J159" s="12"/>
    </row>
    <row r="160">
      <c r="A160">
        <f>IFERROR(__xludf.DUMMYFUNCTION("""COMPUTED_VALUE"""),233.0)</f>
        <v>233</v>
      </c>
      <c r="B160" s="12" t="str">
        <f>IFERROR(__xludf.DUMMYFUNCTION("""COMPUTED_VALUE"""),"GitHub")</f>
        <v>GitHub</v>
      </c>
      <c r="C160" s="20" t="s">
        <v>1407</v>
      </c>
      <c r="D160" s="20" t="s">
        <v>1433</v>
      </c>
      <c r="E160" s="3" t="s">
        <v>1502</v>
      </c>
      <c r="F160" s="12"/>
      <c r="G160" s="12"/>
      <c r="H160" s="12"/>
      <c r="I160" s="12"/>
      <c r="J160" s="12"/>
    </row>
    <row r="161">
      <c r="A161">
        <f>IFERROR(__xludf.DUMMYFUNCTION("""COMPUTED_VALUE"""),234.0)</f>
        <v>234</v>
      </c>
      <c r="B161" s="12" t="str">
        <f>IFERROR(__xludf.DUMMYFUNCTION("""COMPUTED_VALUE"""),"I believe the last single sign in third-party app I signed up for was Sprout. I did it so I could track my twitter engagement (also set up with Google Account I think).")</f>
        <v>I believe the last single sign in third-party app I signed up for was Sprout. I did it so I could track my twitter engagement (also set up with Google Account I think).</v>
      </c>
      <c r="C161" s="20" t="s">
        <v>1407</v>
      </c>
      <c r="D161" s="20" t="s">
        <v>1412</v>
      </c>
      <c r="E161" s="3" t="s">
        <v>1503</v>
      </c>
      <c r="F161" s="12"/>
      <c r="G161" s="12"/>
      <c r="H161" s="12"/>
      <c r="I161" s="12"/>
      <c r="J161" s="12"/>
    </row>
    <row r="162">
      <c r="A162">
        <f>IFERROR(__xludf.DUMMYFUNCTION("""COMPUTED_VALUE"""),235.0)</f>
        <v>235</v>
      </c>
      <c r="B162" s="12" t="str">
        <f>IFERROR(__xludf.DUMMYFUNCTION("""COMPUTED_VALUE"""),"Apple")</f>
        <v>Apple</v>
      </c>
      <c r="C162" s="20" t="s">
        <v>1407</v>
      </c>
      <c r="D162" s="20" t="s">
        <v>1433</v>
      </c>
      <c r="E162" s="3" t="s">
        <v>1504</v>
      </c>
      <c r="F162" s="12"/>
      <c r="G162" s="12"/>
      <c r="H162" s="12"/>
      <c r="I162" s="12"/>
      <c r="J162" s="12"/>
    </row>
    <row r="163">
      <c r="A163">
        <f>IFERROR(__xludf.DUMMYFUNCTION("""COMPUTED_VALUE"""),236.0)</f>
        <v>236</v>
      </c>
      <c r="B163" s="12" t="str">
        <f>IFERROR(__xludf.DUMMYFUNCTION("""COMPUTED_VALUE"""),"I can't recall the exact site, but I remember that it was a well-known, trusted site. I think it was Visa Fast Pay (or whatever that one is called).")</f>
        <v>I can't recall the exact site, but I remember that it was a well-known, trusted site. I think it was Visa Fast Pay (or whatever that one is called).</v>
      </c>
      <c r="C163" s="20" t="s">
        <v>1407</v>
      </c>
      <c r="D163" s="20" t="s">
        <v>1416</v>
      </c>
      <c r="E163" s="3" t="s">
        <v>1505</v>
      </c>
      <c r="F163" s="12"/>
      <c r="G163" s="12"/>
      <c r="H163" s="12"/>
      <c r="I163" s="12"/>
      <c r="J163" s="12"/>
    </row>
    <row r="164">
      <c r="A164">
        <f>IFERROR(__xludf.DUMMYFUNCTION("""COMPUTED_VALUE"""),237.0)</f>
        <v>237</v>
      </c>
      <c r="B164" s="12" t="str">
        <f>IFERROR(__xludf.DUMMYFUNCTION("""COMPUTED_VALUE"""),"Calendly")</f>
        <v>Calendly</v>
      </c>
      <c r="C164" s="20" t="s">
        <v>1407</v>
      </c>
      <c r="D164" s="20" t="s">
        <v>1417</v>
      </c>
      <c r="E164" s="3" t="s">
        <v>1506</v>
      </c>
      <c r="F164" s="12"/>
      <c r="G164" s="12"/>
      <c r="H164" s="12"/>
      <c r="I164" s="12"/>
      <c r="J164" s="12"/>
    </row>
    <row r="165">
      <c r="A165">
        <f>IFERROR(__xludf.DUMMYFUNCTION("""COMPUTED_VALUE"""),238.0)</f>
        <v>238</v>
      </c>
      <c r="B165" s="12"/>
      <c r="E165" s="12"/>
      <c r="F165" s="12"/>
      <c r="G165" s="12"/>
      <c r="H165" s="12"/>
      <c r="I165" s="12"/>
      <c r="J165" s="12"/>
    </row>
    <row r="166">
      <c r="A166">
        <f>IFERROR(__xludf.DUMMYFUNCTION("""COMPUTED_VALUE"""),239.0)</f>
        <v>239</v>
      </c>
      <c r="B166" s="12" t="str">
        <f>IFERROR(__xludf.DUMMYFUNCTION("""COMPUTED_VALUE"""),"JetBrains")</f>
        <v>JetBrains</v>
      </c>
      <c r="C166" s="20" t="s">
        <v>1407</v>
      </c>
      <c r="D166" s="20" t="s">
        <v>1433</v>
      </c>
      <c r="E166" s="3" t="s">
        <v>1507</v>
      </c>
      <c r="F166" s="12"/>
      <c r="G166" s="12"/>
      <c r="H166" s="12"/>
      <c r="I166" s="12"/>
      <c r="J166" s="12"/>
    </row>
    <row r="167">
      <c r="A167">
        <f>IFERROR(__xludf.DUMMYFUNCTION("""COMPUTED_VALUE"""),241.0)</f>
        <v>241</v>
      </c>
      <c r="B167" s="31" t="str">
        <f>IFERROR(__xludf.DUMMYFUNCTION("""COMPUTED_VALUE"""),"coinrule.io")</f>
        <v>coinrule.io</v>
      </c>
      <c r="C167" s="20" t="s">
        <v>1407</v>
      </c>
      <c r="D167" s="20" t="s">
        <v>1416</v>
      </c>
      <c r="E167" s="3" t="s">
        <v>1508</v>
      </c>
      <c r="F167" s="12"/>
      <c r="G167" s="12"/>
      <c r="H167" s="12"/>
      <c r="I167" s="12"/>
      <c r="J167" s="12"/>
    </row>
    <row r="168">
      <c r="A168">
        <f>IFERROR(__xludf.DUMMYFUNCTION("""COMPUTED_VALUE"""),242.0)</f>
        <v>242</v>
      </c>
      <c r="B168" s="12" t="str">
        <f>IFERROR(__xludf.DUMMYFUNCTION("""COMPUTED_VALUE"""),"uber eats")</f>
        <v>uber eats</v>
      </c>
      <c r="C168" s="20" t="s">
        <v>1407</v>
      </c>
      <c r="D168" s="20" t="s">
        <v>1429</v>
      </c>
      <c r="E168" s="3" t="s">
        <v>1465</v>
      </c>
      <c r="F168" s="12"/>
      <c r="G168" s="12"/>
      <c r="H168" s="12"/>
      <c r="I168" s="12"/>
      <c r="J168" s="12"/>
    </row>
    <row r="169">
      <c r="A169">
        <f>IFERROR(__xludf.DUMMYFUNCTION("""COMPUTED_VALUE"""),245.0)</f>
        <v>245</v>
      </c>
      <c r="B169" s="12" t="str">
        <f>IFERROR(__xludf.DUMMYFUNCTION("""COMPUTED_VALUE"""),"This survey. Prior to that, likely You Need a Budget.")</f>
        <v>This survey. Prior to that, likely You Need a Budget.</v>
      </c>
      <c r="C169" s="20" t="s">
        <v>1407</v>
      </c>
      <c r="D169" s="20" t="s">
        <v>1416</v>
      </c>
      <c r="E169" s="3" t="s">
        <v>1509</v>
      </c>
      <c r="F169" s="12"/>
      <c r="G169" s="12"/>
      <c r="H169" s="12"/>
      <c r="I169" s="12"/>
      <c r="J169" s="12"/>
    </row>
    <row r="170">
      <c r="A170">
        <f>IFERROR(__xludf.DUMMYFUNCTION("""COMPUTED_VALUE"""),246.0)</f>
        <v>246</v>
      </c>
      <c r="B170" s="12" t="str">
        <f>IFERROR(__xludf.DUMMYFUNCTION("""COMPUTED_VALUE"""),"Reddit, Youtube")</f>
        <v>Reddit, Youtube</v>
      </c>
      <c r="C170" s="20" t="s">
        <v>1407</v>
      </c>
      <c r="D170" s="20" t="s">
        <v>1412</v>
      </c>
      <c r="E170" s="3" t="s">
        <v>1413</v>
      </c>
      <c r="F170" s="3" t="s">
        <v>228</v>
      </c>
      <c r="G170" s="12"/>
      <c r="H170" s="12"/>
      <c r="I170" s="12"/>
      <c r="J170" s="12"/>
    </row>
    <row r="171">
      <c r="A171">
        <f>IFERROR(__xludf.DUMMYFUNCTION("""COMPUTED_VALUE"""),248.0)</f>
        <v>248</v>
      </c>
      <c r="B171" s="12" t="str">
        <f>IFERROR(__xludf.DUMMYFUNCTION("""COMPUTED_VALUE"""),"uber")</f>
        <v>uber</v>
      </c>
      <c r="C171" s="20" t="s">
        <v>1407</v>
      </c>
      <c r="D171" s="20" t="s">
        <v>1429</v>
      </c>
      <c r="E171" s="3" t="s">
        <v>575</v>
      </c>
      <c r="F171" s="12"/>
      <c r="G171" s="12"/>
      <c r="H171" s="12"/>
      <c r="I171" s="12"/>
      <c r="J171" s="12"/>
    </row>
    <row r="172">
      <c r="A172">
        <f>IFERROR(__xludf.DUMMYFUNCTION("""COMPUTED_VALUE"""),249.0)</f>
        <v>249</v>
      </c>
      <c r="B172" s="12" t="str">
        <f>IFERROR(__xludf.DUMMYFUNCTION("""COMPUTED_VALUE"""),"A Nintendo app.")</f>
        <v>A Nintendo app.</v>
      </c>
      <c r="C172" s="20" t="s">
        <v>1407</v>
      </c>
      <c r="D172" s="20" t="s">
        <v>1436</v>
      </c>
      <c r="E172" s="3" t="s">
        <v>1510</v>
      </c>
      <c r="F172" s="12"/>
      <c r="G172" s="12"/>
      <c r="H172" s="12"/>
      <c r="I172" s="12"/>
      <c r="J172" s="12"/>
    </row>
    <row r="173">
      <c r="A173">
        <f>IFERROR(__xludf.DUMMYFUNCTION("""COMPUTED_VALUE"""),250.0)</f>
        <v>250</v>
      </c>
      <c r="B173" s="12"/>
      <c r="E173" s="12"/>
      <c r="F173" s="12"/>
      <c r="G173" s="12"/>
      <c r="H173" s="12"/>
      <c r="I173" s="12"/>
      <c r="J173" s="12"/>
    </row>
    <row r="174">
      <c r="A174">
        <f>IFERROR(__xludf.DUMMYFUNCTION("""COMPUTED_VALUE"""),251.0)</f>
        <v>251</v>
      </c>
      <c r="B174" s="12"/>
      <c r="E174" s="12"/>
      <c r="F174" s="12"/>
      <c r="G174" s="12"/>
      <c r="H174" s="12"/>
      <c r="I174" s="12"/>
      <c r="J174" s="12"/>
    </row>
    <row r="175">
      <c r="A175">
        <f>IFERROR(__xludf.DUMMYFUNCTION("""COMPUTED_VALUE"""),253.0)</f>
        <v>253</v>
      </c>
      <c r="B175" s="12"/>
      <c r="E175" s="12"/>
      <c r="F175" s="12"/>
      <c r="G175" s="12"/>
      <c r="H175" s="12"/>
      <c r="I175" s="12"/>
      <c r="J175" s="12"/>
    </row>
    <row r="176">
      <c r="A176">
        <f>IFERROR(__xludf.DUMMYFUNCTION("""COMPUTED_VALUE"""),255.0)</f>
        <v>255</v>
      </c>
      <c r="B176" s="12" t="str">
        <f>IFERROR(__xludf.DUMMYFUNCTION("""COMPUTED_VALUE"""),"zoom")</f>
        <v>zoom</v>
      </c>
      <c r="C176" s="20" t="s">
        <v>1407</v>
      </c>
      <c r="D176" s="20" t="s">
        <v>1417</v>
      </c>
      <c r="E176" s="3" t="s">
        <v>588</v>
      </c>
      <c r="F176" s="12"/>
      <c r="G176" s="12"/>
      <c r="H176" s="12"/>
      <c r="I176" s="12"/>
      <c r="J176" s="12"/>
    </row>
    <row r="177">
      <c r="A177">
        <f>IFERROR(__xludf.DUMMYFUNCTION("""COMPUTED_VALUE"""),256.0)</f>
        <v>256</v>
      </c>
      <c r="B177" s="12" t="str">
        <f>IFERROR(__xludf.DUMMYFUNCTION("""COMPUTED_VALUE"""),"I used my Google Account to sign in to an app called Dabbl where you view ads to earn points that you can cash out for gift cards.")</f>
        <v>I used my Google Account to sign in to an app called Dabbl where you view ads to earn points that you can cash out for gift cards.</v>
      </c>
      <c r="C177" s="20" t="s">
        <v>1407</v>
      </c>
      <c r="D177" s="20" t="s">
        <v>1414</v>
      </c>
      <c r="E177" s="3" t="s">
        <v>1511</v>
      </c>
      <c r="F177" s="12"/>
      <c r="G177" s="12"/>
      <c r="H177" s="12"/>
      <c r="I177" s="12"/>
      <c r="J177" s="12"/>
    </row>
    <row r="178">
      <c r="A178">
        <f>IFERROR(__xludf.DUMMYFUNCTION("""COMPUTED_VALUE"""),257.0)</f>
        <v>257</v>
      </c>
      <c r="B178" s="31" t="str">
        <f>IFERROR(__xludf.DUMMYFUNCTION("""COMPUTED_VALUE"""),"canva.com")</f>
        <v>canva.com</v>
      </c>
      <c r="C178" s="20" t="s">
        <v>1407</v>
      </c>
      <c r="D178" s="20" t="s">
        <v>1476</v>
      </c>
      <c r="E178" s="3" t="s">
        <v>1477</v>
      </c>
      <c r="F178" s="12"/>
      <c r="G178" s="12"/>
      <c r="H178" s="12"/>
      <c r="I178" s="12"/>
      <c r="J178" s="12"/>
    </row>
    <row r="179">
      <c r="A179">
        <f>IFERROR(__xludf.DUMMYFUNCTION("""COMPUTED_VALUE"""),258.0)</f>
        <v>258</v>
      </c>
      <c r="B179" s="12" t="str">
        <f>IFERROR(__xludf.DUMMYFUNCTION("""COMPUTED_VALUE"""),"I can't remember which site it was off the top of my head sadly")</f>
        <v>I can't remember which site it was off the top of my head sadly</v>
      </c>
      <c r="C179" s="20" t="s">
        <v>1407</v>
      </c>
      <c r="D179" s="20" t="s">
        <v>1431</v>
      </c>
      <c r="E179" s="3" t="s">
        <v>1432</v>
      </c>
      <c r="F179" s="12"/>
      <c r="G179" s="12"/>
      <c r="H179" s="12"/>
      <c r="I179" s="12"/>
      <c r="J179" s="12"/>
    </row>
    <row r="180">
      <c r="A180">
        <f>IFERROR(__xludf.DUMMYFUNCTION("""COMPUTED_VALUE"""),259.0)</f>
        <v>259</v>
      </c>
      <c r="B180" s="12" t="str">
        <f>IFERROR(__xludf.DUMMYFUNCTION("""COMPUTED_VALUE"""),"A website we use for school called talking points.")</f>
        <v>A website we use for school called talking points.</v>
      </c>
      <c r="C180" s="20" t="s">
        <v>1407</v>
      </c>
      <c r="D180" s="20" t="s">
        <v>1423</v>
      </c>
      <c r="E180" s="3" t="s">
        <v>1512</v>
      </c>
      <c r="F180" s="12"/>
      <c r="G180" s="12"/>
      <c r="H180" s="12"/>
      <c r="I180" s="12"/>
      <c r="J180" s="12"/>
    </row>
    <row r="181">
      <c r="A181">
        <f>IFERROR(__xludf.DUMMYFUNCTION("""COMPUTED_VALUE"""),260.0)</f>
        <v>260</v>
      </c>
      <c r="B181" s="12" t="str">
        <f>IFERROR(__xludf.DUMMYFUNCTION("""COMPUTED_VALUE"""),"App for a local restaurant")</f>
        <v>App for a local restaurant</v>
      </c>
      <c r="C181" s="20" t="s">
        <v>1407</v>
      </c>
      <c r="D181" s="20" t="s">
        <v>1429</v>
      </c>
      <c r="E181" s="3" t="s">
        <v>1452</v>
      </c>
      <c r="F181" s="12"/>
      <c r="G181" s="12"/>
      <c r="H181" s="12"/>
      <c r="I181" s="12"/>
      <c r="J181" s="12"/>
    </row>
    <row r="182">
      <c r="A182">
        <f>IFERROR(__xludf.DUMMYFUNCTION("""COMPUTED_VALUE"""),261.0)</f>
        <v>261</v>
      </c>
      <c r="B182" s="12" t="str">
        <f>IFERROR(__xludf.DUMMYFUNCTION("""COMPUTED_VALUE"""),"Reddit.")</f>
        <v>Reddit.</v>
      </c>
      <c r="C182" s="20" t="s">
        <v>1407</v>
      </c>
      <c r="D182" s="20" t="s">
        <v>1412</v>
      </c>
      <c r="E182" s="3" t="s">
        <v>1413</v>
      </c>
      <c r="F182" s="12"/>
      <c r="G182" s="12"/>
      <c r="H182" s="12"/>
      <c r="I182" s="12"/>
      <c r="J182" s="12"/>
    </row>
    <row r="183">
      <c r="A183">
        <f>IFERROR(__xludf.DUMMYFUNCTION("""COMPUTED_VALUE"""),262.0)</f>
        <v>262</v>
      </c>
      <c r="B183" s="12" t="str">
        <f>IFERROR(__xludf.DUMMYFUNCTION("""COMPUTED_VALUE"""),"I don't recall.")</f>
        <v>I don't recall.</v>
      </c>
      <c r="C183" s="20" t="s">
        <v>1407</v>
      </c>
      <c r="D183" s="20" t="s">
        <v>1431</v>
      </c>
      <c r="E183" s="3" t="s">
        <v>1432</v>
      </c>
      <c r="F183" s="12"/>
      <c r="G183" s="12"/>
      <c r="H183" s="12"/>
      <c r="I183" s="12"/>
      <c r="J183" s="12"/>
    </row>
    <row r="184">
      <c r="A184">
        <f>IFERROR(__xludf.DUMMYFUNCTION("""COMPUTED_VALUE"""),263.0)</f>
        <v>263</v>
      </c>
      <c r="B184" s="12" t="str">
        <f>IFERROR(__xludf.DUMMYFUNCTION("""COMPUTED_VALUE"""),"I think mcdonalds app")</f>
        <v>I think mcdonalds app</v>
      </c>
      <c r="C184" s="20" t="s">
        <v>1407</v>
      </c>
      <c r="D184" s="20" t="s">
        <v>1429</v>
      </c>
      <c r="E184" s="3" t="s">
        <v>977</v>
      </c>
      <c r="F184" s="12"/>
      <c r="G184" s="12"/>
      <c r="H184" s="12"/>
      <c r="I184" s="12"/>
      <c r="J184" s="12"/>
    </row>
    <row r="185">
      <c r="A185">
        <f>IFERROR(__xludf.DUMMYFUNCTION("""COMPUTED_VALUE"""),264.0)</f>
        <v>264</v>
      </c>
      <c r="B185" s="12" t="str">
        <f>IFERROR(__xludf.DUMMYFUNCTION("""COMPUTED_VALUE"""),"stockx")</f>
        <v>stockx</v>
      </c>
      <c r="C185" s="20" t="s">
        <v>1407</v>
      </c>
      <c r="D185" s="20" t="s">
        <v>1408</v>
      </c>
      <c r="E185" s="3" t="s">
        <v>618</v>
      </c>
      <c r="F185" s="12"/>
      <c r="G185" s="12"/>
      <c r="H185" s="12"/>
      <c r="I185" s="12"/>
      <c r="J185" s="12"/>
    </row>
    <row r="186">
      <c r="A186">
        <f>IFERROR(__xludf.DUMMYFUNCTION("""COMPUTED_VALUE"""),266.0)</f>
        <v>266</v>
      </c>
      <c r="B186" s="12" t="str">
        <f>IFERROR(__xludf.DUMMYFUNCTION("""COMPUTED_VALUE"""),"Ebay")</f>
        <v>Ebay</v>
      </c>
      <c r="C186" s="20" t="s">
        <v>1407</v>
      </c>
      <c r="D186" s="20" t="s">
        <v>1408</v>
      </c>
      <c r="E186" s="3" t="s">
        <v>1482</v>
      </c>
      <c r="F186" s="12"/>
      <c r="G186" s="12"/>
      <c r="H186" s="12"/>
      <c r="I186" s="12"/>
      <c r="J186" s="12"/>
    </row>
    <row r="187">
      <c r="A187">
        <f>IFERROR(__xludf.DUMMYFUNCTION("""COMPUTED_VALUE"""),268.0)</f>
        <v>268</v>
      </c>
      <c r="B187" s="12" t="str">
        <f>IFERROR(__xludf.DUMMYFUNCTION("""COMPUTED_VALUE"""),"To make a hair cut appoint on Vagaro")</f>
        <v>To make a hair cut appoint on Vagaro</v>
      </c>
      <c r="C187" s="20" t="s">
        <v>1407</v>
      </c>
      <c r="D187" s="20" t="s">
        <v>1414</v>
      </c>
      <c r="E187" s="3" t="s">
        <v>1513</v>
      </c>
      <c r="F187" s="12"/>
      <c r="G187" s="12"/>
      <c r="H187" s="12"/>
      <c r="I187" s="12"/>
      <c r="J187" s="12"/>
    </row>
    <row r="188">
      <c r="A188">
        <f>IFERROR(__xludf.DUMMYFUNCTION("""COMPUTED_VALUE"""),270.0)</f>
        <v>270</v>
      </c>
      <c r="B188" s="12" t="str">
        <f>IFERROR(__xludf.DUMMYFUNCTION("""COMPUTED_VALUE"""),"shein")</f>
        <v>shein</v>
      </c>
      <c r="C188" s="20" t="s">
        <v>1407</v>
      </c>
      <c r="D188" s="20" t="s">
        <v>1408</v>
      </c>
      <c r="E188" s="3" t="s">
        <v>627</v>
      </c>
      <c r="F188" s="12"/>
      <c r="G188" s="12"/>
      <c r="H188" s="12"/>
      <c r="I188" s="12"/>
      <c r="J188" s="12"/>
    </row>
    <row r="189">
      <c r="A189">
        <f>IFERROR(__xludf.DUMMYFUNCTION("""COMPUTED_VALUE"""),271.0)</f>
        <v>271</v>
      </c>
      <c r="B189" s="12" t="str">
        <f>IFERROR(__xludf.DUMMYFUNCTION("""COMPUTED_VALUE"""),"I think it was facebook?")</f>
        <v>I think it was facebook?</v>
      </c>
      <c r="C189" s="20" t="s">
        <v>1407</v>
      </c>
      <c r="D189" s="20" t="s">
        <v>1412</v>
      </c>
      <c r="E189" s="3" t="s">
        <v>187</v>
      </c>
      <c r="F189" s="12"/>
      <c r="G189" s="12"/>
      <c r="H189" s="12"/>
      <c r="I189" s="12"/>
      <c r="J189" s="12"/>
    </row>
    <row r="190">
      <c r="A190">
        <f>IFERROR(__xludf.DUMMYFUNCTION("""COMPUTED_VALUE"""),273.0)</f>
        <v>273</v>
      </c>
      <c r="B190" s="12" t="str">
        <f>IFERROR(__xludf.DUMMYFUNCTION("""COMPUTED_VALUE"""),"I use this service all the time, I sign in to all the apps on my phone with Google, from Twitter to my Fifth Third Banking account, to Facebook.")</f>
        <v>I use this service all the time, I sign in to all the apps on my phone with Google, from Twitter to my Fifth Third Banking account, to Facebook.</v>
      </c>
      <c r="C190" s="20" t="s">
        <v>1407</v>
      </c>
      <c r="D190" s="20" t="s">
        <v>1416</v>
      </c>
      <c r="E190" s="3" t="s">
        <v>1113</v>
      </c>
      <c r="F190" s="3" t="s">
        <v>1514</v>
      </c>
      <c r="G190" s="3" t="s">
        <v>187</v>
      </c>
      <c r="H190" s="12"/>
      <c r="I190" s="12"/>
      <c r="J190" s="12"/>
    </row>
    <row r="191">
      <c r="A191">
        <f>IFERROR(__xludf.DUMMYFUNCTION("""COMPUTED_VALUE"""),275.0)</f>
        <v>275</v>
      </c>
      <c r="B191" s="12" t="str">
        <f>IFERROR(__xludf.DUMMYFUNCTION("""COMPUTED_VALUE"""),"Upvoice is the app I was trying to use.")</f>
        <v>Upvoice is the app I was trying to use.</v>
      </c>
      <c r="C191" s="20" t="s">
        <v>1407</v>
      </c>
      <c r="D191" s="20" t="s">
        <v>1412</v>
      </c>
      <c r="E191" s="3" t="s">
        <v>1515</v>
      </c>
      <c r="F191" s="12"/>
      <c r="G191" s="12"/>
      <c r="H191" s="12"/>
      <c r="I191" s="12"/>
      <c r="J191" s="12"/>
    </row>
    <row r="192">
      <c r="A192">
        <f>IFERROR(__xludf.DUMMYFUNCTION("""COMPUTED_VALUE"""),276.0)</f>
        <v>276</v>
      </c>
      <c r="B192" s="12" t="str">
        <f>IFERROR(__xludf.DUMMYFUNCTION("""COMPUTED_VALUE"""),"Honey")</f>
        <v>Honey</v>
      </c>
      <c r="C192" s="20" t="s">
        <v>1407</v>
      </c>
      <c r="D192" s="20" t="s">
        <v>1408</v>
      </c>
      <c r="E192" s="3" t="s">
        <v>1460</v>
      </c>
      <c r="F192" s="12"/>
      <c r="G192" s="12"/>
      <c r="H192" s="12"/>
      <c r="I192" s="12"/>
      <c r="J192" s="12"/>
    </row>
    <row r="193">
      <c r="A193">
        <f>IFERROR(__xludf.DUMMYFUNCTION("""COMPUTED_VALUE"""),277.0)</f>
        <v>277</v>
      </c>
      <c r="B193" s="12" t="str">
        <f>IFERROR(__xludf.DUMMYFUNCTION("""COMPUTED_VALUE"""),"Hideout TV")</f>
        <v>Hideout TV</v>
      </c>
      <c r="C193" s="20" t="s">
        <v>1407</v>
      </c>
      <c r="D193" s="20" t="s">
        <v>1443</v>
      </c>
      <c r="E193" s="22" t="s">
        <v>1451</v>
      </c>
      <c r="F193" s="12"/>
      <c r="G193" s="12"/>
      <c r="H193" s="12"/>
      <c r="I193" s="12"/>
      <c r="J193" s="12"/>
    </row>
    <row r="194">
      <c r="A194">
        <f>IFERROR(__xludf.DUMMYFUNCTION("""COMPUTED_VALUE"""),278.0)</f>
        <v>278</v>
      </c>
      <c r="B194" s="12" t="str">
        <f>IFERROR(__xludf.DUMMYFUNCTION("""COMPUTED_VALUE"""),"Grammarly")</f>
        <v>Grammarly</v>
      </c>
      <c r="C194" s="20" t="s">
        <v>1407</v>
      </c>
      <c r="D194" s="20" t="s">
        <v>1433</v>
      </c>
      <c r="E194" s="3" t="s">
        <v>1516</v>
      </c>
      <c r="F194" s="12"/>
      <c r="G194" s="12"/>
      <c r="H194" s="12"/>
      <c r="I194" s="12"/>
      <c r="J194" s="12"/>
    </row>
    <row r="195">
      <c r="A195">
        <f>IFERROR(__xludf.DUMMYFUNCTION("""COMPUTED_VALUE"""),279.0)</f>
        <v>279</v>
      </c>
      <c r="B195" s="12" t="str">
        <f>IFERROR(__xludf.DUMMYFUNCTION("""COMPUTED_VALUE"""),"Quizlet")</f>
        <v>Quizlet</v>
      </c>
      <c r="C195" s="20" t="s">
        <v>1407</v>
      </c>
      <c r="D195" s="20" t="s">
        <v>1423</v>
      </c>
      <c r="E195" s="3" t="s">
        <v>1517</v>
      </c>
      <c r="F195" s="12"/>
      <c r="G195" s="12"/>
      <c r="H195" s="12"/>
      <c r="I195" s="12"/>
      <c r="J195" s="12"/>
    </row>
    <row r="196">
      <c r="A196">
        <f>IFERROR(__xludf.DUMMYFUNCTION("""COMPUTED_VALUE"""),284.0)</f>
        <v>284</v>
      </c>
      <c r="B196" s="12" t="str">
        <f>IFERROR(__xludf.DUMMYFUNCTION("""COMPUTED_VALUE"""),"TextNow")</f>
        <v>TextNow</v>
      </c>
      <c r="C196" s="20" t="s">
        <v>1407</v>
      </c>
      <c r="D196" s="20" t="s">
        <v>1412</v>
      </c>
      <c r="E196" s="3" t="s">
        <v>1518</v>
      </c>
      <c r="F196" s="12"/>
      <c r="G196" s="12"/>
      <c r="H196" s="12"/>
      <c r="I196" s="12"/>
      <c r="J196" s="12"/>
    </row>
    <row r="197">
      <c r="A197">
        <f>IFERROR(__xludf.DUMMYFUNCTION("""COMPUTED_VALUE"""),285.0)</f>
        <v>285</v>
      </c>
      <c r="B197" s="12" t="str">
        <f>IFERROR(__xludf.DUMMYFUNCTION("""COMPUTED_VALUE"""),"A PDF editing site")</f>
        <v>A PDF editing site</v>
      </c>
      <c r="C197" s="20" t="s">
        <v>1407</v>
      </c>
      <c r="D197" s="20" t="s">
        <v>1433</v>
      </c>
      <c r="E197" s="3" t="s">
        <v>1519</v>
      </c>
      <c r="F197" s="12"/>
      <c r="G197" s="12"/>
      <c r="H197" s="12"/>
      <c r="I197" s="12"/>
      <c r="J197" s="12"/>
    </row>
    <row r="198">
      <c r="A198">
        <f>IFERROR(__xludf.DUMMYFUNCTION("""COMPUTED_VALUE"""),288.0)</f>
        <v>288</v>
      </c>
      <c r="B198" s="12"/>
      <c r="E198" s="12"/>
      <c r="F198" s="12"/>
      <c r="G198" s="12"/>
      <c r="H198" s="12"/>
      <c r="I198" s="12"/>
      <c r="J198" s="12"/>
    </row>
    <row r="199">
      <c r="A199">
        <f>IFERROR(__xludf.DUMMYFUNCTION("""COMPUTED_VALUE"""),289.0)</f>
        <v>289</v>
      </c>
      <c r="B199" s="12" t="str">
        <f>IFERROR(__xludf.DUMMYFUNCTION("""COMPUTED_VALUE"""),"Canva")</f>
        <v>Canva</v>
      </c>
      <c r="C199" s="20" t="s">
        <v>1407</v>
      </c>
      <c r="D199" s="20" t="s">
        <v>1476</v>
      </c>
      <c r="E199" s="3" t="s">
        <v>1477</v>
      </c>
      <c r="F199" s="12"/>
      <c r="G199" s="12"/>
      <c r="H199" s="12"/>
      <c r="I199" s="12"/>
      <c r="J199" s="12"/>
    </row>
    <row r="200">
      <c r="A200">
        <f>IFERROR(__xludf.DUMMYFUNCTION("""COMPUTED_VALUE"""),291.0)</f>
        <v>291</v>
      </c>
      <c r="B200" s="31" t="str">
        <f>IFERROR(__xludf.DUMMYFUNCTION("""COMPUTED_VALUE"""),"Realtor.com")</f>
        <v>Realtor.com</v>
      </c>
      <c r="C200" s="20" t="s">
        <v>1407</v>
      </c>
      <c r="D200" s="20" t="s">
        <v>1419</v>
      </c>
      <c r="E200" s="27" t="s">
        <v>1420</v>
      </c>
      <c r="F200" s="12"/>
      <c r="G200" s="12"/>
      <c r="H200" s="12"/>
      <c r="I200" s="12"/>
      <c r="J200" s="12"/>
    </row>
    <row r="201">
      <c r="A201">
        <f>IFERROR(__xludf.DUMMYFUNCTION("""COMPUTED_VALUE"""),292.0)</f>
        <v>292</v>
      </c>
      <c r="B201" s="12" t="str">
        <f>IFERROR(__xludf.DUMMYFUNCTION("""COMPUTED_VALUE"""),"Facebook")</f>
        <v>Facebook</v>
      </c>
      <c r="C201" s="20" t="s">
        <v>1407</v>
      </c>
      <c r="D201" s="20" t="s">
        <v>1412</v>
      </c>
      <c r="E201" s="3" t="s">
        <v>187</v>
      </c>
      <c r="F201" s="12"/>
      <c r="G201" s="12"/>
      <c r="H201" s="12"/>
      <c r="I201" s="12"/>
      <c r="J201" s="12"/>
    </row>
    <row r="202">
      <c r="A202">
        <f>IFERROR(__xludf.DUMMYFUNCTION("""COMPUTED_VALUE"""),295.0)</f>
        <v>295</v>
      </c>
      <c r="B202" s="12" t="str">
        <f>IFERROR(__xludf.DUMMYFUNCTION("""COMPUTED_VALUE"""),"Online courses")</f>
        <v>Online courses</v>
      </c>
      <c r="C202" s="20" t="s">
        <v>1407</v>
      </c>
      <c r="D202" s="20" t="s">
        <v>1423</v>
      </c>
      <c r="E202" s="3" t="s">
        <v>1480</v>
      </c>
      <c r="F202" s="12"/>
      <c r="G202" s="12"/>
      <c r="H202" s="12"/>
      <c r="I202" s="12"/>
      <c r="J202" s="12"/>
    </row>
    <row r="203">
      <c r="A203">
        <f>IFERROR(__xludf.DUMMYFUNCTION("""COMPUTED_VALUE"""),296.0)</f>
        <v>296</v>
      </c>
      <c r="B203" s="12" t="str">
        <f>IFERROR(__xludf.DUMMYFUNCTION("""COMPUTED_VALUE"""),"Epic Games")</f>
        <v>Epic Games</v>
      </c>
      <c r="C203" s="20" t="s">
        <v>1407</v>
      </c>
      <c r="D203" s="20" t="s">
        <v>1436</v>
      </c>
      <c r="E203" s="3" t="s">
        <v>1520</v>
      </c>
      <c r="F203" s="12"/>
      <c r="G203" s="12"/>
      <c r="H203" s="12"/>
      <c r="I203" s="12"/>
      <c r="J203" s="12"/>
    </row>
    <row r="204">
      <c r="A204">
        <f>IFERROR(__xludf.DUMMYFUNCTION("""COMPUTED_VALUE"""),297.0)</f>
        <v>297</v>
      </c>
      <c r="B204" s="12"/>
      <c r="E204" s="12"/>
      <c r="F204" s="12"/>
      <c r="G204" s="12"/>
      <c r="H204" s="12"/>
      <c r="I204" s="12"/>
      <c r="J204" s="12"/>
    </row>
    <row r="205">
      <c r="A205">
        <f>IFERROR(__xludf.DUMMYFUNCTION("""COMPUTED_VALUE"""),298.0)</f>
        <v>298</v>
      </c>
      <c r="B205" s="12" t="str">
        <f>IFERROR(__xludf.DUMMYFUNCTION("""COMPUTED_VALUE"""),"I remember it was for an organization app called Notion.")</f>
        <v>I remember it was for an organization app called Notion.</v>
      </c>
      <c r="C205" s="20" t="s">
        <v>1407</v>
      </c>
      <c r="D205" s="20" t="s">
        <v>1433</v>
      </c>
      <c r="E205" s="3" t="s">
        <v>1521</v>
      </c>
      <c r="F205" s="12"/>
      <c r="G205" s="12"/>
      <c r="H205" s="12"/>
      <c r="I205" s="12"/>
      <c r="J205" s="12"/>
    </row>
    <row r="206">
      <c r="A206">
        <f>IFERROR(__xludf.DUMMYFUNCTION("""COMPUTED_VALUE"""),299.0)</f>
        <v>299</v>
      </c>
      <c r="B206" s="12" t="str">
        <f>IFERROR(__xludf.DUMMYFUNCTION("""COMPUTED_VALUE"""),"Social media, website forums, etc")</f>
        <v>Social media, website forums, etc</v>
      </c>
      <c r="C206" s="20" t="s">
        <v>1407</v>
      </c>
      <c r="D206" s="20" t="s">
        <v>1412</v>
      </c>
      <c r="E206" s="3" t="s">
        <v>1522</v>
      </c>
      <c r="F206" s="3" t="s">
        <v>1450</v>
      </c>
      <c r="G206" s="12"/>
      <c r="H206" s="12"/>
      <c r="I206" s="12"/>
      <c r="J206" s="12"/>
    </row>
    <row r="207">
      <c r="A207">
        <f>IFERROR(__xludf.DUMMYFUNCTION("""COMPUTED_VALUE"""),300.0)</f>
        <v>300</v>
      </c>
      <c r="B207" s="12" t="str">
        <f>IFERROR(__xludf.DUMMYFUNCTION("""COMPUTED_VALUE"""),"It was the eBay app.")</f>
        <v>It was the eBay app.</v>
      </c>
      <c r="C207" s="20" t="s">
        <v>1407</v>
      </c>
      <c r="D207" s="20" t="s">
        <v>1408</v>
      </c>
      <c r="E207" s="3" t="s">
        <v>1482</v>
      </c>
      <c r="F207" s="12"/>
      <c r="G207" s="12"/>
      <c r="H207" s="12"/>
      <c r="I207" s="12"/>
      <c r="J207" s="12"/>
    </row>
    <row r="208">
      <c r="A208">
        <f>IFERROR(__xludf.DUMMYFUNCTION("""COMPUTED_VALUE"""),301.0)</f>
        <v>301</v>
      </c>
      <c r="B208" s="12" t="str">
        <f>IFERROR(__xludf.DUMMYFUNCTION("""COMPUTED_VALUE"""),"It was for some game but I cant remember the name")</f>
        <v>It was for some game but I cant remember the name</v>
      </c>
      <c r="C208" s="20" t="s">
        <v>1407</v>
      </c>
      <c r="D208" s="20" t="s">
        <v>1436</v>
      </c>
      <c r="E208" s="3" t="s">
        <v>1459</v>
      </c>
      <c r="F208" s="12"/>
      <c r="G208" s="12"/>
      <c r="H208" s="12"/>
      <c r="I208" s="12"/>
      <c r="J208" s="12"/>
    </row>
    <row r="209">
      <c r="A209">
        <f>IFERROR(__xludf.DUMMYFUNCTION("""COMPUTED_VALUE"""),302.0)</f>
        <v>302</v>
      </c>
      <c r="B209" s="12" t="str">
        <f>IFERROR(__xludf.DUMMYFUNCTION("""COMPUTED_VALUE"""),"Pinterest")</f>
        <v>Pinterest</v>
      </c>
      <c r="C209" s="20" t="s">
        <v>1407</v>
      </c>
      <c r="D209" s="20" t="s">
        <v>1414</v>
      </c>
      <c r="E209" s="3" t="s">
        <v>533</v>
      </c>
      <c r="F209" s="12"/>
      <c r="G209" s="12"/>
      <c r="H209" s="12"/>
      <c r="I209" s="12"/>
      <c r="J209" s="12"/>
    </row>
    <row r="210">
      <c r="A210">
        <f>IFERROR(__xludf.DUMMYFUNCTION("""COMPUTED_VALUE"""),303.0)</f>
        <v>303</v>
      </c>
      <c r="B210" s="12" t="str">
        <f>IFERROR(__xludf.DUMMYFUNCTION("""COMPUTED_VALUE"""),"I used it to sign into my ESPN account.")</f>
        <v>I used it to sign into my ESPN account.</v>
      </c>
      <c r="C210" s="20" t="s">
        <v>1407</v>
      </c>
      <c r="D210" s="20" t="s">
        <v>1467</v>
      </c>
      <c r="E210" s="3" t="s">
        <v>1523</v>
      </c>
      <c r="F210" s="12"/>
      <c r="G210" s="12"/>
      <c r="H210" s="12"/>
      <c r="I210" s="12"/>
      <c r="J210" s="12"/>
    </row>
    <row r="211">
      <c r="A211">
        <f>IFERROR(__xludf.DUMMYFUNCTION("""COMPUTED_VALUE"""),305.0)</f>
        <v>305</v>
      </c>
      <c r="B211" s="12" t="str">
        <f>IFERROR(__xludf.DUMMYFUNCTION("""COMPUTED_VALUE"""),"eBay.")</f>
        <v>eBay.</v>
      </c>
      <c r="C211" s="20" t="s">
        <v>1407</v>
      </c>
      <c r="D211" s="20" t="s">
        <v>1408</v>
      </c>
      <c r="E211" s="3" t="s">
        <v>1482</v>
      </c>
      <c r="F211" s="12"/>
      <c r="G211" s="12"/>
      <c r="H211" s="12"/>
      <c r="I211" s="12"/>
      <c r="J211" s="12"/>
    </row>
    <row r="212">
      <c r="A212">
        <f>IFERROR(__xludf.DUMMYFUNCTION("""COMPUTED_VALUE"""),306.0)</f>
        <v>306</v>
      </c>
      <c r="B212" s="12" t="str">
        <f>IFERROR(__xludf.DUMMYFUNCTION("""COMPUTED_VALUE"""),"I don't remember specifically")</f>
        <v>I don't remember specifically</v>
      </c>
      <c r="C212" s="20" t="s">
        <v>1407</v>
      </c>
      <c r="D212" s="20" t="s">
        <v>1431</v>
      </c>
      <c r="E212" s="3" t="s">
        <v>1432</v>
      </c>
      <c r="F212" s="12"/>
      <c r="G212" s="12"/>
      <c r="H212" s="12"/>
      <c r="I212" s="12"/>
      <c r="J212" s="12"/>
    </row>
    <row r="213">
      <c r="A213">
        <f>IFERROR(__xludf.DUMMYFUNCTION("""COMPUTED_VALUE"""),307.0)</f>
        <v>307</v>
      </c>
      <c r="B213" s="12" t="str">
        <f>IFERROR(__xludf.DUMMYFUNCTION("""COMPUTED_VALUE"""),"Paypal")</f>
        <v>Paypal</v>
      </c>
      <c r="C213" s="20" t="s">
        <v>1407</v>
      </c>
      <c r="D213" s="20" t="s">
        <v>1416</v>
      </c>
      <c r="E213" s="3" t="s">
        <v>1242</v>
      </c>
      <c r="F213" s="12"/>
      <c r="G213" s="12"/>
      <c r="H213" s="12"/>
      <c r="I213" s="12"/>
      <c r="J213" s="12"/>
    </row>
    <row r="214">
      <c r="A214">
        <f>IFERROR(__xludf.DUMMYFUNCTION("""COMPUTED_VALUE"""),308.0)</f>
        <v>308</v>
      </c>
      <c r="B214" s="12" t="str">
        <f>IFERROR(__xludf.DUMMYFUNCTION("""COMPUTED_VALUE"""),"mobile game, Fire Emblem Heroes")</f>
        <v>mobile game, Fire Emblem Heroes</v>
      </c>
      <c r="C214" s="20" t="s">
        <v>1407</v>
      </c>
      <c r="D214" s="20" t="s">
        <v>1436</v>
      </c>
      <c r="E214" s="3" t="s">
        <v>1524</v>
      </c>
      <c r="F214" s="12"/>
      <c r="G214" s="12"/>
      <c r="H214" s="12"/>
      <c r="I214" s="12"/>
      <c r="J214" s="12"/>
    </row>
    <row r="215">
      <c r="A215">
        <f>IFERROR(__xludf.DUMMYFUNCTION("""COMPUTED_VALUE"""),309.0)</f>
        <v>309</v>
      </c>
      <c r="B215" s="12" t="str">
        <f>IFERROR(__xludf.DUMMYFUNCTION("""COMPUTED_VALUE"""),"Microsoft Job App")</f>
        <v>Microsoft Job App</v>
      </c>
      <c r="C215" s="20" t="s">
        <v>1407</v>
      </c>
      <c r="D215" s="20" t="s">
        <v>1417</v>
      </c>
      <c r="E215" s="3" t="s">
        <v>1461</v>
      </c>
      <c r="F215" s="12"/>
      <c r="G215" s="12"/>
      <c r="H215" s="12"/>
      <c r="I215" s="12"/>
      <c r="J215" s="12"/>
    </row>
    <row r="216">
      <c r="A216">
        <f>IFERROR(__xludf.DUMMYFUNCTION("""COMPUTED_VALUE"""),310.0)</f>
        <v>310</v>
      </c>
      <c r="B216" s="12"/>
      <c r="E216" s="12"/>
      <c r="F216" s="12"/>
      <c r="G216" s="12"/>
      <c r="H216" s="12"/>
      <c r="I216" s="12"/>
      <c r="J216" s="12"/>
    </row>
    <row r="217">
      <c r="A217">
        <f>IFERROR(__xludf.DUMMYFUNCTION("""COMPUTED_VALUE"""),311.0)</f>
        <v>311</v>
      </c>
      <c r="B217" s="12" t="str">
        <f>IFERROR(__xludf.DUMMYFUNCTION("""COMPUTED_VALUE"""),"Zillow")</f>
        <v>Zillow</v>
      </c>
      <c r="C217" s="20" t="s">
        <v>1407</v>
      </c>
      <c r="D217" s="20" t="s">
        <v>1419</v>
      </c>
      <c r="E217" s="3" t="s">
        <v>146</v>
      </c>
      <c r="F217" s="12"/>
      <c r="G217" s="12"/>
      <c r="H217" s="12"/>
      <c r="I217" s="12"/>
      <c r="J217" s="12"/>
    </row>
    <row r="218">
      <c r="A218">
        <f>IFERROR(__xludf.DUMMYFUNCTION("""COMPUTED_VALUE"""),312.0)</f>
        <v>312</v>
      </c>
      <c r="B218" s="12" t="str">
        <f>IFERROR(__xludf.DUMMYFUNCTION("""COMPUTED_VALUE"""),"Forums, different retail sites")</f>
        <v>Forums, different retail sites</v>
      </c>
      <c r="C218" s="20" t="s">
        <v>1407</v>
      </c>
      <c r="D218" s="20" t="s">
        <v>1412</v>
      </c>
      <c r="E218" s="3" t="s">
        <v>1450</v>
      </c>
      <c r="F218" s="12"/>
      <c r="G218" s="12"/>
      <c r="H218" s="12"/>
      <c r="I218" s="12"/>
      <c r="J218" s="12"/>
    </row>
    <row r="219">
      <c r="A219">
        <f>IFERROR(__xludf.DUMMYFUNCTION("""COMPUTED_VALUE"""),313.0)</f>
        <v>313</v>
      </c>
      <c r="B219" s="12" t="str">
        <f>IFERROR(__xludf.DUMMYFUNCTION("""COMPUTED_VALUE"""),"A restaurant ordering platform")</f>
        <v>A restaurant ordering platform</v>
      </c>
      <c r="C219" s="20" t="s">
        <v>1407</v>
      </c>
      <c r="D219" s="20" t="s">
        <v>1429</v>
      </c>
      <c r="E219" s="3" t="s">
        <v>1452</v>
      </c>
      <c r="F219" s="12"/>
      <c r="G219" s="12"/>
      <c r="H219" s="12"/>
      <c r="I219" s="12"/>
      <c r="J219" s="12"/>
    </row>
    <row r="220">
      <c r="A220">
        <f>IFERROR(__xludf.DUMMYFUNCTION("""COMPUTED_VALUE"""),314.0)</f>
        <v>314</v>
      </c>
      <c r="B220" s="12" t="str">
        <f>IFERROR(__xludf.DUMMYFUNCTION("""COMPUTED_VALUE"""),"Github")</f>
        <v>Github</v>
      </c>
      <c r="C220" s="20" t="s">
        <v>1407</v>
      </c>
      <c r="D220" s="20" t="s">
        <v>1433</v>
      </c>
      <c r="E220" s="3" t="s">
        <v>1502</v>
      </c>
      <c r="F220" s="12"/>
      <c r="G220" s="12"/>
      <c r="H220" s="12"/>
      <c r="I220" s="12"/>
      <c r="J220" s="12"/>
    </row>
    <row r="221">
      <c r="A221">
        <f>IFERROR(__xludf.DUMMYFUNCTION("""COMPUTED_VALUE"""),315.0)</f>
        <v>315</v>
      </c>
      <c r="B221" s="12" t="str">
        <f>IFERROR(__xludf.DUMMYFUNCTION("""COMPUTED_VALUE"""),"Gaming apps that save information online as a backup.")</f>
        <v>Gaming apps that save information online as a backup.</v>
      </c>
      <c r="C221" s="20" t="s">
        <v>1407</v>
      </c>
      <c r="D221" s="20" t="s">
        <v>1436</v>
      </c>
      <c r="E221" s="3" t="s">
        <v>1459</v>
      </c>
      <c r="F221" s="12"/>
      <c r="G221" s="12"/>
      <c r="H221" s="12"/>
      <c r="I221" s="12"/>
      <c r="J221" s="12"/>
    </row>
    <row r="222">
      <c r="A222">
        <f>IFERROR(__xludf.DUMMYFUNCTION("""COMPUTED_VALUE"""),317.0)</f>
        <v>317</v>
      </c>
      <c r="B222" s="12" t="str">
        <f>IFERROR(__xludf.DUMMYFUNCTION("""COMPUTED_VALUE"""),"Online shopping sites")</f>
        <v>Online shopping sites</v>
      </c>
      <c r="C222" s="20" t="s">
        <v>1407</v>
      </c>
      <c r="D222" s="20" t="s">
        <v>1408</v>
      </c>
      <c r="E222" s="3" t="s">
        <v>1409</v>
      </c>
      <c r="F222" s="12"/>
      <c r="G222" s="12"/>
      <c r="H222" s="12"/>
      <c r="I222" s="12"/>
      <c r="J222" s="12"/>
    </row>
    <row r="223">
      <c r="A223">
        <f>IFERROR(__xludf.DUMMYFUNCTION("""COMPUTED_VALUE"""),318.0)</f>
        <v>318</v>
      </c>
      <c r="B223" s="12" t="str">
        <f>IFERROR(__xludf.DUMMYFUNCTION("""COMPUTED_VALUE"""),"It was Zillow")</f>
        <v>It was Zillow</v>
      </c>
      <c r="C223" s="20" t="s">
        <v>1407</v>
      </c>
      <c r="D223" s="20" t="s">
        <v>1419</v>
      </c>
      <c r="E223" s="3" t="s">
        <v>146</v>
      </c>
      <c r="F223" s="12"/>
      <c r="G223" s="12"/>
      <c r="H223" s="12"/>
      <c r="I223" s="12"/>
      <c r="J223" s="12"/>
    </row>
    <row r="224">
      <c r="A224">
        <f>IFERROR(__xludf.DUMMYFUNCTION("""COMPUTED_VALUE"""),319.0)</f>
        <v>319</v>
      </c>
      <c r="B224" s="12" t="str">
        <f>IFERROR(__xludf.DUMMYFUNCTION("""COMPUTED_VALUE"""),"A mobile game called Dragon Ball Legends")</f>
        <v>A mobile game called Dragon Ball Legends</v>
      </c>
      <c r="C224" s="20" t="s">
        <v>1407</v>
      </c>
      <c r="D224" s="20" t="s">
        <v>1436</v>
      </c>
      <c r="E224" s="3" t="s">
        <v>1525</v>
      </c>
      <c r="F224" s="12"/>
      <c r="G224" s="12"/>
      <c r="H224" s="12"/>
      <c r="I224" s="12"/>
      <c r="J224" s="12"/>
    </row>
    <row r="225">
      <c r="A225">
        <f>IFERROR(__xludf.DUMMYFUNCTION("""COMPUTED_VALUE"""),321.0)</f>
        <v>321</v>
      </c>
      <c r="B225" s="12" t="str">
        <f>IFERROR(__xludf.DUMMYFUNCTION("""COMPUTED_VALUE"""),"Twitter")</f>
        <v>Twitter</v>
      </c>
      <c r="C225" s="20" t="s">
        <v>1407</v>
      </c>
      <c r="D225" s="20" t="s">
        <v>1412</v>
      </c>
      <c r="E225" s="3" t="s">
        <v>1113</v>
      </c>
      <c r="F225" s="12"/>
      <c r="G225" s="12"/>
      <c r="H225" s="12"/>
      <c r="I225" s="12"/>
      <c r="J225" s="12"/>
    </row>
    <row r="226">
      <c r="A226">
        <f>IFERROR(__xludf.DUMMYFUNCTION("""COMPUTED_VALUE"""),322.0)</f>
        <v>322</v>
      </c>
      <c r="B226" s="12" t="str">
        <f>IFERROR(__xludf.DUMMYFUNCTION("""COMPUTED_VALUE"""),"I used my account to sign into YouTube.")</f>
        <v>I used my account to sign into YouTube.</v>
      </c>
      <c r="C226" s="20" t="s">
        <v>1407</v>
      </c>
      <c r="D226" s="20" t="s">
        <v>1443</v>
      </c>
      <c r="E226" s="3" t="s">
        <v>228</v>
      </c>
      <c r="F226" s="12"/>
      <c r="G226" s="12"/>
      <c r="H226" s="12"/>
      <c r="I226" s="12"/>
      <c r="J226" s="12"/>
    </row>
    <row r="227">
      <c r="A227">
        <f>IFERROR(__xludf.DUMMYFUNCTION("""COMPUTED_VALUE"""),323.0)</f>
        <v>323</v>
      </c>
      <c r="B227" s="12" t="str">
        <f>IFERROR(__xludf.DUMMYFUNCTION("""COMPUTED_VALUE"""),"Honey")</f>
        <v>Honey</v>
      </c>
      <c r="C227" s="20" t="s">
        <v>1407</v>
      </c>
      <c r="D227" s="20" t="s">
        <v>1408</v>
      </c>
      <c r="E227" s="3" t="s">
        <v>1460</v>
      </c>
      <c r="F227" s="12"/>
      <c r="G227" s="12"/>
      <c r="H227" s="12"/>
      <c r="I227" s="12"/>
      <c r="J227" s="12"/>
    </row>
    <row r="228">
      <c r="A228">
        <f>IFERROR(__xludf.DUMMYFUNCTION("""COMPUTED_VALUE"""),325.0)</f>
        <v>325</v>
      </c>
      <c r="B228" s="12" t="str">
        <f>IFERROR(__xludf.DUMMYFUNCTION("""COMPUTED_VALUE"""),"I believe I used it to sign into my NVidia account so I could update my drivers for my video card.")</f>
        <v>I believe I used it to sign into my NVidia account so I could update my drivers for my video card.</v>
      </c>
      <c r="C228" s="20" t="s">
        <v>1407</v>
      </c>
      <c r="D228" s="20" t="s">
        <v>1433</v>
      </c>
      <c r="E228" s="3" t="s">
        <v>1526</v>
      </c>
      <c r="F228" s="12"/>
      <c r="G228" s="12"/>
      <c r="H228" s="12"/>
      <c r="I228" s="12"/>
      <c r="J228" s="12"/>
    </row>
    <row r="229">
      <c r="A229">
        <f>IFERROR(__xludf.DUMMYFUNCTION("""COMPUTED_VALUE"""),326.0)</f>
        <v>326</v>
      </c>
      <c r="B229" s="12" t="str">
        <f>IFERROR(__xludf.DUMMYFUNCTION("""COMPUTED_VALUE"""),"I can't specifically recall, because it has been a long time, but I know I have signed into other sites with my google account.")</f>
        <v>I can't specifically recall, because it has been a long time, but I know I have signed into other sites with my google account.</v>
      </c>
      <c r="C229" s="20" t="s">
        <v>1407</v>
      </c>
      <c r="D229" s="20" t="s">
        <v>1431</v>
      </c>
      <c r="E229" s="3" t="s">
        <v>1432</v>
      </c>
      <c r="F229" s="12"/>
      <c r="G229" s="12"/>
      <c r="H229" s="12"/>
      <c r="I229" s="12"/>
      <c r="J229" s="12"/>
    </row>
    <row r="230">
      <c r="A230">
        <f>IFERROR(__xludf.DUMMYFUNCTION("""COMPUTED_VALUE"""),327.0)</f>
        <v>327</v>
      </c>
      <c r="B230" s="12" t="str">
        <f>IFERROR(__xludf.DUMMYFUNCTION("""COMPUTED_VALUE"""),"I use a service called ""Gramfree"" and use my Google Account to login.")</f>
        <v>I use a service called "Gramfree" and use my Google Account to login.</v>
      </c>
      <c r="C230" s="20" t="s">
        <v>1407</v>
      </c>
      <c r="D230" s="20" t="s">
        <v>1416</v>
      </c>
      <c r="E230" s="3" t="s">
        <v>1527</v>
      </c>
      <c r="F230" s="12"/>
      <c r="G230" s="12"/>
      <c r="H230" s="12"/>
      <c r="I230" s="12"/>
      <c r="J230" s="12"/>
    </row>
    <row r="231">
      <c r="A231">
        <f>IFERROR(__xludf.DUMMYFUNCTION("""COMPUTED_VALUE"""),328.0)</f>
        <v>328</v>
      </c>
      <c r="B231" s="12" t="str">
        <f>IFERROR(__xludf.DUMMYFUNCTION("""COMPUTED_VALUE"""),"Red Robin")</f>
        <v>Red Robin</v>
      </c>
      <c r="C231" s="20" t="s">
        <v>1407</v>
      </c>
      <c r="D231" s="20" t="s">
        <v>1429</v>
      </c>
      <c r="E231" s="3" t="s">
        <v>1528</v>
      </c>
      <c r="F231" s="12"/>
      <c r="G231" s="12"/>
      <c r="H231" s="12"/>
      <c r="I231" s="12"/>
      <c r="J231" s="12"/>
    </row>
    <row r="232">
      <c r="A232">
        <f>IFERROR(__xludf.DUMMYFUNCTION("""COMPUTED_VALUE"""),329.0)</f>
        <v>329</v>
      </c>
      <c r="B232" s="12" t="str">
        <f>IFERROR(__xludf.DUMMYFUNCTION("""COMPUTED_VALUE"""),"Discogs")</f>
        <v>Discogs</v>
      </c>
      <c r="C232" s="20" t="s">
        <v>1407</v>
      </c>
      <c r="D232" s="20" t="s">
        <v>1443</v>
      </c>
      <c r="E232" s="3" t="s">
        <v>1529</v>
      </c>
      <c r="F232" s="12"/>
      <c r="G232" s="12"/>
      <c r="H232" s="12"/>
      <c r="I232" s="12"/>
      <c r="J232" s="12"/>
    </row>
    <row r="233">
      <c r="A233">
        <f>IFERROR(__xludf.DUMMYFUNCTION("""COMPUTED_VALUE"""),330.0)</f>
        <v>330</v>
      </c>
      <c r="B233" s="12"/>
      <c r="E233" s="12"/>
      <c r="F233" s="12"/>
      <c r="G233" s="12"/>
      <c r="H233" s="12"/>
      <c r="I233" s="12"/>
      <c r="J233" s="12"/>
    </row>
    <row r="234">
      <c r="A234">
        <f>IFERROR(__xludf.DUMMYFUNCTION("""COMPUTED_VALUE"""),331.0)</f>
        <v>331</v>
      </c>
      <c r="B234" s="12" t="str">
        <f>IFERROR(__xludf.DUMMYFUNCTION("""COMPUTED_VALUE"""),"Glassdoor")</f>
        <v>Glassdoor</v>
      </c>
      <c r="C234" s="20" t="s">
        <v>1407</v>
      </c>
      <c r="D234" s="20" t="s">
        <v>1417</v>
      </c>
      <c r="E234" s="3" t="s">
        <v>1530</v>
      </c>
      <c r="F234" s="12"/>
      <c r="G234" s="12"/>
      <c r="H234" s="12"/>
      <c r="I234" s="12"/>
      <c r="J234" s="12"/>
    </row>
    <row r="235">
      <c r="A235">
        <f>IFERROR(__xludf.DUMMYFUNCTION("""COMPUTED_VALUE"""),332.0)</f>
        <v>332</v>
      </c>
      <c r="B235" s="12" t="str">
        <f>IFERROR(__xludf.DUMMYFUNCTION("""COMPUTED_VALUE"""),"I believe it was Etsy? But I could be wrong.")</f>
        <v>I believe it was Etsy? But I could be wrong.</v>
      </c>
      <c r="C235" s="20" t="s">
        <v>1407</v>
      </c>
      <c r="D235" s="20" t="s">
        <v>1408</v>
      </c>
      <c r="E235" s="3" t="s">
        <v>1531</v>
      </c>
      <c r="F235" s="12"/>
      <c r="G235" s="12"/>
      <c r="H235" s="12"/>
      <c r="I235" s="12"/>
      <c r="J235" s="12"/>
    </row>
    <row r="236">
      <c r="A236">
        <f>IFERROR(__xludf.DUMMYFUNCTION("""COMPUTED_VALUE"""),333.0)</f>
        <v>333</v>
      </c>
      <c r="B236" s="12" t="str">
        <f>IFERROR(__xludf.DUMMYFUNCTION("""COMPUTED_VALUE"""),"I signed into a site for leaving reviews.")</f>
        <v>I signed into a site for leaving reviews.</v>
      </c>
      <c r="C236" s="20" t="s">
        <v>1407</v>
      </c>
      <c r="D236" s="20" t="s">
        <v>1412</v>
      </c>
      <c r="E236" s="3" t="s">
        <v>1532</v>
      </c>
      <c r="F236" s="12"/>
      <c r="G236" s="12"/>
      <c r="H236" s="12"/>
      <c r="I236" s="12"/>
      <c r="J236" s="12"/>
    </row>
    <row r="237">
      <c r="A237">
        <f>IFERROR(__xludf.DUMMYFUNCTION("""COMPUTED_VALUE"""),335.0)</f>
        <v>335</v>
      </c>
      <c r="B237" s="12" t="str">
        <f>IFERROR(__xludf.DUMMYFUNCTION("""COMPUTED_VALUE"""),"McDonald's")</f>
        <v>McDonald's</v>
      </c>
      <c r="C237" s="20" t="s">
        <v>1407</v>
      </c>
      <c r="D237" s="20" t="s">
        <v>1429</v>
      </c>
      <c r="E237" s="3" t="s">
        <v>977</v>
      </c>
      <c r="F237" s="12"/>
      <c r="G237" s="12"/>
      <c r="H237" s="12"/>
      <c r="I237" s="12"/>
      <c r="J237" s="12"/>
    </row>
    <row r="238">
      <c r="A238">
        <f>IFERROR(__xludf.DUMMYFUNCTION("""COMPUTED_VALUE"""),336.0)</f>
        <v>336</v>
      </c>
      <c r="B238" s="12"/>
      <c r="E238" s="12"/>
      <c r="F238" s="12"/>
      <c r="G238" s="12"/>
      <c r="H238" s="12"/>
      <c r="I238" s="12"/>
      <c r="J238" s="12"/>
    </row>
    <row r="239">
      <c r="A239">
        <f>IFERROR(__xludf.DUMMYFUNCTION("""COMPUTED_VALUE"""),337.0)</f>
        <v>337</v>
      </c>
      <c r="B239" s="12" t="str">
        <f>IFERROR(__xludf.DUMMYFUNCTION("""COMPUTED_VALUE"""),"hmm... probaby Thredup (shopping), or offerup (buying and selling).")</f>
        <v>hmm... probaby Thredup (shopping), or offerup (buying and selling).</v>
      </c>
      <c r="C239" s="20" t="s">
        <v>1407</v>
      </c>
      <c r="D239" s="20" t="s">
        <v>1408</v>
      </c>
      <c r="E239" s="3" t="s">
        <v>1533</v>
      </c>
      <c r="F239" s="3" t="s">
        <v>1446</v>
      </c>
      <c r="G239" s="12"/>
      <c r="H239" s="12"/>
      <c r="I239" s="12"/>
      <c r="J239" s="12"/>
    </row>
    <row r="240">
      <c r="A240">
        <f>IFERROR(__xludf.DUMMYFUNCTION("""COMPUTED_VALUE"""),338.0)</f>
        <v>338</v>
      </c>
      <c r="B240" s="12" t="str">
        <f>IFERROR(__xludf.DUMMYFUNCTION("""COMPUTED_VALUE"""),"The last app that I used my Google Account to sign into was shopping online at ASOS using the app.")</f>
        <v>The last app that I used my Google Account to sign into was shopping online at ASOS using the app.</v>
      </c>
      <c r="C240" s="20" t="s">
        <v>1407</v>
      </c>
      <c r="D240" s="20" t="s">
        <v>1408</v>
      </c>
      <c r="E240" s="3" t="s">
        <v>1534</v>
      </c>
      <c r="F240" s="12"/>
      <c r="G240" s="12"/>
      <c r="H240" s="12"/>
      <c r="I240" s="12"/>
      <c r="J240" s="12"/>
    </row>
    <row r="241">
      <c r="A241">
        <f>IFERROR(__xludf.DUMMYFUNCTION("""COMPUTED_VALUE"""),339.0)</f>
        <v>339</v>
      </c>
      <c r="B241" s="12" t="str">
        <f>IFERROR(__xludf.DUMMYFUNCTION("""COMPUTED_VALUE"""),"Lots of shopping websites online.")</f>
        <v>Lots of shopping websites online.</v>
      </c>
      <c r="C241" s="20" t="s">
        <v>1407</v>
      </c>
      <c r="D241" s="20" t="s">
        <v>1408</v>
      </c>
      <c r="E241" s="3" t="s">
        <v>1409</v>
      </c>
      <c r="F241" s="12"/>
      <c r="G241" s="12"/>
      <c r="H241" s="12"/>
      <c r="I241" s="12"/>
      <c r="J241" s="12"/>
    </row>
    <row r="242">
      <c r="A242">
        <f>IFERROR(__xludf.DUMMYFUNCTION("""COMPUTED_VALUE"""),340.0)</f>
        <v>340</v>
      </c>
      <c r="B242" s="12" t="str">
        <f>IFERROR(__xludf.DUMMYFUNCTION("""COMPUTED_VALUE"""),"Canvas")</f>
        <v>Canvas</v>
      </c>
      <c r="C242" s="20" t="s">
        <v>1407</v>
      </c>
      <c r="D242" s="20" t="s">
        <v>1423</v>
      </c>
      <c r="E242" s="3" t="s">
        <v>1535</v>
      </c>
      <c r="F242" s="12"/>
      <c r="G242" s="12"/>
      <c r="H242" s="12"/>
      <c r="I242" s="12"/>
      <c r="J242" s="12"/>
    </row>
    <row r="243">
      <c r="A243">
        <f>IFERROR(__xludf.DUMMYFUNCTION("""COMPUTED_VALUE"""),341.0)</f>
        <v>341</v>
      </c>
      <c r="B243" s="12" t="str">
        <f>IFERROR(__xludf.DUMMYFUNCTION("""COMPUTED_VALUE"""),"Reddit")</f>
        <v>Reddit</v>
      </c>
      <c r="C243" s="20" t="s">
        <v>1407</v>
      </c>
      <c r="D243" s="20" t="s">
        <v>1412</v>
      </c>
      <c r="E243" s="3" t="s">
        <v>1413</v>
      </c>
      <c r="F243" s="12"/>
      <c r="G243" s="12"/>
      <c r="H243" s="12"/>
      <c r="I243" s="12"/>
      <c r="J243" s="12"/>
    </row>
    <row r="244">
      <c r="A244">
        <f>IFERROR(__xludf.DUMMYFUNCTION("""COMPUTED_VALUE"""),342.0)</f>
        <v>342</v>
      </c>
      <c r="B244" s="12" t="str">
        <f>IFERROR(__xludf.DUMMYFUNCTION("""COMPUTED_VALUE"""),"i don't remember")</f>
        <v>i don't remember</v>
      </c>
      <c r="C244" s="20" t="s">
        <v>1407</v>
      </c>
      <c r="D244" s="20" t="s">
        <v>1431</v>
      </c>
      <c r="E244" s="3" t="s">
        <v>1432</v>
      </c>
      <c r="F244" s="12"/>
      <c r="G244" s="12"/>
      <c r="H244" s="12"/>
      <c r="I244" s="12"/>
      <c r="J244" s="12"/>
    </row>
    <row r="245">
      <c r="A245">
        <f>IFERROR(__xludf.DUMMYFUNCTION("""COMPUTED_VALUE"""),345.0)</f>
        <v>345</v>
      </c>
      <c r="B245" s="12" t="str">
        <f>IFERROR(__xludf.DUMMYFUNCTION("""COMPUTED_VALUE"""),"I use it to sign into news websites.")</f>
        <v>I use it to sign into news websites.</v>
      </c>
      <c r="C245" s="20" t="s">
        <v>1407</v>
      </c>
      <c r="D245" s="20" t="s">
        <v>1421</v>
      </c>
      <c r="E245" s="3" t="s">
        <v>1536</v>
      </c>
      <c r="F245" s="12"/>
      <c r="G245" s="12"/>
      <c r="H245" s="12"/>
      <c r="I245" s="12"/>
      <c r="J245" s="12"/>
    </row>
    <row r="246">
      <c r="A246">
        <f>IFERROR(__xludf.DUMMYFUNCTION("""COMPUTED_VALUE"""),347.0)</f>
        <v>347</v>
      </c>
      <c r="B246" s="12"/>
      <c r="E246" s="12"/>
      <c r="F246" s="12"/>
      <c r="G246" s="12"/>
      <c r="H246" s="12"/>
      <c r="I246" s="12"/>
      <c r="J246" s="12"/>
    </row>
    <row r="247">
      <c r="A247">
        <f>IFERROR(__xludf.DUMMYFUNCTION("""COMPUTED_VALUE"""),349.0)</f>
        <v>349</v>
      </c>
      <c r="B247" s="12" t="str">
        <f>IFERROR(__xludf.DUMMYFUNCTION("""COMPUTED_VALUE"""),"I used it to create a tiktok account.")</f>
        <v>I used it to create a tiktok account.</v>
      </c>
      <c r="C247" s="20" t="s">
        <v>1407</v>
      </c>
      <c r="D247" s="20" t="s">
        <v>1412</v>
      </c>
      <c r="E247" s="3" t="s">
        <v>1537</v>
      </c>
      <c r="F247" s="12"/>
      <c r="G247" s="12"/>
      <c r="H247" s="12"/>
      <c r="I247" s="12"/>
      <c r="J247" s="12"/>
    </row>
    <row r="248">
      <c r="A248">
        <f>IFERROR(__xludf.DUMMYFUNCTION("""COMPUTED_VALUE"""),351.0)</f>
        <v>351</v>
      </c>
      <c r="B248" s="12" t="str">
        <f>IFERROR(__xludf.DUMMYFUNCTION("""COMPUTED_VALUE"""),"Espn")</f>
        <v>Espn</v>
      </c>
      <c r="C248" s="20" t="s">
        <v>1407</v>
      </c>
      <c r="D248" s="20" t="s">
        <v>1467</v>
      </c>
      <c r="E248" s="3" t="s">
        <v>1523</v>
      </c>
      <c r="F248" s="12"/>
      <c r="G248" s="12"/>
      <c r="H248" s="12"/>
      <c r="I248" s="12"/>
      <c r="J248" s="12"/>
    </row>
    <row r="249">
      <c r="A249">
        <f>IFERROR(__xludf.DUMMYFUNCTION("""COMPUTED_VALUE"""),352.0)</f>
        <v>352</v>
      </c>
      <c r="B249" s="12" t="str">
        <f>IFERROR(__xludf.DUMMYFUNCTION("""COMPUTED_VALUE"""),"I believe it was Valorant the game by Riot.")</f>
        <v>I believe it was Valorant the game by Riot.</v>
      </c>
      <c r="C249" s="20" t="s">
        <v>1407</v>
      </c>
      <c r="D249" s="20" t="s">
        <v>1436</v>
      </c>
      <c r="E249" s="3" t="s">
        <v>1538</v>
      </c>
      <c r="F249" s="12"/>
      <c r="G249" s="12"/>
      <c r="H249" s="12"/>
      <c r="I249" s="12"/>
      <c r="J249" s="12"/>
    </row>
    <row r="250">
      <c r="A250">
        <f>IFERROR(__xludf.DUMMYFUNCTION("""COMPUTED_VALUE"""),354.0)</f>
        <v>354</v>
      </c>
      <c r="B250" s="12" t="str">
        <f>IFERROR(__xludf.DUMMYFUNCTION("""COMPUTED_VALUE"""),"Etsy")</f>
        <v>Etsy</v>
      </c>
      <c r="C250" s="20" t="s">
        <v>1407</v>
      </c>
      <c r="D250" s="20" t="s">
        <v>1408</v>
      </c>
      <c r="E250" s="3" t="s">
        <v>1531</v>
      </c>
      <c r="F250" s="12"/>
      <c r="G250" s="12"/>
      <c r="H250" s="12"/>
      <c r="I250" s="12"/>
      <c r="J250" s="12"/>
    </row>
    <row r="251">
      <c r="A251">
        <f>IFERROR(__xludf.DUMMYFUNCTION("""COMPUTED_VALUE"""),355.0)</f>
        <v>355</v>
      </c>
      <c r="B251" s="12" t="str">
        <f>IFERROR(__xludf.DUMMYFUNCTION("""COMPUTED_VALUE"""),"I use it to login to Pokemon Go")</f>
        <v>I use it to login to Pokemon Go</v>
      </c>
      <c r="C251" s="20" t="s">
        <v>1407</v>
      </c>
      <c r="D251" s="20" t="s">
        <v>1436</v>
      </c>
      <c r="E251" s="3" t="s">
        <v>1539</v>
      </c>
      <c r="F251" s="12"/>
      <c r="G251" s="12"/>
      <c r="H251" s="12"/>
      <c r="I251" s="12"/>
      <c r="J251" s="12"/>
    </row>
    <row r="252">
      <c r="A252">
        <f>IFERROR(__xludf.DUMMYFUNCTION("""COMPUTED_VALUE"""),357.0)</f>
        <v>357</v>
      </c>
      <c r="B252" s="12" t="str">
        <f>IFERROR(__xludf.DUMMYFUNCTION("""COMPUTED_VALUE"""),"Youtube")</f>
        <v>Youtube</v>
      </c>
      <c r="C252" s="20" t="s">
        <v>1407</v>
      </c>
      <c r="D252" s="20" t="s">
        <v>1443</v>
      </c>
      <c r="E252" s="3" t="s">
        <v>228</v>
      </c>
      <c r="F252" s="12"/>
      <c r="G252" s="12"/>
      <c r="H252" s="12"/>
      <c r="I252" s="12"/>
      <c r="J252" s="12"/>
    </row>
    <row r="253">
      <c r="A253">
        <f>IFERROR(__xludf.DUMMYFUNCTION("""COMPUTED_VALUE"""),358.0)</f>
        <v>358</v>
      </c>
      <c r="B253" s="12" t="str">
        <f>IFERROR(__xludf.DUMMYFUNCTION("""COMPUTED_VALUE"""),"I don't remember but it was a service online that I didn't want to take the time to create an account. I think it was Zoom")</f>
        <v>I don't remember but it was a service online that I didn't want to take the time to create an account. I think it was Zoom</v>
      </c>
      <c r="C253" s="20" t="s">
        <v>1407</v>
      </c>
      <c r="D253" s="20" t="s">
        <v>1417</v>
      </c>
      <c r="E253" s="3" t="s">
        <v>588</v>
      </c>
      <c r="F253" s="12"/>
      <c r="G253" s="12"/>
      <c r="H253" s="12"/>
      <c r="I253" s="12"/>
      <c r="J253" s="12"/>
    </row>
    <row r="254">
      <c r="A254">
        <f>IFERROR(__xludf.DUMMYFUNCTION("""COMPUTED_VALUE"""),360.0)</f>
        <v>360</v>
      </c>
      <c r="B254" s="12" t="str">
        <f>IFERROR(__xludf.DUMMYFUNCTION("""COMPUTED_VALUE"""),"Zillow")</f>
        <v>Zillow</v>
      </c>
      <c r="C254" s="20" t="s">
        <v>1407</v>
      </c>
      <c r="D254" s="20" t="s">
        <v>1419</v>
      </c>
      <c r="E254" s="3" t="s">
        <v>146</v>
      </c>
      <c r="F254" s="12"/>
      <c r="G254" s="12"/>
      <c r="H254" s="12"/>
      <c r="I254" s="12"/>
      <c r="J254" s="12"/>
    </row>
    <row r="255">
      <c r="A255">
        <f>IFERROR(__xludf.DUMMYFUNCTION("""COMPUTED_VALUE"""),361.0)</f>
        <v>361</v>
      </c>
      <c r="B255" s="12" t="str">
        <f>IFERROR(__xludf.DUMMYFUNCTION("""COMPUTED_VALUE"""),"I used it for a stock photo account")</f>
        <v>I used it for a stock photo account</v>
      </c>
      <c r="C255" s="20" t="s">
        <v>1407</v>
      </c>
      <c r="D255" s="20" t="s">
        <v>1433</v>
      </c>
      <c r="E255" s="3" t="s">
        <v>1540</v>
      </c>
      <c r="F255" s="12"/>
      <c r="G255" s="12"/>
      <c r="H255" s="12"/>
      <c r="I255" s="12"/>
      <c r="J255" s="12"/>
    </row>
    <row r="256">
      <c r="A256">
        <f>IFERROR(__xludf.DUMMYFUNCTION("""COMPUTED_VALUE"""),362.0)</f>
        <v>362</v>
      </c>
      <c r="B256" s="12"/>
      <c r="E256" s="12"/>
      <c r="F256" s="12"/>
      <c r="G256" s="12"/>
      <c r="H256" s="12"/>
      <c r="I256" s="12"/>
      <c r="J256" s="12"/>
    </row>
    <row r="257">
      <c r="A257">
        <f>IFERROR(__xludf.DUMMYFUNCTION("""COMPUTED_VALUE"""),363.0)</f>
        <v>363</v>
      </c>
      <c r="B257" s="12" t="str">
        <f>IFERROR(__xludf.DUMMYFUNCTION("""COMPUTED_VALUE"""),"The last time I used Google Account was yesterday for facebook.")</f>
        <v>The last time I used Google Account was yesterday for facebook.</v>
      </c>
      <c r="C257" s="20" t="s">
        <v>1407</v>
      </c>
      <c r="D257" s="20" t="s">
        <v>1412</v>
      </c>
      <c r="E257" s="3" t="s">
        <v>187</v>
      </c>
      <c r="F257" s="12"/>
      <c r="G257" s="12"/>
      <c r="H257" s="12"/>
      <c r="I257" s="12"/>
      <c r="J257" s="12"/>
    </row>
    <row r="258">
      <c r="A258">
        <f>IFERROR(__xludf.DUMMYFUNCTION("""COMPUTED_VALUE"""),364.0)</f>
        <v>364</v>
      </c>
      <c r="B258" s="12" t="str">
        <f>IFERROR(__xludf.DUMMYFUNCTION("""COMPUTED_VALUE"""),"An android game in the play store.")</f>
        <v>An android game in the play store.</v>
      </c>
      <c r="C258" s="20" t="s">
        <v>1407</v>
      </c>
      <c r="D258" s="20" t="s">
        <v>1436</v>
      </c>
      <c r="E258" s="3" t="s">
        <v>1459</v>
      </c>
      <c r="F258" s="12"/>
      <c r="G258" s="12"/>
      <c r="H258" s="12"/>
      <c r="I258" s="12"/>
      <c r="J258" s="12"/>
    </row>
    <row r="259">
      <c r="A259">
        <f>IFERROR(__xludf.DUMMYFUNCTION("""COMPUTED_VALUE"""),365.0)</f>
        <v>365</v>
      </c>
      <c r="B259" s="12" t="str">
        <f>IFERROR(__xludf.DUMMYFUNCTION("""COMPUTED_VALUE"""),"Epic Games Store")</f>
        <v>Epic Games Store</v>
      </c>
      <c r="C259" s="20" t="s">
        <v>1407</v>
      </c>
      <c r="D259" s="20" t="s">
        <v>1436</v>
      </c>
      <c r="E259" s="3" t="s">
        <v>1520</v>
      </c>
      <c r="F259" s="12"/>
      <c r="G259" s="12"/>
      <c r="H259" s="12"/>
      <c r="I259" s="12"/>
      <c r="J259" s="12"/>
    </row>
    <row r="260">
      <c r="A260">
        <f>IFERROR(__xludf.DUMMYFUNCTION("""COMPUTED_VALUE"""),366.0)</f>
        <v>366</v>
      </c>
      <c r="B260" s="12"/>
      <c r="E260" s="12"/>
      <c r="F260" s="12"/>
      <c r="G260" s="12"/>
      <c r="H260" s="12"/>
      <c r="I260" s="12"/>
      <c r="J260" s="12"/>
    </row>
    <row r="261">
      <c r="A261">
        <f>IFERROR(__xludf.DUMMYFUNCTION("""COMPUTED_VALUE"""),367.0)</f>
        <v>367</v>
      </c>
      <c r="B261" s="12" t="str">
        <f>IFERROR(__xludf.DUMMYFUNCTION("""COMPUTED_VALUE"""),"Pinterest")</f>
        <v>Pinterest</v>
      </c>
      <c r="C261" s="20" t="s">
        <v>1407</v>
      </c>
      <c r="D261" s="20" t="s">
        <v>1414</v>
      </c>
      <c r="E261" s="3" t="s">
        <v>533</v>
      </c>
      <c r="F261" s="12"/>
      <c r="G261" s="12"/>
      <c r="H261" s="12"/>
      <c r="I261" s="12"/>
      <c r="J261" s="12"/>
    </row>
    <row r="262">
      <c r="A262">
        <f>IFERROR(__xludf.DUMMYFUNCTION("""COMPUTED_VALUE"""),368.0)</f>
        <v>368</v>
      </c>
      <c r="B262" s="12" t="str">
        <f>IFERROR(__xludf.DUMMYFUNCTION("""COMPUTED_VALUE"""),"PlayerAuctions")</f>
        <v>PlayerAuctions</v>
      </c>
      <c r="C262" s="20" t="s">
        <v>1407</v>
      </c>
      <c r="D262" s="20" t="s">
        <v>1436</v>
      </c>
      <c r="E262" s="3" t="s">
        <v>1541</v>
      </c>
      <c r="F262" s="12"/>
      <c r="G262" s="12"/>
      <c r="H262" s="12"/>
      <c r="I262" s="12"/>
      <c r="J262" s="12"/>
    </row>
    <row r="263">
      <c r="A263">
        <f>IFERROR(__xludf.DUMMYFUNCTION("""COMPUTED_VALUE"""),372.0)</f>
        <v>372</v>
      </c>
      <c r="B263" s="12" t="str">
        <f>IFERROR(__xludf.DUMMYFUNCTION("""COMPUTED_VALUE"""),"Doordash")</f>
        <v>Doordash</v>
      </c>
      <c r="C263" s="20" t="s">
        <v>1407</v>
      </c>
      <c r="D263" s="20" t="s">
        <v>1429</v>
      </c>
      <c r="E263" s="3" t="s">
        <v>1430</v>
      </c>
      <c r="F263" s="12"/>
      <c r="G263" s="12"/>
      <c r="H263" s="12"/>
      <c r="I263" s="12"/>
      <c r="J263" s="12"/>
    </row>
    <row r="264">
      <c r="A264">
        <f>IFERROR(__xludf.DUMMYFUNCTION("""COMPUTED_VALUE"""),373.0)</f>
        <v>373</v>
      </c>
      <c r="B264" s="12" t="str">
        <f>IFERROR(__xludf.DUMMYFUNCTION("""COMPUTED_VALUE"""),"Probably Yelp")</f>
        <v>Probably Yelp</v>
      </c>
      <c r="C264" s="20" t="s">
        <v>1407</v>
      </c>
      <c r="D264" s="20" t="s">
        <v>1429</v>
      </c>
      <c r="E264" s="3" t="s">
        <v>1481</v>
      </c>
      <c r="F264" s="12"/>
      <c r="G264" s="12"/>
      <c r="H264" s="12"/>
      <c r="I264" s="12"/>
      <c r="J264" s="12"/>
    </row>
    <row r="265">
      <c r="A265">
        <f>IFERROR(__xludf.DUMMYFUNCTION("""COMPUTED_VALUE"""),374.0)</f>
        <v>374</v>
      </c>
      <c r="B265" s="12"/>
      <c r="E265" s="12"/>
      <c r="F265" s="12"/>
      <c r="G265" s="12"/>
      <c r="H265" s="12"/>
      <c r="I265" s="12"/>
      <c r="J265" s="12"/>
    </row>
    <row r="266">
      <c r="A266">
        <f>IFERROR(__xludf.DUMMYFUNCTION("""COMPUTED_VALUE"""),376.0)</f>
        <v>376</v>
      </c>
      <c r="B266" s="31" t="str">
        <f>IFERROR(__xludf.DUMMYFUNCTION("""COMPUTED_VALUE"""),"Quora.com")</f>
        <v>Quora.com</v>
      </c>
      <c r="C266" s="20" t="s">
        <v>1407</v>
      </c>
      <c r="D266" s="20" t="s">
        <v>1421</v>
      </c>
      <c r="E266" s="3" t="s">
        <v>178</v>
      </c>
      <c r="F266" s="12"/>
      <c r="G266" s="12"/>
      <c r="H266" s="12"/>
      <c r="I266" s="12"/>
      <c r="J266" s="12"/>
    </row>
    <row r="267">
      <c r="A267">
        <f>IFERROR(__xludf.DUMMYFUNCTION("""COMPUTED_VALUE"""),377.0)</f>
        <v>377</v>
      </c>
      <c r="B267" s="12" t="str">
        <f>IFERROR(__xludf.DUMMYFUNCTION("""COMPUTED_VALUE"""),"The last time I remember signing up with a Google Account was either for a Chewy or GPay account.")</f>
        <v>The last time I remember signing up with a Google Account was either for a Chewy or GPay account.</v>
      </c>
      <c r="C267" s="20" t="s">
        <v>1407</v>
      </c>
      <c r="D267" s="20" t="s">
        <v>1408</v>
      </c>
      <c r="E267" s="3" t="s">
        <v>1542</v>
      </c>
      <c r="F267" s="3" t="s">
        <v>1543</v>
      </c>
      <c r="G267" s="12"/>
      <c r="H267" s="12"/>
      <c r="I267" s="12"/>
      <c r="J267" s="12"/>
    </row>
    <row r="268">
      <c r="A268">
        <f>IFERROR(__xludf.DUMMYFUNCTION("""COMPUTED_VALUE"""),379.0)</f>
        <v>379</v>
      </c>
      <c r="B268" s="12" t="str">
        <f>IFERROR(__xludf.DUMMYFUNCTION("""COMPUTED_VALUE"""),"I believe it was to use Samsung Shop, to order some clothing online.")</f>
        <v>I believe it was to use Samsung Shop, to order some clothing online.</v>
      </c>
      <c r="C268" s="20" t="s">
        <v>1407</v>
      </c>
      <c r="D268" s="20" t="s">
        <v>1408</v>
      </c>
      <c r="E268" s="3" t="s">
        <v>1544</v>
      </c>
      <c r="F268" s="12"/>
      <c r="G268" s="12"/>
      <c r="H268" s="12"/>
      <c r="I268" s="12"/>
      <c r="J268" s="12"/>
    </row>
    <row r="269">
      <c r="A269">
        <f>IFERROR(__xludf.DUMMYFUNCTION("""COMPUTED_VALUE"""),381.0)</f>
        <v>381</v>
      </c>
      <c r="B269" s="12" t="str">
        <f>IFERROR(__xludf.DUMMYFUNCTION("""COMPUTED_VALUE"""),"theRealReal")</f>
        <v>theRealReal</v>
      </c>
      <c r="C269" s="20" t="s">
        <v>1407</v>
      </c>
      <c r="D269" s="20" t="s">
        <v>1408</v>
      </c>
      <c r="E269" s="3" t="s">
        <v>1545</v>
      </c>
      <c r="F269" s="12"/>
      <c r="G269" s="12"/>
      <c r="H269" s="12"/>
      <c r="I269" s="12"/>
      <c r="J269" s="12"/>
    </row>
    <row r="270">
      <c r="A270">
        <f>IFERROR(__xludf.DUMMYFUNCTION("""COMPUTED_VALUE"""),382.0)</f>
        <v>382</v>
      </c>
      <c r="B270" s="12" t="str">
        <f>IFERROR(__xludf.DUMMYFUNCTION("""COMPUTED_VALUE"""),"Quora")</f>
        <v>Quora</v>
      </c>
      <c r="C270" s="20" t="s">
        <v>1407</v>
      </c>
      <c r="D270" s="20" t="s">
        <v>1421</v>
      </c>
      <c r="E270" s="3" t="s">
        <v>178</v>
      </c>
      <c r="F270" s="12"/>
      <c r="G270" s="12"/>
      <c r="H270" s="12"/>
      <c r="I270" s="12"/>
      <c r="J270" s="12"/>
    </row>
    <row r="271">
      <c r="A271">
        <f>IFERROR(__xludf.DUMMYFUNCTION("""COMPUTED_VALUE"""),383.0)</f>
        <v>383</v>
      </c>
      <c r="B271" s="12" t="str">
        <f>IFERROR(__xludf.DUMMYFUNCTION("""COMPUTED_VALUE"""),"disney app")</f>
        <v>disney app</v>
      </c>
      <c r="C271" s="20" t="s">
        <v>1407</v>
      </c>
      <c r="D271" s="20" t="s">
        <v>1443</v>
      </c>
      <c r="E271" s="3" t="s">
        <v>1546</v>
      </c>
      <c r="F271" s="12"/>
      <c r="G271" s="12"/>
      <c r="H271" s="12"/>
      <c r="I271" s="12"/>
      <c r="J271" s="12"/>
    </row>
    <row r="272">
      <c r="A272">
        <f>IFERROR(__xludf.DUMMYFUNCTION("""COMPUTED_VALUE"""),384.0)</f>
        <v>384</v>
      </c>
      <c r="B272" s="12" t="str">
        <f>IFERROR(__xludf.DUMMYFUNCTION("""COMPUTED_VALUE"""),"rakuten")</f>
        <v>rakuten</v>
      </c>
      <c r="C272" s="20" t="s">
        <v>1407</v>
      </c>
      <c r="D272" s="20" t="s">
        <v>1408</v>
      </c>
      <c r="E272" s="3" t="s">
        <v>891</v>
      </c>
      <c r="F272" s="12"/>
      <c r="G272" s="12"/>
      <c r="H272" s="12"/>
      <c r="I272" s="12"/>
      <c r="J272" s="12"/>
    </row>
    <row r="273">
      <c r="A273">
        <f>IFERROR(__xludf.DUMMYFUNCTION("""COMPUTED_VALUE"""),385.0)</f>
        <v>385</v>
      </c>
      <c r="B273" s="12" t="str">
        <f>IFERROR(__xludf.DUMMYFUNCTION("""COMPUTED_VALUE"""),"some form of cashback service.")</f>
        <v>some form of cashback service.</v>
      </c>
      <c r="C273" s="20" t="s">
        <v>1407</v>
      </c>
      <c r="D273" s="20" t="s">
        <v>1416</v>
      </c>
      <c r="E273" s="3" t="s">
        <v>1547</v>
      </c>
      <c r="F273" s="12"/>
      <c r="G273" s="12"/>
      <c r="H273" s="12"/>
      <c r="I273" s="12"/>
      <c r="J273" s="12"/>
    </row>
    <row r="274">
      <c r="A274">
        <f>IFERROR(__xludf.DUMMYFUNCTION("""COMPUTED_VALUE"""),386.0)</f>
        <v>386</v>
      </c>
      <c r="B274" s="12" t="str">
        <f>IFERROR(__xludf.DUMMYFUNCTION("""COMPUTED_VALUE"""),"Coinbase")</f>
        <v>Coinbase</v>
      </c>
      <c r="C274" s="20" t="s">
        <v>1407</v>
      </c>
      <c r="D274" s="20" t="s">
        <v>1416</v>
      </c>
      <c r="E274" s="3" t="s">
        <v>1548</v>
      </c>
      <c r="F274" s="12"/>
      <c r="G274" s="12"/>
      <c r="H274" s="12"/>
      <c r="I274" s="12"/>
      <c r="J274" s="12"/>
    </row>
    <row r="275">
      <c r="A275">
        <f>IFERROR(__xludf.DUMMYFUNCTION("""COMPUTED_VALUE"""),387.0)</f>
        <v>387</v>
      </c>
      <c r="B275" s="12" t="str">
        <f>IFERROR(__xludf.DUMMYFUNCTION("""COMPUTED_VALUE"""),"I think the last time was to sign into my facebook account.")</f>
        <v>I think the last time was to sign into my facebook account.</v>
      </c>
      <c r="C275" s="20" t="s">
        <v>1407</v>
      </c>
      <c r="D275" s="20" t="s">
        <v>1412</v>
      </c>
      <c r="E275" s="3" t="s">
        <v>187</v>
      </c>
      <c r="F275" s="12"/>
      <c r="G275" s="12"/>
      <c r="H275" s="12"/>
      <c r="I275" s="12"/>
      <c r="J275" s="12"/>
    </row>
    <row r="276">
      <c r="A276">
        <f>IFERROR(__xludf.DUMMYFUNCTION("""COMPUTED_VALUE"""),388.0)</f>
        <v>388</v>
      </c>
      <c r="B276" s="12" t="str">
        <f>IFERROR(__xludf.DUMMYFUNCTION("""COMPUTED_VALUE"""),"I don't remember exactly what it was, but I believe it was something to do with my school work.")</f>
        <v>I don't remember exactly what it was, but I believe it was something to do with my school work.</v>
      </c>
      <c r="C276" s="20" t="s">
        <v>1407</v>
      </c>
      <c r="D276" s="20" t="s">
        <v>1423</v>
      </c>
      <c r="E276" s="3" t="s">
        <v>1480</v>
      </c>
      <c r="F276" s="12"/>
      <c r="G276" s="12"/>
      <c r="H276" s="12"/>
      <c r="I276" s="12"/>
      <c r="J276" s="12"/>
    </row>
    <row r="277">
      <c r="A277">
        <f>IFERROR(__xludf.DUMMYFUNCTION("""COMPUTED_VALUE"""),389.0)</f>
        <v>389</v>
      </c>
      <c r="B277" s="12" t="str">
        <f>IFERROR(__xludf.DUMMYFUNCTION("""COMPUTED_VALUE"""),"Streaming services, job application services, food delivery websites, food ordering websites, numerous retail websites")</f>
        <v>Streaming services, job application services, food delivery websites, food ordering websites, numerous retail websites</v>
      </c>
      <c r="C277" s="20" t="s">
        <v>1407</v>
      </c>
      <c r="D277" s="20" t="s">
        <v>1410</v>
      </c>
      <c r="E277" s="3" t="s">
        <v>1411</v>
      </c>
      <c r="F277" s="12"/>
      <c r="G277" s="12"/>
      <c r="H277" s="12"/>
      <c r="I277" s="12"/>
      <c r="J277" s="12"/>
    </row>
    <row r="278">
      <c r="A278" s="32">
        <f>IFERROR(__xludf.DUMMYFUNCTION("""COMPUTED_VALUE"""),391.0)</f>
        <v>391</v>
      </c>
      <c r="B278" s="33" t="str">
        <f>IFERROR(__xludf.DUMMYFUNCTION("""COMPUTED_VALUE"""),"I don't even remember, I do it without thinking")</f>
        <v>I don't even remember, I do it without thinking</v>
      </c>
      <c r="C278" s="20" t="s">
        <v>1407</v>
      </c>
      <c r="D278" s="20" t="s">
        <v>1431</v>
      </c>
      <c r="E278" s="3" t="s">
        <v>1432</v>
      </c>
      <c r="F278" s="12"/>
      <c r="G278" s="12"/>
      <c r="H278" s="12"/>
      <c r="I278" s="12"/>
      <c r="J278" s="12"/>
    </row>
    <row r="279">
      <c r="A279">
        <f>IFERROR(__xludf.DUMMYFUNCTION("""COMPUTED_VALUE"""),392.0)</f>
        <v>392</v>
      </c>
      <c r="B279" s="12"/>
      <c r="E279" s="12"/>
      <c r="F279" s="12"/>
      <c r="G279" s="12"/>
      <c r="H279" s="12"/>
      <c r="I279" s="12"/>
      <c r="J279" s="12"/>
    </row>
    <row r="280">
      <c r="A280">
        <f>IFERROR(__xludf.DUMMYFUNCTION("""COMPUTED_VALUE"""),393.0)</f>
        <v>393</v>
      </c>
      <c r="B280" s="31" t="str">
        <f>IFERROR(__xludf.DUMMYFUNCTION("""COMPUTED_VALUE"""),"battle.net")</f>
        <v>battle.net</v>
      </c>
      <c r="C280" s="20" t="s">
        <v>1407</v>
      </c>
      <c r="D280" s="20" t="s">
        <v>1436</v>
      </c>
      <c r="E280" s="27" t="s">
        <v>1549</v>
      </c>
      <c r="F280" s="12"/>
      <c r="G280" s="12"/>
      <c r="H280" s="12"/>
      <c r="I280" s="12"/>
      <c r="J280" s="12"/>
    </row>
    <row r="281">
      <c r="A281">
        <f>IFERROR(__xludf.DUMMYFUNCTION("""COMPUTED_VALUE"""),394.0)</f>
        <v>394</v>
      </c>
      <c r="B281" s="12" t="str">
        <f>IFERROR(__xludf.DUMMYFUNCTION("""COMPUTED_VALUE"""),"A store that I was buying something from")</f>
        <v>A store that I was buying something from</v>
      </c>
      <c r="C281" s="20" t="s">
        <v>1407</v>
      </c>
      <c r="D281" s="20" t="s">
        <v>1408</v>
      </c>
      <c r="E281" s="3" t="s">
        <v>1409</v>
      </c>
      <c r="F281" s="12"/>
      <c r="G281" s="12"/>
      <c r="H281" s="12"/>
      <c r="I281" s="12"/>
      <c r="J281" s="12"/>
    </row>
    <row r="282">
      <c r="A282">
        <f>IFERROR(__xludf.DUMMYFUNCTION("""COMPUTED_VALUE"""),395.0)</f>
        <v>395</v>
      </c>
      <c r="B282" s="31" t="str">
        <f>IFERROR(__xludf.DUMMYFUNCTION("""COMPUTED_VALUE"""),"hideout.co")</f>
        <v>hideout.co</v>
      </c>
      <c r="C282" s="20" t="s">
        <v>1407</v>
      </c>
      <c r="D282" s="20" t="s">
        <v>1443</v>
      </c>
      <c r="E282" s="27" t="s">
        <v>1451</v>
      </c>
      <c r="F282" s="12"/>
      <c r="G282" s="12"/>
      <c r="H282" s="12"/>
      <c r="I282" s="12"/>
      <c r="J282" s="12"/>
    </row>
    <row r="283">
      <c r="A283">
        <f>IFERROR(__xludf.DUMMYFUNCTION("""COMPUTED_VALUE"""),396.0)</f>
        <v>396</v>
      </c>
      <c r="B283" s="12" t="str">
        <f>IFERROR(__xludf.DUMMYFUNCTION("""COMPUTED_VALUE"""),"Destiny, classlink")</f>
        <v>Destiny, classlink</v>
      </c>
      <c r="C283" s="20" t="s">
        <v>1407</v>
      </c>
      <c r="D283" s="20" t="s">
        <v>1436</v>
      </c>
      <c r="E283" s="3" t="s">
        <v>1550</v>
      </c>
      <c r="F283" s="3" t="s">
        <v>1551</v>
      </c>
      <c r="G283" s="12"/>
      <c r="H283" s="12"/>
      <c r="I283" s="12"/>
      <c r="J283" s="12"/>
    </row>
    <row r="284">
      <c r="A284">
        <f>IFERROR(__xludf.DUMMYFUNCTION("""COMPUTED_VALUE"""),397.0)</f>
        <v>397</v>
      </c>
      <c r="B284" s="12" t="str">
        <f>IFERROR(__xludf.DUMMYFUNCTION("""COMPUTED_VALUE"""),"I logged into a social media account but I cannot recall which one")</f>
        <v>I logged into a social media account but I cannot recall which one</v>
      </c>
      <c r="C284" s="20" t="s">
        <v>1407</v>
      </c>
      <c r="D284" s="20" t="s">
        <v>1412</v>
      </c>
      <c r="E284" s="3" t="s">
        <v>1522</v>
      </c>
      <c r="F284" s="12"/>
      <c r="G284" s="12"/>
      <c r="H284" s="12"/>
      <c r="I284" s="12"/>
      <c r="J284" s="12"/>
    </row>
    <row r="285">
      <c r="A285">
        <f>IFERROR(__xludf.DUMMYFUNCTION("""COMPUTED_VALUE"""),398.0)</f>
        <v>398</v>
      </c>
      <c r="B285" s="12"/>
      <c r="E285" s="12"/>
      <c r="F285" s="12"/>
      <c r="G285" s="12"/>
      <c r="H285" s="12"/>
      <c r="I285" s="12"/>
      <c r="J285" s="12"/>
    </row>
    <row r="286">
      <c r="A286">
        <f>IFERROR(__xludf.DUMMYFUNCTION("""COMPUTED_VALUE"""),399.0)</f>
        <v>399</v>
      </c>
      <c r="B286" s="12" t="str">
        <f>IFERROR(__xludf.DUMMYFUNCTION("""COMPUTED_VALUE"""),"Facebook")</f>
        <v>Facebook</v>
      </c>
      <c r="C286" s="20" t="s">
        <v>1407</v>
      </c>
      <c r="D286" s="20" t="s">
        <v>1412</v>
      </c>
      <c r="E286" s="3" t="s">
        <v>187</v>
      </c>
      <c r="F286" s="12"/>
      <c r="G286" s="12"/>
      <c r="H286" s="12"/>
      <c r="I286" s="12"/>
      <c r="J286" s="12"/>
    </row>
    <row r="287">
      <c r="A287">
        <f>IFERROR(__xludf.DUMMYFUNCTION("""COMPUTED_VALUE"""),400.0)</f>
        <v>400</v>
      </c>
      <c r="B287" s="12" t="str">
        <f>IFERROR(__xludf.DUMMYFUNCTION("""COMPUTED_VALUE"""),"I do not EVER sign in with Google into a 3rd party app. I do not trust that the company behind the request will not sell my information/passwords or hack into my account.")</f>
        <v>I do not EVER sign in with Google into a 3rd party app. I do not trust that the company behind the request will not sell my information/passwords or hack into my account.</v>
      </c>
      <c r="C287" s="20" t="s">
        <v>1407</v>
      </c>
      <c r="D287" s="20" t="s">
        <v>1552</v>
      </c>
      <c r="E287" s="3" t="s">
        <v>1553</v>
      </c>
      <c r="F287" s="12"/>
      <c r="G287" s="12"/>
      <c r="H287" s="12"/>
      <c r="I287" s="12"/>
      <c r="J287" s="12"/>
    </row>
    <row r="288">
      <c r="A288">
        <f>IFERROR(__xludf.DUMMYFUNCTION("""COMPUTED_VALUE"""),401.0)</f>
        <v>401</v>
      </c>
      <c r="B288" s="12" t="str">
        <f>IFERROR(__xludf.DUMMYFUNCTION("""COMPUTED_VALUE"""),"Honey for saving money while online shopping.")</f>
        <v>Honey for saving money while online shopping.</v>
      </c>
      <c r="C288" s="20" t="s">
        <v>1407</v>
      </c>
      <c r="D288" s="20" t="s">
        <v>1408</v>
      </c>
      <c r="E288" s="3" t="s">
        <v>1460</v>
      </c>
      <c r="F288" s="12"/>
      <c r="G288" s="12"/>
      <c r="H288" s="12"/>
      <c r="I288" s="12"/>
      <c r="J288" s="12"/>
    </row>
    <row r="289">
      <c r="A289">
        <f>IFERROR(__xludf.DUMMYFUNCTION("""COMPUTED_VALUE"""),402.0)</f>
        <v>402</v>
      </c>
      <c r="B289" s="12" t="str">
        <f>IFERROR(__xludf.DUMMYFUNCTION("""COMPUTED_VALUE"""),"YouTube")</f>
        <v>YouTube</v>
      </c>
      <c r="C289" s="20" t="s">
        <v>1407</v>
      </c>
      <c r="D289" s="20" t="s">
        <v>1443</v>
      </c>
      <c r="E289" s="3" t="s">
        <v>228</v>
      </c>
      <c r="F289" s="12"/>
      <c r="G289" s="12"/>
      <c r="H289" s="12"/>
      <c r="I289" s="12"/>
      <c r="J289" s="12"/>
    </row>
    <row r="290">
      <c r="A290">
        <f>IFERROR(__xludf.DUMMYFUNCTION("""COMPUTED_VALUE"""),403.0)</f>
        <v>403</v>
      </c>
      <c r="B290" s="12"/>
      <c r="E290" s="12"/>
      <c r="F290" s="12"/>
      <c r="G290" s="12"/>
      <c r="H290" s="12"/>
      <c r="I290" s="12"/>
      <c r="J290" s="12"/>
    </row>
    <row r="291">
      <c r="A291">
        <f>IFERROR(__xludf.DUMMYFUNCTION("""COMPUTED_VALUE"""),404.0)</f>
        <v>404</v>
      </c>
      <c r="B291" s="12" t="str">
        <f>IFERROR(__xludf.DUMMYFUNCTION("""COMPUTED_VALUE"""),"Glassdoor")</f>
        <v>Glassdoor</v>
      </c>
      <c r="C291" s="20" t="s">
        <v>1407</v>
      </c>
      <c r="D291" s="20" t="s">
        <v>1417</v>
      </c>
      <c r="E291" s="3" t="s">
        <v>1530</v>
      </c>
      <c r="F291" s="12"/>
      <c r="G291" s="12"/>
      <c r="H291" s="12"/>
      <c r="I291" s="12"/>
      <c r="J291" s="12"/>
    </row>
    <row r="292">
      <c r="A292">
        <f>IFERROR(__xludf.DUMMYFUNCTION("""COMPUTED_VALUE"""),405.0)</f>
        <v>405</v>
      </c>
      <c r="B292" s="12" t="str">
        <f>IFERROR(__xludf.DUMMYFUNCTION("""COMPUTED_VALUE"""),"I don't remember which ones, I just know that I occasionally have.")</f>
        <v>I don't remember which ones, I just know that I occasionally have.</v>
      </c>
      <c r="C292" s="20" t="s">
        <v>1407</v>
      </c>
      <c r="D292" s="20" t="s">
        <v>1431</v>
      </c>
      <c r="E292" s="3" t="s">
        <v>1432</v>
      </c>
      <c r="F292" s="12"/>
      <c r="G292" s="12"/>
      <c r="H292" s="12"/>
      <c r="I292" s="12"/>
      <c r="J292" s="12"/>
    </row>
    <row r="293">
      <c r="A293">
        <f>IFERROR(__xludf.DUMMYFUNCTION("""COMPUTED_VALUE"""),406.0)</f>
        <v>406</v>
      </c>
      <c r="B293" s="31" t="str">
        <f>IFERROR(__xludf.DUMMYFUNCTION("""COMPUTED_VALUE"""),"quora.com")</f>
        <v>quora.com</v>
      </c>
      <c r="C293" s="20" t="s">
        <v>1407</v>
      </c>
      <c r="D293" s="20" t="s">
        <v>1421</v>
      </c>
      <c r="E293" s="3" t="s">
        <v>178</v>
      </c>
      <c r="F293" s="12"/>
      <c r="G293" s="12"/>
      <c r="H293" s="12"/>
      <c r="I293" s="12"/>
      <c r="J293" s="12"/>
    </row>
    <row r="294">
      <c r="A294">
        <f>IFERROR(__xludf.DUMMYFUNCTION("""COMPUTED_VALUE"""),407.0)</f>
        <v>407</v>
      </c>
      <c r="B294" s="12" t="str">
        <f>IFERROR(__xludf.DUMMYFUNCTION("""COMPUTED_VALUE"""),"I used my google account to sign into LinkedIn.")</f>
        <v>I used my google account to sign into LinkedIn.</v>
      </c>
      <c r="C294" s="20" t="s">
        <v>1407</v>
      </c>
      <c r="D294" s="20" t="s">
        <v>1417</v>
      </c>
      <c r="E294" s="3" t="s">
        <v>1439</v>
      </c>
      <c r="F294" s="12"/>
      <c r="G294" s="12"/>
      <c r="H294" s="12"/>
      <c r="I294" s="12"/>
      <c r="J294" s="12"/>
    </row>
    <row r="295">
      <c r="A295">
        <f>IFERROR(__xludf.DUMMYFUNCTION("""COMPUTED_VALUE"""),408.0)</f>
        <v>408</v>
      </c>
      <c r="B295" s="12"/>
      <c r="E295" s="12"/>
      <c r="F295" s="12"/>
      <c r="G295" s="12"/>
      <c r="H295" s="12"/>
      <c r="I295" s="12"/>
      <c r="J295" s="12"/>
    </row>
    <row r="296">
      <c r="A296">
        <f>IFERROR(__xludf.DUMMYFUNCTION("""COMPUTED_VALUE"""),410.0)</f>
        <v>410</v>
      </c>
      <c r="B296" s="12" t="str">
        <f>IFERROR(__xludf.DUMMYFUNCTION("""COMPUTED_VALUE"""),"I have logged on to education type apps believe Boom Cards and Loom")</f>
        <v>I have logged on to education type apps believe Boom Cards and Loom</v>
      </c>
      <c r="C296" s="20" t="s">
        <v>1407</v>
      </c>
      <c r="D296" s="20" t="s">
        <v>1423</v>
      </c>
      <c r="E296" s="3" t="s">
        <v>1554</v>
      </c>
      <c r="F296" s="3" t="s">
        <v>1555</v>
      </c>
      <c r="G296" s="12"/>
      <c r="H296" s="12"/>
      <c r="I296" s="12"/>
      <c r="J296" s="12"/>
    </row>
    <row r="297">
      <c r="A297">
        <f>IFERROR(__xludf.DUMMYFUNCTION("""COMPUTED_VALUE"""),411.0)</f>
        <v>411</v>
      </c>
      <c r="B297" s="12" t="str">
        <f>IFERROR(__xludf.DUMMYFUNCTION("""COMPUTED_VALUE"""),"ScienCV in order to update my academic CV")</f>
        <v>ScienCV in order to update my academic CV</v>
      </c>
      <c r="C297" s="20" t="s">
        <v>1407</v>
      </c>
      <c r="D297" s="20" t="s">
        <v>1417</v>
      </c>
      <c r="E297" s="3" t="s">
        <v>1556</v>
      </c>
      <c r="F297" s="12"/>
      <c r="G297" s="12"/>
      <c r="H297" s="12"/>
      <c r="I297" s="12"/>
      <c r="J297" s="12"/>
    </row>
    <row r="298">
      <c r="A298">
        <f>IFERROR(__xludf.DUMMYFUNCTION("""COMPUTED_VALUE"""),413.0)</f>
        <v>413</v>
      </c>
      <c r="B298" s="12"/>
      <c r="E298" s="12"/>
      <c r="F298" s="12"/>
      <c r="G298" s="12"/>
      <c r="H298" s="12"/>
      <c r="I298" s="12"/>
      <c r="J298" s="12"/>
    </row>
    <row r="299">
      <c r="A299">
        <f>IFERROR(__xludf.DUMMYFUNCTION("""COMPUTED_VALUE"""),415.0)</f>
        <v>415</v>
      </c>
      <c r="B299" s="12" t="str">
        <f>IFERROR(__xludf.DUMMYFUNCTION("""COMPUTED_VALUE"""),"Juno")</f>
        <v>Juno</v>
      </c>
      <c r="C299" s="20" t="s">
        <v>1407</v>
      </c>
      <c r="D299" s="20" t="s">
        <v>1433</v>
      </c>
      <c r="E299" s="3" t="s">
        <v>1557</v>
      </c>
      <c r="F299" s="12"/>
      <c r="G299" s="12"/>
      <c r="H299" s="12"/>
      <c r="I299" s="12"/>
      <c r="J299" s="12"/>
    </row>
    <row r="300">
      <c r="A300">
        <f>IFERROR(__xludf.DUMMYFUNCTION("""COMPUTED_VALUE"""),416.0)</f>
        <v>416</v>
      </c>
      <c r="B300" s="12" t="str">
        <f>IFERROR(__xludf.DUMMYFUNCTION("""COMPUTED_VALUE"""),"I used it to create an account with Remini, a photo app")</f>
        <v>I used it to create an account with Remini, a photo app</v>
      </c>
      <c r="C300" s="20" t="s">
        <v>1407</v>
      </c>
      <c r="D300" s="20" t="s">
        <v>1476</v>
      </c>
      <c r="E300" s="3" t="s">
        <v>1558</v>
      </c>
      <c r="F300" s="12"/>
      <c r="G300" s="12"/>
      <c r="H300" s="12"/>
      <c r="I300" s="12"/>
      <c r="J300" s="12"/>
    </row>
    <row r="301">
      <c r="A301">
        <f>IFERROR(__xludf.DUMMYFUNCTION("""COMPUTED_VALUE"""),417.0)</f>
        <v>417</v>
      </c>
      <c r="B301" s="12" t="str">
        <f>IFERROR(__xludf.DUMMYFUNCTION("""COMPUTED_VALUE"""),"mcdonalds")</f>
        <v>mcdonalds</v>
      </c>
      <c r="C301" s="20" t="s">
        <v>1407</v>
      </c>
      <c r="D301" s="20" t="s">
        <v>1429</v>
      </c>
      <c r="E301" s="3" t="s">
        <v>977</v>
      </c>
      <c r="F301" s="12"/>
      <c r="G301" s="12"/>
      <c r="H301" s="12"/>
      <c r="I301" s="12"/>
      <c r="J301" s="12"/>
    </row>
    <row r="302">
      <c r="A302">
        <f>IFERROR(__xludf.DUMMYFUNCTION("""COMPUTED_VALUE"""),418.0)</f>
        <v>418</v>
      </c>
      <c r="B302" s="12" t="str">
        <f>IFERROR(__xludf.DUMMYFUNCTION("""COMPUTED_VALUE"""),"Quora")</f>
        <v>Quora</v>
      </c>
      <c r="C302" s="20" t="s">
        <v>1407</v>
      </c>
      <c r="D302" s="20" t="s">
        <v>1421</v>
      </c>
      <c r="E302" s="3" t="s">
        <v>178</v>
      </c>
      <c r="F302" s="12"/>
      <c r="G302" s="12"/>
      <c r="H302" s="12"/>
      <c r="I302" s="12"/>
      <c r="J302" s="12"/>
    </row>
    <row r="303">
      <c r="A303">
        <f>IFERROR(__xludf.DUMMYFUNCTION("""COMPUTED_VALUE"""),419.0)</f>
        <v>419</v>
      </c>
      <c r="B303" s="12" t="str">
        <f>IFERROR(__xludf.DUMMYFUNCTION("""COMPUTED_VALUE"""),"I believe the last time I used it to sign into a third-party service was logging into Paypal, but I do not remember exactly.")</f>
        <v>I believe the last time I used it to sign into a third-party service was logging into Paypal, but I do not remember exactly.</v>
      </c>
      <c r="C303" s="20" t="s">
        <v>1407</v>
      </c>
      <c r="D303" s="20" t="s">
        <v>1416</v>
      </c>
      <c r="E303" s="3" t="s">
        <v>1242</v>
      </c>
      <c r="F303" s="12"/>
      <c r="G303" s="12"/>
      <c r="H303" s="12"/>
      <c r="I303" s="12"/>
      <c r="J303" s="12"/>
    </row>
    <row r="304">
      <c r="A304">
        <f>IFERROR(__xludf.DUMMYFUNCTION("""COMPUTED_VALUE"""),420.0)</f>
        <v>420</v>
      </c>
      <c r="B304" s="12" t="str">
        <f>IFERROR(__xludf.DUMMYFUNCTION("""COMPUTED_VALUE"""),"I don't remember the exact app, but I do remember using it.")</f>
        <v>I don't remember the exact app, but I do remember using it.</v>
      </c>
      <c r="C304" s="20" t="s">
        <v>1407</v>
      </c>
      <c r="D304" s="20" t="s">
        <v>1431</v>
      </c>
      <c r="E304" s="3" t="s">
        <v>1432</v>
      </c>
      <c r="F304" s="12"/>
      <c r="G304" s="12"/>
      <c r="H304" s="12"/>
      <c r="I304" s="12"/>
      <c r="J304" s="12"/>
    </row>
    <row r="305">
      <c r="A305">
        <f>IFERROR(__xludf.DUMMYFUNCTION("""COMPUTED_VALUE"""),422.0)</f>
        <v>422</v>
      </c>
      <c r="B305" s="12" t="str">
        <f>IFERROR(__xludf.DUMMYFUNCTION("""COMPUTED_VALUE"""),"Zoom")</f>
        <v>Zoom</v>
      </c>
      <c r="C305" s="20" t="s">
        <v>1407</v>
      </c>
      <c r="D305" s="20" t="s">
        <v>1417</v>
      </c>
      <c r="E305" s="3" t="s">
        <v>588</v>
      </c>
      <c r="F305" s="12"/>
      <c r="G305" s="12"/>
      <c r="H305" s="12"/>
      <c r="I305" s="12"/>
      <c r="J305" s="12"/>
    </row>
    <row r="306">
      <c r="A306">
        <f>IFERROR(__xludf.DUMMYFUNCTION("""COMPUTED_VALUE"""),423.0)</f>
        <v>423</v>
      </c>
      <c r="B306" s="12"/>
      <c r="E306" s="12"/>
      <c r="F306" s="12"/>
      <c r="G306" s="12"/>
      <c r="H306" s="12"/>
      <c r="I306" s="12"/>
      <c r="J306" s="12"/>
    </row>
    <row r="307">
      <c r="A307">
        <f>IFERROR(__xludf.DUMMYFUNCTION("""COMPUTED_VALUE"""),425.0)</f>
        <v>425</v>
      </c>
      <c r="B307" s="12" t="str">
        <f>IFERROR(__xludf.DUMMYFUNCTION("""COMPUTED_VALUE"""),"An investing app")</f>
        <v>An investing app</v>
      </c>
      <c r="C307" s="20" t="s">
        <v>1407</v>
      </c>
      <c r="D307" s="20" t="s">
        <v>1416</v>
      </c>
      <c r="E307" s="3" t="s">
        <v>1559</v>
      </c>
      <c r="F307" s="12"/>
      <c r="G307" s="12"/>
      <c r="H307" s="12"/>
      <c r="I307" s="12"/>
      <c r="J307" s="12"/>
    </row>
    <row r="308">
      <c r="A308">
        <f>IFERROR(__xludf.DUMMYFUNCTION("""COMPUTED_VALUE"""),426.0)</f>
        <v>426</v>
      </c>
      <c r="B308" s="12" t="str">
        <f>IFERROR(__xludf.DUMMYFUNCTION("""COMPUTED_VALUE"""),"DropBox")</f>
        <v>DropBox</v>
      </c>
      <c r="C308" s="20" t="s">
        <v>1407</v>
      </c>
      <c r="D308" s="20" t="s">
        <v>1433</v>
      </c>
      <c r="E308" s="3" t="s">
        <v>1560</v>
      </c>
      <c r="F308" s="12"/>
      <c r="G308" s="12"/>
      <c r="H308" s="12"/>
      <c r="I308" s="12"/>
      <c r="J308" s="12"/>
    </row>
    <row r="309">
      <c r="A309">
        <f>IFERROR(__xludf.DUMMYFUNCTION("""COMPUTED_VALUE"""),427.0)</f>
        <v>427</v>
      </c>
      <c r="B309" s="12" t="str">
        <f>IFERROR(__xludf.DUMMYFUNCTION("""COMPUTED_VALUE"""),"facebook")</f>
        <v>facebook</v>
      </c>
      <c r="C309" s="20" t="s">
        <v>1407</v>
      </c>
      <c r="D309" s="20" t="s">
        <v>1412</v>
      </c>
      <c r="E309" s="3" t="s">
        <v>187</v>
      </c>
      <c r="F309" s="12"/>
      <c r="G309" s="12"/>
      <c r="H309" s="12"/>
      <c r="I309" s="12"/>
      <c r="J309" s="12"/>
    </row>
    <row r="310">
      <c r="A310">
        <f>IFERROR(__xludf.DUMMYFUNCTION("""COMPUTED_VALUE"""),428.0)</f>
        <v>428</v>
      </c>
      <c r="B310" s="12"/>
      <c r="E310" s="12"/>
      <c r="F310" s="12"/>
      <c r="G310" s="12"/>
      <c r="H310" s="12"/>
      <c r="I310" s="12"/>
      <c r="J310" s="12"/>
    </row>
    <row r="311">
      <c r="A311">
        <f>IFERROR(__xludf.DUMMYFUNCTION("""COMPUTED_VALUE"""),431.0)</f>
        <v>431</v>
      </c>
      <c r="B311" s="12" t="str">
        <f>IFERROR(__xludf.DUMMYFUNCTION("""COMPUTED_VALUE"""),"pinterest")</f>
        <v>pinterest</v>
      </c>
      <c r="C311" s="20" t="s">
        <v>1407</v>
      </c>
      <c r="D311" s="20" t="s">
        <v>1414</v>
      </c>
      <c r="E311" s="3" t="s">
        <v>533</v>
      </c>
      <c r="F311" s="12"/>
      <c r="G311" s="12"/>
      <c r="H311" s="12"/>
      <c r="I311" s="12"/>
      <c r="J311" s="12"/>
    </row>
    <row r="312">
      <c r="A312">
        <f>IFERROR(__xludf.DUMMYFUNCTION("""COMPUTED_VALUE"""),432.0)</f>
        <v>432</v>
      </c>
      <c r="B312" s="12"/>
      <c r="E312" s="12"/>
      <c r="F312" s="12"/>
      <c r="G312" s="12"/>
      <c r="H312" s="12"/>
      <c r="I312" s="12"/>
      <c r="J312" s="12"/>
    </row>
    <row r="313">
      <c r="A313">
        <f>IFERROR(__xludf.DUMMYFUNCTION("""COMPUTED_VALUE"""),433.0)</f>
        <v>433</v>
      </c>
      <c r="B313" s="12" t="str">
        <f>IFERROR(__xludf.DUMMYFUNCTION("""COMPUTED_VALUE"""),"Pinterest")</f>
        <v>Pinterest</v>
      </c>
      <c r="C313" s="20" t="s">
        <v>1407</v>
      </c>
      <c r="D313" s="20" t="s">
        <v>1414</v>
      </c>
      <c r="E313" s="3" t="s">
        <v>533</v>
      </c>
      <c r="F313" s="12"/>
      <c r="G313" s="12"/>
      <c r="H313" s="12"/>
      <c r="I313" s="12"/>
      <c r="J313" s="12"/>
    </row>
    <row r="314">
      <c r="A314">
        <f>IFERROR(__xludf.DUMMYFUNCTION("""COMPUTED_VALUE"""),434.0)</f>
        <v>434</v>
      </c>
      <c r="B314" s="12" t="str">
        <f>IFERROR(__xludf.DUMMYFUNCTION("""COMPUTED_VALUE"""),"I don't remember which app it was, but it was one I downloaded on my phone.")</f>
        <v>I don't remember which app it was, but it was one I downloaded on my phone.</v>
      </c>
      <c r="C314" s="20" t="s">
        <v>1407</v>
      </c>
      <c r="D314" s="20" t="s">
        <v>1431</v>
      </c>
      <c r="E314" s="3" t="s">
        <v>1432</v>
      </c>
      <c r="F314" s="12"/>
      <c r="G314" s="12"/>
      <c r="H314" s="12"/>
      <c r="I314" s="12"/>
      <c r="J314" s="12"/>
    </row>
    <row r="315">
      <c r="A315">
        <f>IFERROR(__xludf.DUMMYFUNCTION("""COMPUTED_VALUE"""),435.0)</f>
        <v>435</v>
      </c>
      <c r="B315" s="12" t="str">
        <f>IFERROR(__xludf.DUMMYFUNCTION("""COMPUTED_VALUE"""),"I usually use it as a quick way to sign into websites that require it, Sometimes I'd use it for social media like instagram or snapchat.")</f>
        <v>I usually use it as a quick way to sign into websites that require it, Sometimes I'd use it for social media like instagram or snapchat.</v>
      </c>
      <c r="C315" s="20" t="s">
        <v>1407</v>
      </c>
      <c r="D315" s="20" t="s">
        <v>1412</v>
      </c>
      <c r="E315" s="3" t="s">
        <v>1478</v>
      </c>
      <c r="F315" s="3" t="s">
        <v>1561</v>
      </c>
      <c r="G315" s="12"/>
      <c r="H315" s="12"/>
      <c r="I315" s="12"/>
      <c r="J315" s="12"/>
    </row>
    <row r="316">
      <c r="A316">
        <f>IFERROR(__xludf.DUMMYFUNCTION("""COMPUTED_VALUE"""),436.0)</f>
        <v>436</v>
      </c>
      <c r="B316" s="12" t="str">
        <f>IFERROR(__xludf.DUMMYFUNCTION("""COMPUTED_VALUE"""),"The Headspace app")</f>
        <v>The Headspace app</v>
      </c>
      <c r="C316" s="20" t="s">
        <v>1407</v>
      </c>
      <c r="D316" s="20" t="s">
        <v>1442</v>
      </c>
      <c r="E316" s="3" t="s">
        <v>1562</v>
      </c>
      <c r="F316" s="12"/>
      <c r="G316" s="12"/>
      <c r="H316" s="12"/>
      <c r="I316" s="12"/>
      <c r="J316" s="12"/>
    </row>
    <row r="317">
      <c r="A317">
        <f>IFERROR(__xludf.DUMMYFUNCTION("""COMPUTED_VALUE"""),437.0)</f>
        <v>437</v>
      </c>
      <c r="B317" s="12" t="str">
        <f>IFERROR(__xludf.DUMMYFUNCTION("""COMPUTED_VALUE"""),"In thinking about it, it was probably like Zillow because I was doing some research for a project I was working on.")</f>
        <v>In thinking about it, it was probably like Zillow because I was doing some research for a project I was working on.</v>
      </c>
      <c r="C317" s="20" t="s">
        <v>1407</v>
      </c>
      <c r="D317" s="20" t="s">
        <v>1419</v>
      </c>
      <c r="E317" s="3" t="s">
        <v>146</v>
      </c>
      <c r="F317" s="12"/>
      <c r="G317" s="12"/>
      <c r="H317" s="12"/>
      <c r="I317" s="12"/>
      <c r="J317" s="12"/>
    </row>
    <row r="318">
      <c r="A318">
        <f>IFERROR(__xludf.DUMMYFUNCTION("""COMPUTED_VALUE"""),439.0)</f>
        <v>439</v>
      </c>
      <c r="B318" s="12" t="str">
        <f>IFERROR(__xludf.DUMMYFUNCTION("""COMPUTED_VALUE"""),"It was a retail store, but I don't remember which one.")</f>
        <v>It was a retail store, but I don't remember which one.</v>
      </c>
      <c r="C318" s="20" t="s">
        <v>1407</v>
      </c>
      <c r="D318" s="20" t="s">
        <v>1408</v>
      </c>
      <c r="E318" s="3" t="s">
        <v>1409</v>
      </c>
      <c r="F318" s="12"/>
      <c r="G318" s="12"/>
      <c r="H318" s="12"/>
      <c r="I318" s="12"/>
      <c r="J318" s="12"/>
    </row>
    <row r="319">
      <c r="A319">
        <f>IFERROR(__xludf.DUMMYFUNCTION("""COMPUTED_VALUE"""),440.0)</f>
        <v>440</v>
      </c>
      <c r="B319" s="12" t="str">
        <f>IFERROR(__xludf.DUMMYFUNCTION("""COMPUTED_VALUE"""),"Signing onto the Epic Games Store")</f>
        <v>Signing onto the Epic Games Store</v>
      </c>
      <c r="C319" s="20" t="s">
        <v>1407</v>
      </c>
      <c r="D319" s="20" t="s">
        <v>1436</v>
      </c>
      <c r="E319" s="3" t="s">
        <v>1520</v>
      </c>
      <c r="F319" s="12"/>
      <c r="G319" s="12"/>
      <c r="H319" s="12"/>
      <c r="I319" s="12"/>
      <c r="J319" s="12"/>
    </row>
    <row r="320">
      <c r="A320">
        <f>IFERROR(__xludf.DUMMYFUNCTION("""COMPUTED_VALUE"""),442.0)</f>
        <v>442</v>
      </c>
      <c r="B320" s="12" t="str">
        <f>IFERROR(__xludf.DUMMYFUNCTION("""COMPUTED_VALUE"""),"I used it to sign in to Chegg.")</f>
        <v>I used it to sign in to Chegg.</v>
      </c>
      <c r="C320" s="20" t="s">
        <v>1407</v>
      </c>
      <c r="D320" s="20" t="s">
        <v>1423</v>
      </c>
      <c r="E320" s="3" t="s">
        <v>1563</v>
      </c>
      <c r="F320" s="12"/>
      <c r="G320" s="12"/>
      <c r="H320" s="12"/>
      <c r="I320" s="12"/>
      <c r="J320" s="12"/>
    </row>
    <row r="321">
      <c r="A321">
        <f>IFERROR(__xludf.DUMMYFUNCTION("""COMPUTED_VALUE"""),443.0)</f>
        <v>443</v>
      </c>
      <c r="B321" s="12" t="str">
        <f>IFERROR(__xludf.DUMMYFUNCTION("""COMPUTED_VALUE"""),"It was for linking my account to some mobile games that I play.")</f>
        <v>It was for linking my account to some mobile games that I play.</v>
      </c>
      <c r="C321" s="20" t="s">
        <v>1407</v>
      </c>
      <c r="D321" s="20" t="s">
        <v>1436</v>
      </c>
      <c r="E321" s="3" t="s">
        <v>1459</v>
      </c>
      <c r="F321" s="12"/>
      <c r="G321" s="12"/>
      <c r="H321" s="12"/>
      <c r="I321" s="12"/>
      <c r="J321" s="12"/>
    </row>
    <row r="322">
      <c r="A322">
        <f>IFERROR(__xludf.DUMMYFUNCTION("""COMPUTED_VALUE"""),444.0)</f>
        <v>444</v>
      </c>
      <c r="B322" s="12" t="str">
        <f>IFERROR(__xludf.DUMMYFUNCTION("""COMPUTED_VALUE"""),"I signed up for chess.com")</f>
        <v>I signed up for chess.com</v>
      </c>
      <c r="C322" s="20" t="s">
        <v>1407</v>
      </c>
      <c r="D322" s="20" t="s">
        <v>1436</v>
      </c>
      <c r="E322" s="27" t="s">
        <v>1564</v>
      </c>
      <c r="F322" s="12"/>
      <c r="G322" s="12"/>
      <c r="H322" s="12"/>
      <c r="I322" s="12"/>
      <c r="J322" s="12"/>
    </row>
    <row r="323">
      <c r="A323">
        <f>IFERROR(__xludf.DUMMYFUNCTION("""COMPUTED_VALUE"""),445.0)</f>
        <v>445</v>
      </c>
      <c r="B323" s="12" t="str">
        <f>IFERROR(__xludf.DUMMYFUNCTION("""COMPUTED_VALUE"""),"I use this feature a lot -- I think the last time I used it was for IFTTT.com")</f>
        <v>I use this feature a lot -- I think the last time I used it was for IFTTT.com</v>
      </c>
      <c r="C323" s="20" t="s">
        <v>1407</v>
      </c>
      <c r="D323" s="20" t="s">
        <v>1433</v>
      </c>
      <c r="E323" s="27" t="s">
        <v>1565</v>
      </c>
      <c r="F323" s="12"/>
      <c r="G323" s="12"/>
      <c r="H323" s="12"/>
      <c r="I323" s="12"/>
      <c r="J323" s="12"/>
    </row>
    <row r="324">
      <c r="A324">
        <f>IFERROR(__xludf.DUMMYFUNCTION("""COMPUTED_VALUE"""),449.0)</f>
        <v>449</v>
      </c>
      <c r="B324" s="12" t="str">
        <f>IFERROR(__xludf.DUMMYFUNCTION("""COMPUTED_VALUE"""),"i believe it was wish.com")</f>
        <v>i believe it was wish.com</v>
      </c>
      <c r="C324" s="20" t="s">
        <v>1407</v>
      </c>
      <c r="D324" s="20" t="s">
        <v>1408</v>
      </c>
      <c r="E324" s="3" t="s">
        <v>1566</v>
      </c>
      <c r="F324" s="12"/>
      <c r="G324" s="12"/>
      <c r="H324" s="12"/>
      <c r="I324" s="12"/>
      <c r="J324" s="12"/>
    </row>
    <row r="325">
      <c r="A325">
        <f>IFERROR(__xludf.DUMMYFUNCTION("""COMPUTED_VALUE"""),450.0)</f>
        <v>450</v>
      </c>
      <c r="B325" s="12" t="str">
        <f>IFERROR(__xludf.DUMMYFUNCTION("""COMPUTED_VALUE"""),"Last time I signed in with my Google account it was with the McDonalds app")</f>
        <v>Last time I signed in with my Google account it was with the McDonalds app</v>
      </c>
      <c r="C325" s="20" t="s">
        <v>1407</v>
      </c>
      <c r="D325" s="20" t="s">
        <v>1429</v>
      </c>
      <c r="E325" s="3" t="s">
        <v>977</v>
      </c>
      <c r="F325" s="12"/>
      <c r="G325" s="12"/>
      <c r="H325" s="12"/>
      <c r="I325" s="12"/>
      <c r="J325" s="12"/>
    </row>
    <row r="326">
      <c r="A326">
        <f>IFERROR(__xludf.DUMMYFUNCTION("""COMPUTED_VALUE"""),451.0)</f>
        <v>451</v>
      </c>
      <c r="B326" s="12" t="str">
        <f>IFERROR(__xludf.DUMMYFUNCTION("""COMPUTED_VALUE"""),"It was for a website. Unfortunately, I don't know the specific name.")</f>
        <v>It was for a website. Unfortunately, I don't know the specific name.</v>
      </c>
      <c r="C326" s="20" t="s">
        <v>1407</v>
      </c>
      <c r="D326" s="20" t="s">
        <v>1431</v>
      </c>
      <c r="E326" s="3" t="s">
        <v>1432</v>
      </c>
      <c r="F326" s="12"/>
      <c r="G326" s="12"/>
      <c r="H326" s="12"/>
      <c r="I326" s="12"/>
      <c r="J326" s="12"/>
    </row>
    <row r="327">
      <c r="A327">
        <f>IFERROR(__xludf.DUMMYFUNCTION("""COMPUTED_VALUE"""),454.0)</f>
        <v>454</v>
      </c>
      <c r="B327" s="12" t="str">
        <f>IFERROR(__xludf.DUMMYFUNCTION("""COMPUTED_VALUE"""),"i dont remember")</f>
        <v>i dont remember</v>
      </c>
      <c r="C327" s="20" t="s">
        <v>1407</v>
      </c>
      <c r="D327" s="20" t="s">
        <v>1431</v>
      </c>
      <c r="E327" s="3" t="s">
        <v>1432</v>
      </c>
      <c r="F327" s="12"/>
      <c r="G327" s="12"/>
      <c r="H327" s="12"/>
      <c r="I327" s="12"/>
      <c r="J327" s="12"/>
    </row>
    <row r="328">
      <c r="A328">
        <f>IFERROR(__xludf.DUMMYFUNCTION("""COMPUTED_VALUE"""),455.0)</f>
        <v>455</v>
      </c>
      <c r="B328" s="12" t="str">
        <f>IFERROR(__xludf.DUMMYFUNCTION("""COMPUTED_VALUE"""),"Poshmark")</f>
        <v>Poshmark</v>
      </c>
      <c r="C328" s="20" t="s">
        <v>1407</v>
      </c>
      <c r="D328" s="20" t="s">
        <v>1408</v>
      </c>
      <c r="E328" s="3" t="s">
        <v>1479</v>
      </c>
      <c r="F328" s="12"/>
      <c r="G328" s="12"/>
      <c r="H328" s="12"/>
      <c r="I328" s="12"/>
      <c r="J328" s="12"/>
    </row>
    <row r="329">
      <c r="A329">
        <f>IFERROR(__xludf.DUMMYFUNCTION("""COMPUTED_VALUE"""),456.0)</f>
        <v>456</v>
      </c>
      <c r="B329" s="12" t="str">
        <f>IFERROR(__xludf.DUMMYFUNCTION("""COMPUTED_VALUE"""),"grindr")</f>
        <v>grindr</v>
      </c>
      <c r="C329" s="20" t="s">
        <v>1407</v>
      </c>
      <c r="D329" s="20" t="s">
        <v>1414</v>
      </c>
      <c r="E329" s="3" t="s">
        <v>1062</v>
      </c>
      <c r="F329" s="12"/>
      <c r="G329" s="12"/>
      <c r="H329" s="12"/>
      <c r="I329" s="12"/>
      <c r="J329" s="12"/>
    </row>
    <row r="330">
      <c r="A330">
        <f>IFERROR(__xludf.DUMMYFUNCTION("""COMPUTED_VALUE"""),458.0)</f>
        <v>458</v>
      </c>
      <c r="B330" s="12"/>
      <c r="E330" s="12"/>
      <c r="F330" s="12"/>
      <c r="G330" s="12"/>
      <c r="H330" s="12"/>
      <c r="I330" s="12"/>
      <c r="J330" s="12"/>
    </row>
    <row r="331">
      <c r="A331">
        <f>IFERROR(__xludf.DUMMYFUNCTION("""COMPUTED_VALUE"""),459.0)</f>
        <v>459</v>
      </c>
      <c r="B331" s="12" t="str">
        <f>IFERROR(__xludf.DUMMYFUNCTION("""COMPUTED_VALUE"""),"A 2-factor authenticator")</f>
        <v>A 2-factor authenticator</v>
      </c>
      <c r="C331" s="20" t="s">
        <v>1407</v>
      </c>
      <c r="D331" s="20" t="s">
        <v>1567</v>
      </c>
      <c r="E331" s="3" t="s">
        <v>1568</v>
      </c>
      <c r="F331" s="12"/>
      <c r="G331" s="12"/>
      <c r="H331" s="12"/>
      <c r="I331" s="12"/>
      <c r="J331" s="12"/>
    </row>
    <row r="332">
      <c r="A332">
        <f>IFERROR(__xludf.DUMMYFUNCTION("""COMPUTED_VALUE"""),461.0)</f>
        <v>461</v>
      </c>
      <c r="B332" s="12" t="str">
        <f>IFERROR(__xludf.DUMMYFUNCTION("""COMPUTED_VALUE"""),"grubhub")</f>
        <v>grubhub</v>
      </c>
      <c r="C332" s="20" t="s">
        <v>1407</v>
      </c>
      <c r="D332" s="20" t="s">
        <v>1429</v>
      </c>
      <c r="E332" s="3" t="s">
        <v>1073</v>
      </c>
      <c r="F332" s="12"/>
      <c r="G332" s="12"/>
      <c r="H332" s="12"/>
      <c r="I332" s="12"/>
      <c r="J332" s="12"/>
    </row>
    <row r="333">
      <c r="A333">
        <f>IFERROR(__xludf.DUMMYFUNCTION("""COMPUTED_VALUE"""),462.0)</f>
        <v>462</v>
      </c>
      <c r="B333" s="12" t="str">
        <f>IFERROR(__xludf.DUMMYFUNCTION("""COMPUTED_VALUE"""),"Sign up for some forum, can't remember exactly")</f>
        <v>Sign up for some forum, can't remember exactly</v>
      </c>
      <c r="C333" s="20" t="s">
        <v>1407</v>
      </c>
      <c r="D333" s="20" t="s">
        <v>1412</v>
      </c>
      <c r="E333" s="3" t="s">
        <v>1450</v>
      </c>
      <c r="F333" s="12"/>
      <c r="G333" s="12"/>
      <c r="H333" s="12"/>
      <c r="I333" s="12"/>
      <c r="J333" s="12"/>
    </row>
    <row r="334">
      <c r="A334">
        <f>IFERROR(__xludf.DUMMYFUNCTION("""COMPUTED_VALUE"""),463.0)</f>
        <v>463</v>
      </c>
      <c r="B334" s="12" t="str">
        <f>IFERROR(__xludf.DUMMYFUNCTION("""COMPUTED_VALUE"""),"My pokemon Go app on my iPhone.")</f>
        <v>My pokemon Go app on my iPhone.</v>
      </c>
      <c r="C334" s="20" t="s">
        <v>1407</v>
      </c>
      <c r="D334" s="20" t="s">
        <v>1436</v>
      </c>
      <c r="E334" s="3" t="s">
        <v>1539</v>
      </c>
      <c r="F334" s="12"/>
      <c r="G334" s="12"/>
      <c r="H334" s="12"/>
      <c r="I334" s="12"/>
      <c r="J334" s="12"/>
    </row>
    <row r="335">
      <c r="A335">
        <f>IFERROR(__xludf.DUMMYFUNCTION("""COMPUTED_VALUE"""),464.0)</f>
        <v>464</v>
      </c>
      <c r="B335" s="12" t="str">
        <f>IFERROR(__xludf.DUMMYFUNCTION("""COMPUTED_VALUE"""),"Aliexpress")</f>
        <v>Aliexpress</v>
      </c>
      <c r="C335" s="20" t="s">
        <v>1407</v>
      </c>
      <c r="D335" s="20" t="s">
        <v>1408</v>
      </c>
      <c r="E335" s="3" t="s">
        <v>1569</v>
      </c>
      <c r="F335" s="12"/>
      <c r="G335" s="12"/>
      <c r="H335" s="12"/>
      <c r="I335" s="12"/>
      <c r="J335" s="12"/>
    </row>
    <row r="336">
      <c r="A336">
        <f>IFERROR(__xludf.DUMMYFUNCTION("""COMPUTED_VALUE"""),465.0)</f>
        <v>465</v>
      </c>
      <c r="B336" s="12" t="str">
        <f>IFERROR(__xludf.DUMMYFUNCTION("""COMPUTED_VALUE"""),"Quizlet")</f>
        <v>Quizlet</v>
      </c>
      <c r="C336" s="20" t="s">
        <v>1407</v>
      </c>
      <c r="D336" s="20" t="s">
        <v>1423</v>
      </c>
      <c r="E336" s="3" t="s">
        <v>1517</v>
      </c>
      <c r="F336" s="12"/>
      <c r="G336" s="12"/>
      <c r="H336" s="12"/>
      <c r="I336" s="12"/>
      <c r="J336" s="12"/>
    </row>
    <row r="337">
      <c r="A337">
        <f>IFERROR(__xludf.DUMMYFUNCTION("""COMPUTED_VALUE"""),466.0)</f>
        <v>466</v>
      </c>
      <c r="B337" s="12" t="str">
        <f>IFERROR(__xludf.DUMMYFUNCTION("""COMPUTED_VALUE"""),"dating site")</f>
        <v>dating site</v>
      </c>
      <c r="C337" s="20" t="s">
        <v>1407</v>
      </c>
      <c r="D337" s="20" t="s">
        <v>1414</v>
      </c>
      <c r="E337" s="3" t="s">
        <v>1501</v>
      </c>
      <c r="F337" s="12"/>
      <c r="G337" s="12"/>
      <c r="H337" s="12"/>
      <c r="I337" s="12"/>
      <c r="J337" s="12"/>
    </row>
    <row r="338">
      <c r="A338">
        <f>IFERROR(__xludf.DUMMYFUNCTION("""COMPUTED_VALUE"""),468.0)</f>
        <v>468</v>
      </c>
      <c r="B338" s="12" t="str">
        <f>IFERROR(__xludf.DUMMYFUNCTION("""COMPUTED_VALUE"""),"I believe it was Diagnose Us, a medical knowledge competition app that pays for the winners of each category.")</f>
        <v>I believe it was Diagnose Us, a medical knowledge competition app that pays for the winners of each category.</v>
      </c>
      <c r="C338" s="20" t="s">
        <v>1407</v>
      </c>
      <c r="D338" s="20" t="s">
        <v>1436</v>
      </c>
      <c r="E338" s="3" t="s">
        <v>1570</v>
      </c>
      <c r="F338" s="12"/>
      <c r="G338" s="12"/>
      <c r="H338" s="12"/>
      <c r="I338" s="12"/>
      <c r="J338" s="12"/>
    </row>
    <row r="339">
      <c r="A339">
        <f>IFERROR(__xludf.DUMMYFUNCTION("""COMPUTED_VALUE"""),469.0)</f>
        <v>469</v>
      </c>
      <c r="B339" s="12" t="str">
        <f>IFERROR(__xludf.DUMMYFUNCTION("""COMPUTED_VALUE"""),"Star Wars: Galaxy of Heroes")</f>
        <v>Star Wars: Galaxy of Heroes</v>
      </c>
      <c r="C339" s="20" t="s">
        <v>1407</v>
      </c>
      <c r="D339" s="20" t="s">
        <v>1436</v>
      </c>
      <c r="E339" s="3" t="s">
        <v>1571</v>
      </c>
      <c r="F339" s="12"/>
      <c r="G339" s="12"/>
      <c r="H339" s="12"/>
      <c r="I339" s="12"/>
      <c r="J339" s="12"/>
    </row>
    <row r="340">
      <c r="A340">
        <f>IFERROR(__xludf.DUMMYFUNCTION("""COMPUTED_VALUE"""),470.0)</f>
        <v>470</v>
      </c>
      <c r="B340" s="12" t="str">
        <f>IFERROR(__xludf.DUMMYFUNCTION("""COMPUTED_VALUE"""),"Don't remember which one")</f>
        <v>Don't remember which one</v>
      </c>
      <c r="C340" s="20" t="s">
        <v>1407</v>
      </c>
      <c r="D340" s="20" t="s">
        <v>1431</v>
      </c>
      <c r="E340" s="3" t="s">
        <v>1432</v>
      </c>
      <c r="F340" s="12"/>
      <c r="G340" s="12"/>
      <c r="H340" s="12"/>
      <c r="I340" s="12"/>
      <c r="J340" s="12"/>
    </row>
    <row r="341">
      <c r="A341">
        <f>IFERROR(__xludf.DUMMYFUNCTION("""COMPUTED_VALUE"""),471.0)</f>
        <v>471</v>
      </c>
      <c r="B341" s="12" t="str">
        <f>IFERROR(__xludf.DUMMYFUNCTION("""COMPUTED_VALUE"""),"I'm not 100% sure, but I think PBS.org")</f>
        <v>I'm not 100% sure, but I think PBS.org</v>
      </c>
      <c r="C341" s="20" t="s">
        <v>1407</v>
      </c>
      <c r="D341" s="20" t="s">
        <v>1443</v>
      </c>
      <c r="E341" s="3" t="s">
        <v>1572</v>
      </c>
      <c r="F341" s="12"/>
      <c r="G341" s="12"/>
      <c r="H341" s="12"/>
      <c r="I341" s="12"/>
      <c r="J341" s="12"/>
    </row>
    <row r="342">
      <c r="A342">
        <f>IFERROR(__xludf.DUMMYFUNCTION("""COMPUTED_VALUE"""),474.0)</f>
        <v>474</v>
      </c>
      <c r="B342" s="12" t="str">
        <f>IFERROR(__xludf.DUMMYFUNCTION("""COMPUTED_VALUE"""),"This survey, and Receipt Hog app")</f>
        <v>This survey, and Receipt Hog app</v>
      </c>
      <c r="C342" s="20" t="s">
        <v>1407</v>
      </c>
      <c r="D342" s="20" t="s">
        <v>1408</v>
      </c>
      <c r="E342" s="3" t="s">
        <v>1573</v>
      </c>
      <c r="F342" s="12"/>
      <c r="G342" s="12"/>
      <c r="H342" s="12"/>
      <c r="I342" s="12"/>
      <c r="J342" s="12"/>
    </row>
    <row r="343">
      <c r="A343">
        <f>IFERROR(__xludf.DUMMYFUNCTION("""COMPUTED_VALUE"""),475.0)</f>
        <v>475</v>
      </c>
      <c r="B343" s="12" t="str">
        <f>IFERROR(__xludf.DUMMYFUNCTION("""COMPUTED_VALUE"""),"Pokemon Go")</f>
        <v>Pokemon Go</v>
      </c>
      <c r="C343" s="20" t="s">
        <v>1407</v>
      </c>
      <c r="D343" s="20" t="s">
        <v>1436</v>
      </c>
      <c r="E343" s="3" t="s">
        <v>1539</v>
      </c>
      <c r="F343" s="12"/>
      <c r="G343" s="12"/>
      <c r="H343" s="12"/>
      <c r="I343" s="12"/>
      <c r="J343" s="12"/>
    </row>
    <row r="344">
      <c r="A344">
        <f>IFERROR(__xludf.DUMMYFUNCTION("""COMPUTED_VALUE"""),476.0)</f>
        <v>476</v>
      </c>
      <c r="B344" s="12" t="str">
        <f>IFERROR(__xludf.DUMMYFUNCTION("""COMPUTED_VALUE"""),"twitter")</f>
        <v>twitter</v>
      </c>
      <c r="C344" s="20" t="s">
        <v>1407</v>
      </c>
      <c r="D344" s="20" t="s">
        <v>1412</v>
      </c>
      <c r="E344" s="3" t="s">
        <v>1113</v>
      </c>
      <c r="F344" s="12"/>
      <c r="G344" s="12"/>
      <c r="H344" s="12"/>
      <c r="I344" s="12"/>
      <c r="J344" s="12"/>
    </row>
    <row r="345">
      <c r="A345">
        <f>IFERROR(__xludf.DUMMYFUNCTION("""COMPUTED_VALUE"""),477.0)</f>
        <v>477</v>
      </c>
      <c r="B345" s="12" t="str">
        <f>IFERROR(__xludf.DUMMYFUNCTION("""COMPUTED_VALUE"""),"shein,grubhub")</f>
        <v>shein,grubhub</v>
      </c>
      <c r="C345" s="20" t="s">
        <v>1407</v>
      </c>
      <c r="D345" s="20" t="s">
        <v>1408</v>
      </c>
      <c r="E345" s="3" t="s">
        <v>627</v>
      </c>
      <c r="F345" s="3" t="s">
        <v>1073</v>
      </c>
      <c r="G345" s="12"/>
      <c r="H345" s="12"/>
      <c r="I345" s="12"/>
      <c r="J345" s="12"/>
    </row>
    <row r="346">
      <c r="A346">
        <f>IFERROR(__xludf.DUMMYFUNCTION("""COMPUTED_VALUE"""),479.0)</f>
        <v>479</v>
      </c>
      <c r="B346" s="12" t="str">
        <f>IFERROR(__xludf.DUMMYFUNCTION("""COMPUTED_VALUE"""),"I used it to log into my Spotify account.")</f>
        <v>I used it to log into my Spotify account.</v>
      </c>
      <c r="C346" s="20" t="s">
        <v>1407</v>
      </c>
      <c r="D346" s="20" t="s">
        <v>1443</v>
      </c>
      <c r="E346" s="3" t="s">
        <v>1496</v>
      </c>
      <c r="F346" s="12"/>
      <c r="G346" s="12"/>
      <c r="H346" s="12"/>
      <c r="I346" s="12"/>
      <c r="J346" s="12"/>
    </row>
    <row r="347">
      <c r="A347">
        <f>IFERROR(__xludf.DUMMYFUNCTION("""COMPUTED_VALUE"""),480.0)</f>
        <v>480</v>
      </c>
      <c r="B347" s="12" t="str">
        <f>IFERROR(__xludf.DUMMYFUNCTION("""COMPUTED_VALUE"""),"I think the last time I used it was for the McDonald's app")</f>
        <v>I think the last time I used it was for the McDonald's app</v>
      </c>
      <c r="C347" s="20" t="s">
        <v>1407</v>
      </c>
      <c r="D347" s="20" t="s">
        <v>1436</v>
      </c>
      <c r="E347" s="3" t="s">
        <v>977</v>
      </c>
      <c r="F347" s="12"/>
      <c r="G347" s="12"/>
      <c r="H347" s="12"/>
      <c r="I347" s="12"/>
      <c r="J347" s="12"/>
    </row>
    <row r="348">
      <c r="A348">
        <f>IFERROR(__xludf.DUMMYFUNCTION("""COMPUTED_VALUE"""),483.0)</f>
        <v>483</v>
      </c>
      <c r="B348" s="12" t="str">
        <f>IFERROR(__xludf.DUMMYFUNCTION("""COMPUTED_VALUE"""),"I think I used it last time I was trying to log on to pokemon go and couldn't remember my login")</f>
        <v>I think I used it last time I was trying to log on to pokemon go and couldn't remember my login</v>
      </c>
      <c r="C348" s="20" t="s">
        <v>1407</v>
      </c>
      <c r="D348" s="20" t="s">
        <v>1436</v>
      </c>
      <c r="E348" s="3" t="s">
        <v>1539</v>
      </c>
      <c r="F348" s="12"/>
      <c r="G348" s="12"/>
      <c r="H348" s="12"/>
      <c r="I348" s="12"/>
      <c r="J348" s="12"/>
    </row>
    <row r="349">
      <c r="A349">
        <f>IFERROR(__xludf.DUMMYFUNCTION("""COMPUTED_VALUE"""),484.0)</f>
        <v>484</v>
      </c>
      <c r="B349" s="12" t="str">
        <f>IFERROR(__xludf.DUMMYFUNCTION("""COMPUTED_VALUE"""),"I believe the last time I did was while using Pinterest.")</f>
        <v>I believe the last time I did was while using Pinterest.</v>
      </c>
      <c r="C349" s="20" t="s">
        <v>1407</v>
      </c>
      <c r="D349" s="20" t="s">
        <v>1414</v>
      </c>
      <c r="E349" s="3" t="s">
        <v>533</v>
      </c>
      <c r="F349" s="12"/>
      <c r="G349" s="12"/>
      <c r="H349" s="12"/>
      <c r="I349" s="12"/>
      <c r="J349" s="12"/>
    </row>
    <row r="350">
      <c r="A350">
        <f>IFERROR(__xludf.DUMMYFUNCTION("""COMPUTED_VALUE"""),485.0)</f>
        <v>485</v>
      </c>
      <c r="B350" s="12" t="str">
        <f>IFERROR(__xludf.DUMMYFUNCTION("""COMPUTED_VALUE"""),"Tinder and reddit")</f>
        <v>Tinder and reddit</v>
      </c>
      <c r="C350" s="20" t="s">
        <v>1407</v>
      </c>
      <c r="D350" s="20" t="s">
        <v>1412</v>
      </c>
      <c r="E350" s="3" t="s">
        <v>1574</v>
      </c>
      <c r="F350" s="3" t="s">
        <v>1413</v>
      </c>
      <c r="G350" s="12"/>
      <c r="H350" s="12"/>
      <c r="I350" s="12"/>
      <c r="J350" s="12"/>
    </row>
    <row r="351">
      <c r="A351">
        <f>IFERROR(__xludf.DUMMYFUNCTION("""COMPUTED_VALUE"""),486.0)</f>
        <v>486</v>
      </c>
      <c r="B351" s="12" t="str">
        <f>IFERROR(__xludf.DUMMYFUNCTION("""COMPUTED_VALUE"""),"I don't remember")</f>
        <v>I don't remember</v>
      </c>
      <c r="C351" s="20" t="s">
        <v>1407</v>
      </c>
      <c r="D351" s="20" t="s">
        <v>1431</v>
      </c>
      <c r="E351" s="3" t="s">
        <v>1432</v>
      </c>
      <c r="F351" s="12"/>
      <c r="G351" s="12"/>
      <c r="H351" s="12"/>
      <c r="I351" s="12"/>
      <c r="J351" s="12"/>
    </row>
    <row r="352">
      <c r="A352">
        <f>IFERROR(__xludf.DUMMYFUNCTION("""COMPUTED_VALUE"""),487.0)</f>
        <v>487</v>
      </c>
      <c r="B352" s="12" t="str">
        <f>IFERROR(__xludf.DUMMYFUNCTION("""COMPUTED_VALUE"""),"to comment on a news item")</f>
        <v>to comment on a news item</v>
      </c>
      <c r="C352" s="20" t="s">
        <v>1407</v>
      </c>
      <c r="D352" s="20" t="s">
        <v>1421</v>
      </c>
      <c r="E352" s="3" t="s">
        <v>1536</v>
      </c>
      <c r="F352" s="12"/>
      <c r="G352" s="12"/>
      <c r="H352" s="12"/>
      <c r="I352" s="12"/>
      <c r="J352" s="12"/>
    </row>
    <row r="353">
      <c r="A353">
        <f>IFERROR(__xludf.DUMMYFUNCTION("""COMPUTED_VALUE"""),488.0)</f>
        <v>488</v>
      </c>
      <c r="B353" s="12" t="str">
        <f>IFERROR(__xludf.DUMMYFUNCTION("""COMPUTED_VALUE"""),"It is the Best Buy website; my login automatically logs me into the website through Google whenever I visit the site.")</f>
        <v>It is the Best Buy website; my login automatically logs me into the website through Google whenever I visit the site.</v>
      </c>
      <c r="C353" s="20" t="s">
        <v>1407</v>
      </c>
      <c r="D353" s="20" t="s">
        <v>1408</v>
      </c>
      <c r="E353" s="3" t="s">
        <v>1575</v>
      </c>
      <c r="F353" s="12"/>
      <c r="G353" s="12"/>
      <c r="H353" s="12"/>
      <c r="I353" s="12"/>
      <c r="J353" s="12"/>
    </row>
    <row r="354">
      <c r="A354">
        <f>IFERROR(__xludf.DUMMYFUNCTION("""COMPUTED_VALUE"""),489.0)</f>
        <v>489</v>
      </c>
      <c r="B354" s="12" t="str">
        <f>IFERROR(__xludf.DUMMYFUNCTION("""COMPUTED_VALUE"""),"Genshin Impact (PC game)")</f>
        <v>Genshin Impact (PC game)</v>
      </c>
      <c r="C354" s="20" t="s">
        <v>1407</v>
      </c>
      <c r="D354" s="20" t="s">
        <v>1436</v>
      </c>
      <c r="E354" s="3" t="s">
        <v>1576</v>
      </c>
      <c r="F354" s="12"/>
      <c r="G354" s="12"/>
      <c r="H354" s="12"/>
      <c r="I354" s="12"/>
      <c r="J354" s="12"/>
    </row>
    <row r="355">
      <c r="A355">
        <f>IFERROR(__xludf.DUMMYFUNCTION("""COMPUTED_VALUE"""),490.0)</f>
        <v>490</v>
      </c>
      <c r="B355" s="12" t="str">
        <f>IFERROR(__xludf.DUMMYFUNCTION("""COMPUTED_VALUE"""),"Yelp")</f>
        <v>Yelp</v>
      </c>
      <c r="C355" s="20" t="s">
        <v>1407</v>
      </c>
      <c r="D355" s="20" t="s">
        <v>1429</v>
      </c>
      <c r="E355" s="3" t="s">
        <v>1481</v>
      </c>
      <c r="F355" s="12"/>
      <c r="G355" s="12"/>
      <c r="H355" s="12"/>
      <c r="I355" s="12"/>
      <c r="J355" s="12"/>
    </row>
    <row r="356">
      <c r="A356">
        <f>IFERROR(__xludf.DUMMYFUNCTION("""COMPUTED_VALUE"""),491.0)</f>
        <v>491</v>
      </c>
      <c r="B356" s="12" t="str">
        <f>IFERROR(__xludf.DUMMYFUNCTION("""COMPUTED_VALUE"""),"Food applications like Chic")</f>
        <v>Food applications like Chic</v>
      </c>
      <c r="C356" s="20" t="s">
        <v>1407</v>
      </c>
      <c r="D356" s="20" t="s">
        <v>1429</v>
      </c>
      <c r="E356" s="3" t="s">
        <v>1577</v>
      </c>
      <c r="F356" s="12"/>
      <c r="G356" s="12"/>
      <c r="H356" s="12"/>
      <c r="I356" s="12"/>
      <c r="J356" s="12"/>
    </row>
    <row r="357">
      <c r="A357">
        <f>IFERROR(__xludf.DUMMYFUNCTION("""COMPUTED_VALUE"""),493.0)</f>
        <v>493</v>
      </c>
      <c r="B357" s="12" t="str">
        <f>IFERROR(__xludf.DUMMYFUNCTION("""COMPUTED_VALUE"""),"Poshmark")</f>
        <v>Poshmark</v>
      </c>
      <c r="C357" s="20" t="s">
        <v>1407</v>
      </c>
      <c r="D357" s="20" t="s">
        <v>1408</v>
      </c>
      <c r="E357" s="3" t="s">
        <v>1479</v>
      </c>
      <c r="F357" s="12"/>
      <c r="G357" s="12"/>
      <c r="H357" s="12"/>
      <c r="I357" s="12"/>
      <c r="J357" s="12"/>
    </row>
    <row r="358">
      <c r="A358">
        <f>IFERROR(__xludf.DUMMYFUNCTION("""COMPUTED_VALUE"""),496.0)</f>
        <v>496</v>
      </c>
      <c r="B358" s="12" t="str">
        <f>IFERROR(__xludf.DUMMYFUNCTION("""COMPUTED_VALUE"""),"The last time I used my Google Account to sign into a third-party app or survey was this survey. Previous to this survey I used it to log into a Zoom account.")</f>
        <v>The last time I used my Google Account to sign into a third-party app or survey was this survey. Previous to this survey I used it to log into a Zoom account.</v>
      </c>
      <c r="C358" s="20" t="s">
        <v>1407</v>
      </c>
      <c r="D358" s="20" t="s">
        <v>1417</v>
      </c>
      <c r="E358" s="3" t="s">
        <v>588</v>
      </c>
      <c r="F358" s="12"/>
      <c r="G358" s="12"/>
      <c r="H358" s="12"/>
      <c r="I358" s="12"/>
      <c r="J358" s="12"/>
    </row>
    <row r="359">
      <c r="A359">
        <f>IFERROR(__xludf.DUMMYFUNCTION("""COMPUTED_VALUE"""),497.0)</f>
        <v>497</v>
      </c>
      <c r="B359" s="12" t="str">
        <f>IFERROR(__xludf.DUMMYFUNCTION("""COMPUTED_VALUE"""),"I don't remember")</f>
        <v>I don't remember</v>
      </c>
      <c r="C359" s="20" t="s">
        <v>1407</v>
      </c>
      <c r="D359" s="20" t="s">
        <v>1431</v>
      </c>
      <c r="E359" s="3" t="s">
        <v>1432</v>
      </c>
      <c r="F359" s="12"/>
      <c r="G359" s="12"/>
      <c r="H359" s="12"/>
      <c r="I359" s="12"/>
      <c r="J359" s="12"/>
    </row>
    <row r="360">
      <c r="A360">
        <f>IFERROR(__xludf.DUMMYFUNCTION("""COMPUTED_VALUE"""),498.0)</f>
        <v>498</v>
      </c>
      <c r="B360" s="12" t="str">
        <f>IFERROR(__xludf.DUMMYFUNCTION("""COMPUTED_VALUE"""),"I used my Google account to sign into Etsy last night.")</f>
        <v>I used my Google account to sign into Etsy last night.</v>
      </c>
      <c r="C360" s="20" t="s">
        <v>1407</v>
      </c>
      <c r="D360" s="20" t="s">
        <v>1408</v>
      </c>
      <c r="E360" s="3" t="s">
        <v>1531</v>
      </c>
      <c r="F360" s="12"/>
      <c r="G360" s="12"/>
      <c r="H360" s="12"/>
      <c r="I360" s="12"/>
      <c r="J360" s="12"/>
    </row>
    <row r="361">
      <c r="A361">
        <f>IFERROR(__xludf.DUMMYFUNCTION("""COMPUTED_VALUE"""),499.0)</f>
        <v>499</v>
      </c>
      <c r="B361" s="12" t="str">
        <f>IFERROR(__xludf.DUMMYFUNCTION("""COMPUTED_VALUE"""),"Google forms")</f>
        <v>Google forms</v>
      </c>
      <c r="C361" s="20" t="s">
        <v>1407</v>
      </c>
      <c r="D361" s="20" t="s">
        <v>1433</v>
      </c>
      <c r="E361" s="3" t="s">
        <v>1578</v>
      </c>
      <c r="F361" s="12"/>
      <c r="G361" s="12"/>
      <c r="H361" s="12"/>
      <c r="I361" s="12"/>
      <c r="J361" s="12"/>
    </row>
    <row r="362">
      <c r="A362">
        <f>IFERROR(__xludf.DUMMYFUNCTION("""COMPUTED_VALUE"""),501.0)</f>
        <v>501</v>
      </c>
      <c r="B362" s="12" t="str">
        <f>IFERROR(__xludf.DUMMYFUNCTION("""COMPUTED_VALUE"""),"dispensary menu")</f>
        <v>dispensary menu</v>
      </c>
      <c r="C362" s="20" t="s">
        <v>1407</v>
      </c>
      <c r="D362" s="20" t="s">
        <v>1408</v>
      </c>
      <c r="E362" s="3" t="s">
        <v>1579</v>
      </c>
      <c r="F362" s="12"/>
      <c r="G362" s="12"/>
      <c r="H362" s="12"/>
      <c r="I362" s="12"/>
      <c r="J362" s="12"/>
    </row>
    <row r="363">
      <c r="A363">
        <f>IFERROR(__xludf.DUMMYFUNCTION("""COMPUTED_VALUE"""),502.0)</f>
        <v>502</v>
      </c>
      <c r="B363" s="12"/>
      <c r="E363" s="12"/>
      <c r="F363" s="12"/>
      <c r="G363" s="12"/>
      <c r="H363" s="12"/>
      <c r="I363" s="12"/>
      <c r="J363" s="12"/>
    </row>
    <row r="364">
      <c r="A364">
        <f>IFERROR(__xludf.DUMMYFUNCTION("""COMPUTED_VALUE"""),503.0)</f>
        <v>503</v>
      </c>
      <c r="B364" s="12" t="str">
        <f>IFERROR(__xludf.DUMMYFUNCTION("""COMPUTED_VALUE"""),"If I recall correctly, I believe it was for Spotify.")</f>
        <v>If I recall correctly, I believe it was for Spotify.</v>
      </c>
      <c r="C364" s="20" t="s">
        <v>1407</v>
      </c>
      <c r="D364" s="20" t="s">
        <v>1443</v>
      </c>
      <c r="E364" s="3" t="s">
        <v>1496</v>
      </c>
      <c r="F364" s="12"/>
      <c r="G364" s="12"/>
      <c r="H364" s="12"/>
      <c r="I364" s="12"/>
      <c r="J364" s="12"/>
    </row>
    <row r="365">
      <c r="A365">
        <f>IFERROR(__xludf.DUMMYFUNCTION("""COMPUTED_VALUE"""),504.0)</f>
        <v>504</v>
      </c>
      <c r="B365" s="12" t="str">
        <f>IFERROR(__xludf.DUMMYFUNCTION("""COMPUTED_VALUE"""),"Instacart.")</f>
        <v>Instacart.</v>
      </c>
      <c r="C365" s="20" t="s">
        <v>1407</v>
      </c>
      <c r="D365" s="20" t="s">
        <v>1429</v>
      </c>
      <c r="E365" s="3" t="s">
        <v>1471</v>
      </c>
      <c r="F365" s="12"/>
      <c r="G365" s="12"/>
      <c r="H365" s="12"/>
      <c r="I365" s="12"/>
      <c r="J365" s="12"/>
    </row>
    <row r="366">
      <c r="A366">
        <f>IFERROR(__xludf.DUMMYFUNCTION("""COMPUTED_VALUE"""),505.0)</f>
        <v>505</v>
      </c>
      <c r="B366" s="12" t="str">
        <f>IFERROR(__xludf.DUMMYFUNCTION("""COMPUTED_VALUE"""),"Canva!")</f>
        <v>Canva!</v>
      </c>
      <c r="C366" s="20" t="s">
        <v>1407</v>
      </c>
      <c r="D366" s="20" t="s">
        <v>1476</v>
      </c>
      <c r="E366" s="3" t="s">
        <v>1477</v>
      </c>
      <c r="F366" s="12"/>
      <c r="G366" s="12"/>
      <c r="H366" s="12"/>
      <c r="I366" s="12"/>
      <c r="J366" s="12"/>
    </row>
    <row r="367">
      <c r="A367">
        <f>IFERROR(__xludf.DUMMYFUNCTION("""COMPUTED_VALUE"""),507.0)</f>
        <v>507</v>
      </c>
      <c r="B367" s="12" t="str">
        <f>IFERROR(__xludf.DUMMYFUNCTION("""COMPUTED_VALUE"""),"I used my google account to log into pinterest")</f>
        <v>I used my google account to log into pinterest</v>
      </c>
      <c r="C367" s="20" t="s">
        <v>1407</v>
      </c>
      <c r="D367" s="20" t="s">
        <v>1414</v>
      </c>
      <c r="E367" s="3" t="s">
        <v>533</v>
      </c>
      <c r="F367" s="12"/>
      <c r="G367" s="12"/>
      <c r="H367" s="12"/>
      <c r="I367" s="12"/>
      <c r="J367" s="12"/>
    </row>
    <row r="368">
      <c r="A368">
        <f>IFERROR(__xludf.DUMMYFUNCTION("""COMPUTED_VALUE"""),508.0)</f>
        <v>508</v>
      </c>
      <c r="B368" s="12" t="str">
        <f>IFERROR(__xludf.DUMMYFUNCTION("""COMPUTED_VALUE"""),"I don't remember the name, but it was some website where I was doing an online order and they wanted me to create an account (in which cases I always continue with Google)")</f>
        <v>I don't remember the name, but it was some website where I was doing an online order and they wanted me to create an account (in which cases I always continue with Google)</v>
      </c>
      <c r="C368" s="20" t="s">
        <v>1407</v>
      </c>
      <c r="D368" s="20" t="s">
        <v>1431</v>
      </c>
      <c r="E368" s="3" t="s">
        <v>1432</v>
      </c>
      <c r="F368" s="12"/>
      <c r="G368" s="12"/>
      <c r="H368" s="12"/>
      <c r="I368" s="12"/>
      <c r="J368" s="12"/>
    </row>
    <row r="369">
      <c r="A369">
        <f>IFERROR(__xludf.DUMMYFUNCTION("""COMPUTED_VALUE"""),509.0)</f>
        <v>509</v>
      </c>
      <c r="B369" s="12" t="str">
        <f>IFERROR(__xludf.DUMMYFUNCTION("""COMPUTED_VALUE"""),"thingiverse")</f>
        <v>thingiverse</v>
      </c>
      <c r="C369" s="20" t="s">
        <v>1407</v>
      </c>
      <c r="D369" s="20" t="s">
        <v>1412</v>
      </c>
      <c r="E369" s="3" t="s">
        <v>1195</v>
      </c>
      <c r="F369" s="12"/>
      <c r="G369" s="12"/>
      <c r="H369" s="12"/>
      <c r="I369" s="12"/>
      <c r="J369" s="12"/>
    </row>
    <row r="370">
      <c r="A370">
        <f>IFERROR(__xludf.DUMMYFUNCTION("""COMPUTED_VALUE"""),510.0)</f>
        <v>510</v>
      </c>
      <c r="B370" s="12" t="str">
        <f>IFERROR(__xludf.DUMMYFUNCTION("""COMPUTED_VALUE"""),"Paypal")</f>
        <v>Paypal</v>
      </c>
      <c r="C370" s="20" t="s">
        <v>1407</v>
      </c>
      <c r="D370" s="20" t="s">
        <v>1416</v>
      </c>
      <c r="E370" s="3" t="s">
        <v>1242</v>
      </c>
      <c r="F370" s="12"/>
      <c r="G370" s="12"/>
      <c r="H370" s="12"/>
      <c r="I370" s="12"/>
      <c r="J370" s="12"/>
    </row>
    <row r="371">
      <c r="A371">
        <f>IFERROR(__xludf.DUMMYFUNCTION("""COMPUTED_VALUE"""),511.0)</f>
        <v>511</v>
      </c>
      <c r="B371" s="12" t="str">
        <f>IFERROR(__xludf.DUMMYFUNCTION("""COMPUTED_VALUE"""),"log in to video game")</f>
        <v>log in to video game</v>
      </c>
      <c r="C371" s="20" t="s">
        <v>1407</v>
      </c>
      <c r="D371" s="20" t="s">
        <v>1436</v>
      </c>
      <c r="E371" s="3" t="s">
        <v>1459</v>
      </c>
      <c r="F371" s="12"/>
      <c r="G371" s="12"/>
      <c r="H371" s="12"/>
      <c r="I371" s="12"/>
      <c r="J371" s="12"/>
    </row>
    <row r="372">
      <c r="A372">
        <f>IFERROR(__xludf.DUMMYFUNCTION("""COMPUTED_VALUE"""),512.0)</f>
        <v>512</v>
      </c>
      <c r="B372" s="12" t="str">
        <f>IFERROR(__xludf.DUMMYFUNCTION("""COMPUTED_VALUE"""),"Pinterest")</f>
        <v>Pinterest</v>
      </c>
      <c r="C372" s="20" t="s">
        <v>1407</v>
      </c>
      <c r="D372" s="20" t="s">
        <v>1414</v>
      </c>
      <c r="E372" s="3" t="s">
        <v>533</v>
      </c>
      <c r="F372" s="12"/>
      <c r="G372" s="12"/>
      <c r="H372" s="12"/>
      <c r="I372" s="12"/>
      <c r="J372" s="12"/>
    </row>
    <row r="373">
      <c r="A373">
        <f>IFERROR(__xludf.DUMMYFUNCTION("""COMPUTED_VALUE"""),513.0)</f>
        <v>513</v>
      </c>
      <c r="B373" s="12" t="str">
        <f>IFERROR(__xludf.DUMMYFUNCTION("""COMPUTED_VALUE"""),"I use it when i dont want to take the time to put in my info so i use my google acc")</f>
        <v>I use it when i dont want to take the time to put in my info so i use my google acc</v>
      </c>
      <c r="C373" s="20" t="s">
        <v>1407</v>
      </c>
      <c r="D373" s="20" t="s">
        <v>1410</v>
      </c>
      <c r="E373" s="3" t="s">
        <v>1411</v>
      </c>
      <c r="F373" s="12"/>
      <c r="G373" s="12"/>
      <c r="H373" s="12"/>
      <c r="I373" s="12"/>
      <c r="J373" s="12"/>
    </row>
    <row r="374">
      <c r="A374">
        <f>IFERROR(__xludf.DUMMYFUNCTION("""COMPUTED_VALUE"""),514.0)</f>
        <v>514</v>
      </c>
      <c r="B374" s="12" t="str">
        <f>IFERROR(__xludf.DUMMYFUNCTION("""COMPUTED_VALUE"""),"I'm not sure. It's a very common feature with most websites these days.")</f>
        <v>I'm not sure. It's a very common feature with most websites these days.</v>
      </c>
      <c r="C374" s="20" t="s">
        <v>1407</v>
      </c>
      <c r="D374" s="20" t="s">
        <v>1431</v>
      </c>
      <c r="E374" s="3" t="s">
        <v>1432</v>
      </c>
      <c r="F374" s="12"/>
      <c r="G374" s="12"/>
      <c r="H374" s="12"/>
      <c r="I374" s="12"/>
      <c r="J374" s="12"/>
    </row>
    <row r="375">
      <c r="A375">
        <f>IFERROR(__xludf.DUMMYFUNCTION("""COMPUTED_VALUE"""),515.0)</f>
        <v>515</v>
      </c>
      <c r="B375" s="12" t="str">
        <f>IFERROR(__xludf.DUMMYFUNCTION("""COMPUTED_VALUE"""),"I think I have my google account linked to Instacart")</f>
        <v>I think I have my google account linked to Instacart</v>
      </c>
      <c r="C375" s="20" t="s">
        <v>1407</v>
      </c>
      <c r="D375" s="20" t="s">
        <v>1429</v>
      </c>
      <c r="E375" s="3" t="s">
        <v>1471</v>
      </c>
      <c r="F375" s="12"/>
      <c r="G375" s="12"/>
      <c r="H375" s="12"/>
      <c r="I375" s="12"/>
      <c r="J375" s="12"/>
    </row>
    <row r="376">
      <c r="A376">
        <f>IFERROR(__xludf.DUMMYFUNCTION("""COMPUTED_VALUE"""),516.0)</f>
        <v>516</v>
      </c>
      <c r="B376" s="12" t="str">
        <f>IFERROR(__xludf.DUMMYFUNCTION("""COMPUTED_VALUE"""),"Online shopping website")</f>
        <v>Online shopping website</v>
      </c>
      <c r="C376" s="20" t="s">
        <v>1407</v>
      </c>
      <c r="D376" s="20" t="s">
        <v>1408</v>
      </c>
      <c r="E376" s="3" t="s">
        <v>1409</v>
      </c>
      <c r="F376" s="12"/>
      <c r="G376" s="12"/>
      <c r="H376" s="12"/>
      <c r="I376" s="12"/>
      <c r="J376" s="12"/>
    </row>
    <row r="377">
      <c r="A377">
        <f>IFERROR(__xludf.DUMMYFUNCTION("""COMPUTED_VALUE"""),517.0)</f>
        <v>517</v>
      </c>
      <c r="B377" s="12" t="str">
        <f>IFERROR(__xludf.DUMMYFUNCTION("""COMPUTED_VALUE"""),"This survey")</f>
        <v>This survey</v>
      </c>
      <c r="C377" s="20" t="s">
        <v>1407</v>
      </c>
      <c r="D377" s="20" t="s">
        <v>1463</v>
      </c>
      <c r="E377" s="3" t="s">
        <v>1464</v>
      </c>
      <c r="F377" s="12"/>
      <c r="G377" s="12"/>
      <c r="H377" s="12"/>
      <c r="I377" s="12"/>
      <c r="J377" s="12"/>
    </row>
    <row r="378">
      <c r="A378">
        <f>IFERROR(__xludf.DUMMYFUNCTION("""COMPUTED_VALUE"""),518.0)</f>
        <v>518</v>
      </c>
      <c r="B378" s="12" t="str">
        <f>IFERROR(__xludf.DUMMYFUNCTION("""COMPUTED_VALUE"""),"Facebook")</f>
        <v>Facebook</v>
      </c>
      <c r="C378" s="20" t="s">
        <v>1407</v>
      </c>
      <c r="D378" s="20" t="s">
        <v>1412</v>
      </c>
      <c r="E378" s="3" t="s">
        <v>187</v>
      </c>
      <c r="F378" s="12"/>
      <c r="G378" s="12"/>
      <c r="H378" s="12"/>
      <c r="I378" s="12"/>
      <c r="J378" s="12"/>
    </row>
    <row r="379">
      <c r="A379">
        <f>IFERROR(__xludf.DUMMYFUNCTION("""COMPUTED_VALUE"""),519.0)</f>
        <v>519</v>
      </c>
      <c r="B379" s="12" t="str">
        <f>IFERROR(__xludf.DUMMYFUNCTION("""COMPUTED_VALUE"""),"An online dating app")</f>
        <v>An online dating app</v>
      </c>
      <c r="C379" s="20" t="s">
        <v>1407</v>
      </c>
      <c r="D379" s="20" t="s">
        <v>1414</v>
      </c>
      <c r="E379" s="3" t="s">
        <v>1501</v>
      </c>
      <c r="F379" s="12"/>
      <c r="G379" s="12"/>
      <c r="H379" s="12"/>
      <c r="I379" s="12"/>
      <c r="J379" s="12"/>
    </row>
    <row r="380">
      <c r="A380">
        <f>IFERROR(__xludf.DUMMYFUNCTION("""COMPUTED_VALUE"""),521.0)</f>
        <v>521</v>
      </c>
      <c r="B380" s="12" t="str">
        <f>IFERROR(__xludf.DUMMYFUNCTION("""COMPUTED_VALUE"""),"I used a web app called Talking Points.")</f>
        <v>I used a web app called Talking Points.</v>
      </c>
      <c r="C380" s="20" t="s">
        <v>1407</v>
      </c>
      <c r="D380" s="20" t="s">
        <v>1423</v>
      </c>
      <c r="E380" s="3" t="s">
        <v>1512</v>
      </c>
      <c r="F380" s="12"/>
      <c r="G380" s="12"/>
      <c r="H380" s="12"/>
      <c r="I380" s="12"/>
      <c r="J380" s="12"/>
    </row>
    <row r="381">
      <c r="A381">
        <f>IFERROR(__xludf.DUMMYFUNCTION("""COMPUTED_VALUE"""),522.0)</f>
        <v>522</v>
      </c>
      <c r="B381" s="12" t="str">
        <f>IFERROR(__xludf.DUMMYFUNCTION("""COMPUTED_VALUE"""),"Epic Games Store")</f>
        <v>Epic Games Store</v>
      </c>
      <c r="C381" s="20" t="s">
        <v>1407</v>
      </c>
      <c r="D381" s="20" t="s">
        <v>1436</v>
      </c>
      <c r="E381" s="3" t="s">
        <v>1520</v>
      </c>
      <c r="F381" s="12"/>
      <c r="G381" s="12"/>
      <c r="H381" s="12"/>
      <c r="I381" s="12"/>
      <c r="J381" s="12"/>
    </row>
    <row r="382">
      <c r="A382">
        <f>IFERROR(__xludf.DUMMYFUNCTION("""COMPUTED_VALUE"""),523.0)</f>
        <v>523</v>
      </c>
      <c r="B382" s="12" t="str">
        <f>IFERROR(__xludf.DUMMYFUNCTION("""COMPUTED_VALUE"""),"I used it to sign in to Door Dash.")</f>
        <v>I used it to sign in to Door Dash.</v>
      </c>
      <c r="C382" s="20" t="s">
        <v>1407</v>
      </c>
      <c r="D382" s="20" t="s">
        <v>1429</v>
      </c>
      <c r="E382" s="3" t="s">
        <v>1430</v>
      </c>
      <c r="F382" s="12"/>
      <c r="G382" s="12"/>
      <c r="H382" s="12"/>
      <c r="I382" s="12"/>
      <c r="J382" s="12"/>
    </row>
    <row r="383">
      <c r="A383">
        <f>IFERROR(__xludf.DUMMYFUNCTION("""COMPUTED_VALUE"""),527.0)</f>
        <v>527</v>
      </c>
      <c r="B383" s="12" t="str">
        <f>IFERROR(__xludf.DUMMYFUNCTION("""COMPUTED_VALUE"""),"I think the last time I used Google Account to sign into a third-party app was to look at a newspaper/news website.")</f>
        <v>I think the last time I used Google Account to sign into a third-party app was to look at a newspaper/news website.</v>
      </c>
      <c r="C383" s="20" t="s">
        <v>1407</v>
      </c>
      <c r="D383" s="20" t="s">
        <v>1421</v>
      </c>
      <c r="E383" s="3" t="s">
        <v>1536</v>
      </c>
      <c r="F383" s="12"/>
      <c r="G383" s="12"/>
      <c r="H383" s="12"/>
      <c r="I383" s="12"/>
      <c r="J383" s="12"/>
    </row>
    <row r="384">
      <c r="A384">
        <f>IFERROR(__xludf.DUMMYFUNCTION("""COMPUTED_VALUE"""),528.0)</f>
        <v>528</v>
      </c>
      <c r="B384" s="12" t="str">
        <f>IFERROR(__xludf.DUMMYFUNCTION("""COMPUTED_VALUE"""),"paypal")</f>
        <v>paypal</v>
      </c>
      <c r="C384" s="20" t="s">
        <v>1407</v>
      </c>
      <c r="D384" s="20" t="s">
        <v>1416</v>
      </c>
      <c r="E384" s="3" t="s">
        <v>1242</v>
      </c>
      <c r="F384" s="12"/>
      <c r="G384" s="12"/>
      <c r="H384" s="12"/>
      <c r="I384" s="12"/>
      <c r="J384" s="12"/>
    </row>
    <row r="385">
      <c r="A385">
        <f>IFERROR(__xludf.DUMMYFUNCTION("""COMPUTED_VALUE"""),529.0)</f>
        <v>529</v>
      </c>
      <c r="B385" s="12" t="str">
        <f>IFERROR(__xludf.DUMMYFUNCTION("""COMPUTED_VALUE"""),"Geoguessr (game)")</f>
        <v>Geoguessr (game)</v>
      </c>
      <c r="C385" s="20" t="s">
        <v>1407</v>
      </c>
      <c r="D385" s="20" t="s">
        <v>1436</v>
      </c>
      <c r="E385" s="3" t="s">
        <v>1580</v>
      </c>
      <c r="F385" s="12"/>
      <c r="G385" s="12"/>
      <c r="H385" s="12"/>
      <c r="I385" s="12"/>
      <c r="J385" s="12"/>
    </row>
    <row r="386">
      <c r="A386">
        <f>IFERROR(__xludf.DUMMYFUNCTION("""COMPUTED_VALUE"""),530.0)</f>
        <v>530</v>
      </c>
      <c r="B386" s="12" t="str">
        <f>IFERROR(__xludf.DUMMYFUNCTION("""COMPUTED_VALUE"""),"Youtube")</f>
        <v>Youtube</v>
      </c>
      <c r="C386" s="20" t="s">
        <v>1407</v>
      </c>
      <c r="D386" s="20" t="s">
        <v>1443</v>
      </c>
      <c r="E386" s="3" t="s">
        <v>228</v>
      </c>
      <c r="F386" s="12"/>
      <c r="G386" s="12"/>
      <c r="H386" s="12"/>
      <c r="I386" s="12"/>
      <c r="J386" s="12"/>
    </row>
    <row r="387">
      <c r="A387">
        <f>IFERROR(__xludf.DUMMYFUNCTION("""COMPUTED_VALUE"""),532.0)</f>
        <v>532</v>
      </c>
      <c r="B387" s="12" t="str">
        <f>IFERROR(__xludf.DUMMYFUNCTION("""COMPUTED_VALUE"""),"Pinterest")</f>
        <v>Pinterest</v>
      </c>
      <c r="C387" s="20" t="s">
        <v>1407</v>
      </c>
      <c r="D387" s="20" t="s">
        <v>1414</v>
      </c>
      <c r="E387" s="3" t="s">
        <v>533</v>
      </c>
      <c r="F387" s="12"/>
      <c r="G387" s="12"/>
      <c r="H387" s="12"/>
      <c r="I387" s="12"/>
      <c r="J387" s="12"/>
    </row>
    <row r="388">
      <c r="A388">
        <f>IFERROR(__xludf.DUMMYFUNCTION("""COMPUTED_VALUE"""),533.0)</f>
        <v>533</v>
      </c>
      <c r="B388" s="12" t="str">
        <f>IFERROR(__xludf.DUMMYFUNCTION("""COMPUTED_VALUE"""),"I signed in on a blog, so I could leave a like on a comment that was made.")</f>
        <v>I signed in on a blog, so I could leave a like on a comment that was made.</v>
      </c>
      <c r="C388" s="20" t="s">
        <v>1407</v>
      </c>
      <c r="D388" s="20" t="s">
        <v>1412</v>
      </c>
      <c r="E388" s="3" t="s">
        <v>1581</v>
      </c>
      <c r="F388" s="12"/>
      <c r="G388" s="12"/>
      <c r="H388" s="12"/>
      <c r="I388" s="12"/>
      <c r="J388" s="12"/>
    </row>
    <row r="389">
      <c r="A389">
        <f>IFERROR(__xludf.DUMMYFUNCTION("""COMPUTED_VALUE"""),536.0)</f>
        <v>536</v>
      </c>
      <c r="B389" s="12" t="str">
        <f>IFERROR(__xludf.DUMMYFUNCTION("""COMPUTED_VALUE"""),"To my paypal account")</f>
        <v>To my paypal account</v>
      </c>
      <c r="C389" s="20" t="s">
        <v>1407</v>
      </c>
      <c r="D389" s="20" t="s">
        <v>1416</v>
      </c>
      <c r="E389" s="3" t="s">
        <v>1242</v>
      </c>
      <c r="F389" s="12"/>
      <c r="G389" s="12"/>
      <c r="H389" s="12"/>
      <c r="I389" s="12"/>
      <c r="J389" s="12"/>
    </row>
    <row r="390">
      <c r="A390">
        <f>IFERROR(__xludf.DUMMYFUNCTION("""COMPUTED_VALUE"""),537.0)</f>
        <v>537</v>
      </c>
      <c r="B390" s="12" t="str">
        <f>IFERROR(__xludf.DUMMYFUNCTION("""COMPUTED_VALUE"""),"I do not remember")</f>
        <v>I do not remember</v>
      </c>
      <c r="C390" s="20" t="s">
        <v>1407</v>
      </c>
      <c r="D390" s="20" t="s">
        <v>1431</v>
      </c>
      <c r="E390" s="3" t="s">
        <v>1432</v>
      </c>
      <c r="F390" s="12"/>
      <c r="G390" s="12"/>
      <c r="H390" s="12"/>
      <c r="I390" s="12"/>
      <c r="J390" s="12"/>
    </row>
    <row r="391">
      <c r="A391">
        <f>IFERROR(__xludf.DUMMYFUNCTION("""COMPUTED_VALUE"""),538.0)</f>
        <v>538</v>
      </c>
      <c r="B391" s="12"/>
      <c r="E391" s="12"/>
      <c r="F391" s="12"/>
      <c r="G391" s="12"/>
      <c r="H391" s="12"/>
      <c r="I391" s="12"/>
      <c r="J391" s="12"/>
    </row>
    <row r="392">
      <c r="A392">
        <f>IFERROR(__xludf.DUMMYFUNCTION("""COMPUTED_VALUE"""),539.0)</f>
        <v>539</v>
      </c>
      <c r="B392" s="12" t="str">
        <f>IFERROR(__xludf.DUMMYFUNCTION("""COMPUTED_VALUE"""),"Shopping website such as poshmark")</f>
        <v>Shopping website such as poshmark</v>
      </c>
      <c r="C392" s="20" t="s">
        <v>1407</v>
      </c>
      <c r="D392" s="20" t="s">
        <v>1408</v>
      </c>
      <c r="E392" s="3" t="s">
        <v>1479</v>
      </c>
      <c r="F392" s="12"/>
      <c r="G392" s="12"/>
      <c r="H392" s="12"/>
      <c r="I392" s="12"/>
      <c r="J392" s="12"/>
    </row>
    <row r="393">
      <c r="A393">
        <f>IFERROR(__xludf.DUMMYFUNCTION("""COMPUTED_VALUE"""),540.0)</f>
        <v>540</v>
      </c>
      <c r="B393" s="12" t="str">
        <f>IFERROR(__xludf.DUMMYFUNCTION("""COMPUTED_VALUE"""),"I used my Google Account to sign into Youtube.")</f>
        <v>I used my Google Account to sign into Youtube.</v>
      </c>
      <c r="C393" s="20" t="s">
        <v>1407</v>
      </c>
      <c r="D393" s="20" t="s">
        <v>1443</v>
      </c>
      <c r="E393" s="3" t="s">
        <v>228</v>
      </c>
      <c r="F393" s="12"/>
      <c r="G393" s="12"/>
      <c r="H393" s="12"/>
      <c r="I393" s="12"/>
      <c r="J393" s="12"/>
    </row>
    <row r="394">
      <c r="A394">
        <f>IFERROR(__xludf.DUMMYFUNCTION("""COMPUTED_VALUE"""),542.0)</f>
        <v>542</v>
      </c>
      <c r="B394" s="12" t="str">
        <f>IFERROR(__xludf.DUMMYFUNCTION("""COMPUTED_VALUE"""),"It was a gaming website")</f>
        <v>It was a gaming website</v>
      </c>
      <c r="C394" s="20" t="s">
        <v>1407</v>
      </c>
      <c r="D394" s="20" t="s">
        <v>1436</v>
      </c>
      <c r="E394" s="3" t="s">
        <v>1459</v>
      </c>
      <c r="F394" s="12"/>
      <c r="G394" s="12"/>
      <c r="H394" s="12"/>
      <c r="I394" s="12"/>
      <c r="J394" s="12"/>
    </row>
    <row r="395">
      <c r="A395">
        <f>IFERROR(__xludf.DUMMYFUNCTION("""COMPUTED_VALUE"""),543.0)</f>
        <v>543</v>
      </c>
      <c r="B395" s="12" t="str">
        <f>IFERROR(__xludf.DUMMYFUNCTION("""COMPUTED_VALUE"""),"Grindr")</f>
        <v>Grindr</v>
      </c>
      <c r="C395" s="20" t="s">
        <v>1407</v>
      </c>
      <c r="D395" s="20" t="s">
        <v>1414</v>
      </c>
      <c r="E395" s="3" t="s">
        <v>1062</v>
      </c>
      <c r="F395" s="12"/>
      <c r="G395" s="12"/>
      <c r="H395" s="12"/>
      <c r="I395" s="12"/>
      <c r="J395" s="12"/>
    </row>
    <row r="396">
      <c r="A396">
        <f>IFERROR(__xludf.DUMMYFUNCTION("""COMPUTED_VALUE"""),544.0)</f>
        <v>544</v>
      </c>
      <c r="B396" s="12" t="str">
        <f>IFERROR(__xludf.DUMMYFUNCTION("""COMPUTED_VALUE"""),"Streeteasy")</f>
        <v>Streeteasy</v>
      </c>
      <c r="C396" s="20" t="s">
        <v>1407</v>
      </c>
      <c r="D396" s="20" t="s">
        <v>1419</v>
      </c>
      <c r="E396" s="3" t="s">
        <v>1582</v>
      </c>
      <c r="F396" s="12"/>
      <c r="G396" s="12"/>
      <c r="H396" s="12"/>
      <c r="I396" s="12"/>
      <c r="J396" s="12"/>
    </row>
    <row r="397">
      <c r="A397">
        <f>IFERROR(__xludf.DUMMYFUNCTION("""COMPUTED_VALUE"""),545.0)</f>
        <v>545</v>
      </c>
      <c r="B397" s="12" t="str">
        <f>IFERROR(__xludf.DUMMYFUNCTION("""COMPUTED_VALUE"""),"Pinterest")</f>
        <v>Pinterest</v>
      </c>
      <c r="C397" s="20" t="s">
        <v>1407</v>
      </c>
      <c r="D397" s="20" t="s">
        <v>1414</v>
      </c>
      <c r="E397" s="3" t="s">
        <v>533</v>
      </c>
      <c r="F397" s="12"/>
      <c r="G397" s="12"/>
      <c r="H397" s="12"/>
      <c r="I397" s="12"/>
      <c r="J397" s="12"/>
    </row>
    <row r="398">
      <c r="A398">
        <f>IFERROR(__xludf.DUMMYFUNCTION("""COMPUTED_VALUE"""),547.0)</f>
        <v>547</v>
      </c>
      <c r="B398" s="12" t="str">
        <f>IFERROR(__xludf.DUMMYFUNCTION("""COMPUTED_VALUE"""),"I used Google to login into my Pokemon Go app")</f>
        <v>I used Google to login into my Pokemon Go app</v>
      </c>
      <c r="C398" s="20" t="s">
        <v>1407</v>
      </c>
      <c r="D398" s="20" t="s">
        <v>1436</v>
      </c>
      <c r="E398" s="3" t="s">
        <v>1539</v>
      </c>
      <c r="F398" s="12"/>
      <c r="G398" s="12"/>
      <c r="H398" s="12"/>
      <c r="I398" s="12"/>
      <c r="J398" s="12"/>
    </row>
    <row r="399">
      <c r="A399">
        <f>IFERROR(__xludf.DUMMYFUNCTION("""COMPUTED_VALUE"""),548.0)</f>
        <v>548</v>
      </c>
      <c r="B399" s="12" t="str">
        <f>IFERROR(__xludf.DUMMYFUNCTION("""COMPUTED_VALUE"""),"I used my Google Account to sign into a sheet music management service.")</f>
        <v>I used my Google Account to sign into a sheet music management service.</v>
      </c>
      <c r="C399" s="20" t="s">
        <v>1407</v>
      </c>
      <c r="D399" s="20" t="s">
        <v>1443</v>
      </c>
      <c r="E399" s="3" t="s">
        <v>1583</v>
      </c>
      <c r="F399" s="12"/>
      <c r="G399" s="12"/>
      <c r="H399" s="12"/>
      <c r="I399" s="12"/>
      <c r="J399" s="12"/>
    </row>
    <row r="400">
      <c r="A400">
        <f>IFERROR(__xludf.DUMMYFUNCTION("""COMPUTED_VALUE"""),549.0)</f>
        <v>549</v>
      </c>
      <c r="B400" s="12" t="str">
        <f>IFERROR(__xludf.DUMMYFUNCTION("""COMPUTED_VALUE"""),"Amazon")</f>
        <v>Amazon</v>
      </c>
      <c r="C400" s="20" t="s">
        <v>1407</v>
      </c>
      <c r="D400" s="20" t="s">
        <v>1408</v>
      </c>
      <c r="E400" s="3" t="s">
        <v>64</v>
      </c>
      <c r="F400" s="12"/>
      <c r="G400" s="12"/>
      <c r="H400" s="12"/>
      <c r="I400" s="12"/>
      <c r="J400" s="12"/>
    </row>
    <row r="401">
      <c r="A401">
        <f>IFERROR(__xludf.DUMMYFUNCTION("""COMPUTED_VALUE"""),550.0)</f>
        <v>550</v>
      </c>
      <c r="B401" s="12" t="str">
        <f>IFERROR(__xludf.DUMMYFUNCTION("""COMPUTED_VALUE"""),"An online game called blaseball")</f>
        <v>An online game called blaseball</v>
      </c>
      <c r="C401" s="20" t="s">
        <v>1407</v>
      </c>
      <c r="D401" s="20" t="s">
        <v>1436</v>
      </c>
      <c r="E401" s="3" t="s">
        <v>1584</v>
      </c>
      <c r="F401" s="12"/>
      <c r="G401" s="12"/>
      <c r="H401" s="12"/>
      <c r="I401" s="12"/>
      <c r="J401" s="12"/>
    </row>
    <row r="402">
      <c r="A402">
        <f>IFERROR(__xludf.DUMMYFUNCTION("""COMPUTED_VALUE"""),552.0)</f>
        <v>552</v>
      </c>
      <c r="B402" s="12" t="str">
        <f>IFERROR(__xludf.DUMMYFUNCTION("""COMPUTED_VALUE"""),"Songsterr")</f>
        <v>Songsterr</v>
      </c>
      <c r="C402" s="20" t="s">
        <v>1407</v>
      </c>
      <c r="D402" s="20" t="s">
        <v>1443</v>
      </c>
      <c r="E402" s="3" t="s">
        <v>1585</v>
      </c>
      <c r="F402" s="12"/>
      <c r="G402" s="12"/>
      <c r="H402" s="12"/>
      <c r="I402" s="12"/>
      <c r="J402" s="12"/>
    </row>
    <row r="403">
      <c r="A403">
        <f>IFERROR(__xludf.DUMMYFUNCTION("""COMPUTED_VALUE"""),553.0)</f>
        <v>553</v>
      </c>
      <c r="B403" s="12" t="str">
        <f>IFERROR(__xludf.DUMMYFUNCTION("""COMPUTED_VALUE"""),"Reddit, sometimes this service is annoying because it registers me for an account even though I'm not interested.")</f>
        <v>Reddit, sometimes this service is annoying because it registers me for an account even though I'm not interested.</v>
      </c>
      <c r="C403" s="20" t="s">
        <v>1407</v>
      </c>
      <c r="D403" s="20" t="s">
        <v>1412</v>
      </c>
      <c r="E403" s="3" t="s">
        <v>1413</v>
      </c>
      <c r="F403" s="12"/>
      <c r="G403" s="12"/>
      <c r="H403" s="12"/>
      <c r="I403" s="12"/>
      <c r="J403" s="12"/>
    </row>
    <row r="404">
      <c r="A404">
        <f>IFERROR(__xludf.DUMMYFUNCTION("""COMPUTED_VALUE"""),554.0)</f>
        <v>554</v>
      </c>
      <c r="B404" s="12" t="str">
        <f>IFERROR(__xludf.DUMMYFUNCTION("""COMPUTED_VALUE"""),"Off the top of my head, I'm not really sure. I mostly try to use Apple or my own log-in, but sometimes I use Google. It has to be for an app or website.")</f>
        <v>Off the top of my head, I'm not really sure. I mostly try to use Apple or my own log-in, but sometimes I use Google. It has to be for an app or website.</v>
      </c>
      <c r="C404" s="20" t="s">
        <v>1407</v>
      </c>
      <c r="D404" s="20" t="s">
        <v>1431</v>
      </c>
      <c r="E404" s="3" t="s">
        <v>1432</v>
      </c>
      <c r="F404" s="12"/>
      <c r="G404" s="12"/>
      <c r="H404" s="12"/>
      <c r="I404" s="12"/>
      <c r="J404" s="12"/>
    </row>
    <row r="405">
      <c r="A405">
        <f>IFERROR(__xludf.DUMMYFUNCTION("""COMPUTED_VALUE"""),555.0)</f>
        <v>555</v>
      </c>
      <c r="B405" s="12" t="str">
        <f>IFERROR(__xludf.DUMMYFUNCTION("""COMPUTED_VALUE"""),"Paypal")</f>
        <v>Paypal</v>
      </c>
      <c r="C405" s="20" t="s">
        <v>1407</v>
      </c>
      <c r="D405" s="20" t="s">
        <v>1416</v>
      </c>
      <c r="E405" s="3" t="s">
        <v>1242</v>
      </c>
      <c r="F405" s="12"/>
      <c r="G405" s="12"/>
      <c r="H405" s="12"/>
      <c r="I405" s="12"/>
      <c r="J405" s="12"/>
    </row>
    <row r="406">
      <c r="A406">
        <f>IFERROR(__xludf.DUMMYFUNCTION("""COMPUTED_VALUE"""),556.0)</f>
        <v>556</v>
      </c>
      <c r="B406" s="12" t="str">
        <f>IFERROR(__xludf.DUMMYFUNCTION("""COMPUTED_VALUE"""),"I used it to sign in to Shopify.")</f>
        <v>I used it to sign in to Shopify.</v>
      </c>
      <c r="C406" s="20" t="s">
        <v>1407</v>
      </c>
      <c r="D406" s="20" t="s">
        <v>1408</v>
      </c>
      <c r="E406" s="3" t="s">
        <v>1586</v>
      </c>
      <c r="F406" s="12"/>
      <c r="G406" s="12"/>
      <c r="H406" s="12"/>
      <c r="I406" s="12"/>
      <c r="J406" s="12"/>
    </row>
    <row r="407">
      <c r="A407">
        <f>IFERROR(__xludf.DUMMYFUNCTION("""COMPUTED_VALUE"""),557.0)</f>
        <v>557</v>
      </c>
      <c r="B407" s="12" t="str">
        <f>IFERROR(__xludf.DUMMYFUNCTION("""COMPUTED_VALUE"""),"NBA Topshot")</f>
        <v>NBA Topshot</v>
      </c>
      <c r="C407" s="20" t="s">
        <v>1407</v>
      </c>
      <c r="D407" s="20" t="s">
        <v>1467</v>
      </c>
      <c r="E407" s="3" t="s">
        <v>1587</v>
      </c>
      <c r="F407" s="12"/>
      <c r="G407" s="12"/>
      <c r="H407" s="12"/>
      <c r="I407" s="12"/>
      <c r="J407" s="12"/>
    </row>
    <row r="408">
      <c r="A408">
        <f>IFERROR(__xludf.DUMMYFUNCTION("""COMPUTED_VALUE"""),558.0)</f>
        <v>558</v>
      </c>
      <c r="B408" s="12" t="str">
        <f>IFERROR(__xludf.DUMMYFUNCTION("""COMPUTED_VALUE"""),"I use it to sign into my android game accounts")</f>
        <v>I use it to sign into my android game accounts</v>
      </c>
      <c r="C408" s="20" t="s">
        <v>1407</v>
      </c>
      <c r="D408" s="20" t="s">
        <v>1436</v>
      </c>
      <c r="E408" s="3" t="s">
        <v>1459</v>
      </c>
      <c r="F408" s="12"/>
      <c r="G408" s="12"/>
      <c r="H408" s="12"/>
      <c r="I408" s="12"/>
      <c r="J408" s="12"/>
    </row>
    <row r="409">
      <c r="A409">
        <f>IFERROR(__xludf.DUMMYFUNCTION("""COMPUTED_VALUE"""),559.0)</f>
        <v>559</v>
      </c>
      <c r="B409" s="12" t="str">
        <f>IFERROR(__xludf.DUMMYFUNCTION("""COMPUTED_VALUE"""),"I use it for a large number of third-party sign-ins, so to be honest, it's hard to remember which one was the most recent. However, I believe it was my Facebook account")</f>
        <v>I use it for a large number of third-party sign-ins, so to be honest, it's hard to remember which one was the most recent. However, I believe it was my Facebook account</v>
      </c>
      <c r="C409" s="20" t="s">
        <v>1407</v>
      </c>
      <c r="D409" s="20" t="s">
        <v>1412</v>
      </c>
      <c r="E409" s="3" t="s">
        <v>187</v>
      </c>
      <c r="F409" s="12"/>
      <c r="G409" s="12"/>
      <c r="H409" s="12"/>
      <c r="I409" s="12"/>
      <c r="J409" s="12"/>
    </row>
    <row r="410">
      <c r="A410">
        <f>IFERROR(__xludf.DUMMYFUNCTION("""COMPUTED_VALUE"""),561.0)</f>
        <v>561</v>
      </c>
      <c r="B410" s="12" t="str">
        <f>IFERROR(__xludf.DUMMYFUNCTION("""COMPUTED_VALUE"""),"I don't remember in the slightest.")</f>
        <v>I don't remember in the slightest.</v>
      </c>
      <c r="C410" s="20" t="s">
        <v>1407</v>
      </c>
      <c r="D410" s="20" t="s">
        <v>1431</v>
      </c>
      <c r="E410" s="3" t="s">
        <v>1432</v>
      </c>
      <c r="F410" s="12"/>
      <c r="G410" s="12"/>
      <c r="H410" s="12"/>
      <c r="I410" s="12"/>
      <c r="J410" s="12"/>
    </row>
    <row r="411">
      <c r="A411">
        <f>IFERROR(__xludf.DUMMYFUNCTION("""COMPUTED_VALUE"""),562.0)</f>
        <v>562</v>
      </c>
      <c r="B411" s="12" t="str">
        <f>IFERROR(__xludf.DUMMYFUNCTION("""COMPUTED_VALUE"""),"I once used it to access Youtube.")</f>
        <v>I once used it to access Youtube.</v>
      </c>
      <c r="C411" s="20" t="s">
        <v>1407</v>
      </c>
      <c r="D411" s="20" t="s">
        <v>1443</v>
      </c>
      <c r="E411" s="3" t="s">
        <v>228</v>
      </c>
      <c r="F411" s="12"/>
      <c r="G411" s="12"/>
      <c r="H411" s="12"/>
      <c r="I411" s="12"/>
      <c r="J411" s="12"/>
    </row>
    <row r="412">
      <c r="A412">
        <f>IFERROR(__xludf.DUMMYFUNCTION("""COMPUTED_VALUE"""),564.0)</f>
        <v>564</v>
      </c>
      <c r="B412" s="12" t="str">
        <f>IFERROR(__xludf.DUMMYFUNCTION("""COMPUTED_VALUE"""),"I used it to sign into Strava.")</f>
        <v>I used it to sign into Strava.</v>
      </c>
      <c r="C412" s="20" t="s">
        <v>1407</v>
      </c>
      <c r="D412" s="20" t="s">
        <v>1442</v>
      </c>
      <c r="E412" s="3" t="s">
        <v>1588</v>
      </c>
      <c r="F412" s="12"/>
      <c r="G412" s="12"/>
      <c r="H412" s="12"/>
      <c r="I412" s="12"/>
      <c r="J412" s="12"/>
    </row>
    <row r="413">
      <c r="A413">
        <f>IFERROR(__xludf.DUMMYFUNCTION("""COMPUTED_VALUE"""),566.0)</f>
        <v>566</v>
      </c>
      <c r="B413" s="12" t="str">
        <f>IFERROR(__xludf.DUMMYFUNCTION("""COMPUTED_VALUE"""),"Zillow")</f>
        <v>Zillow</v>
      </c>
      <c r="C413" s="20" t="s">
        <v>1407</v>
      </c>
      <c r="D413" s="20" t="s">
        <v>1419</v>
      </c>
      <c r="E413" s="3" t="s">
        <v>146</v>
      </c>
      <c r="F413" s="12"/>
      <c r="G413" s="12"/>
      <c r="H413" s="12"/>
      <c r="I413" s="12"/>
      <c r="J413" s="12"/>
    </row>
    <row r="414">
      <c r="A414">
        <f>IFERROR(__xludf.DUMMYFUNCTION("""COMPUTED_VALUE"""),569.0)</f>
        <v>569</v>
      </c>
      <c r="B414" s="12" t="str">
        <f>IFERROR(__xludf.DUMMYFUNCTION("""COMPUTED_VALUE"""),"wax.io, a platform for digital trading cards.")</f>
        <v>wax.io, a platform for digital trading cards.</v>
      </c>
      <c r="C414" s="20" t="s">
        <v>1407</v>
      </c>
      <c r="D414" s="20" t="s">
        <v>1436</v>
      </c>
      <c r="E414" s="22" t="s">
        <v>1589</v>
      </c>
      <c r="F414" s="12"/>
      <c r="G414" s="12"/>
      <c r="H414" s="12"/>
      <c r="I414" s="12"/>
      <c r="J414" s="12"/>
    </row>
    <row r="415">
      <c r="A415">
        <f>IFERROR(__xludf.DUMMYFUNCTION("""COMPUTED_VALUE"""),570.0)</f>
        <v>570</v>
      </c>
      <c r="B415" s="12" t="str">
        <f>IFERROR(__xludf.DUMMYFUNCTION("""COMPUTED_VALUE"""),"It was a game I play on my phone.")</f>
        <v>It was a game I play on my phone.</v>
      </c>
      <c r="C415" s="20" t="s">
        <v>1407</v>
      </c>
      <c r="D415" s="20" t="s">
        <v>1436</v>
      </c>
      <c r="E415" s="3" t="s">
        <v>1459</v>
      </c>
      <c r="F415" s="12"/>
      <c r="G415" s="12"/>
      <c r="H415" s="12"/>
      <c r="I415" s="12"/>
      <c r="J415" s="12"/>
    </row>
    <row r="416">
      <c r="A416">
        <f>IFERROR(__xludf.DUMMYFUNCTION("""COMPUTED_VALUE"""),574.0)</f>
        <v>574</v>
      </c>
      <c r="B416" s="12" t="str">
        <f>IFERROR(__xludf.DUMMYFUNCTION("""COMPUTED_VALUE"""),"The Moises app")</f>
        <v>The Moises app</v>
      </c>
      <c r="C416" s="20" t="s">
        <v>1407</v>
      </c>
      <c r="D416" s="20" t="s">
        <v>1443</v>
      </c>
      <c r="E416" s="3" t="s">
        <v>1590</v>
      </c>
      <c r="F416" s="12"/>
      <c r="G416" s="12"/>
      <c r="H416" s="12"/>
      <c r="I416" s="12"/>
      <c r="J416" s="12"/>
    </row>
    <row r="417">
      <c r="A417">
        <f>IFERROR(__xludf.DUMMYFUNCTION("""COMPUTED_VALUE"""),575.0)</f>
        <v>575</v>
      </c>
      <c r="B417" s="12" t="str">
        <f>IFERROR(__xludf.DUMMYFUNCTION("""COMPUTED_VALUE"""),"I signed in to Figma using my google account single sign on.")</f>
        <v>I signed in to Figma using my google account single sign on.</v>
      </c>
      <c r="C417" s="20" t="s">
        <v>1407</v>
      </c>
      <c r="D417" s="20" t="s">
        <v>1476</v>
      </c>
      <c r="E417" s="3" t="s">
        <v>1591</v>
      </c>
      <c r="F417" s="12"/>
      <c r="G417" s="12"/>
      <c r="H417" s="12"/>
      <c r="I417" s="12"/>
      <c r="J417" s="12"/>
    </row>
    <row r="418">
      <c r="A418">
        <f>IFERROR(__xludf.DUMMYFUNCTION("""COMPUTED_VALUE"""),577.0)</f>
        <v>577</v>
      </c>
      <c r="B418" s="12" t="str">
        <f>IFERROR(__xludf.DUMMYFUNCTION("""COMPUTED_VALUE"""),"Maybe my newspaper? I do google and facebook lots of places")</f>
        <v>Maybe my newspaper? I do google and facebook lots of places</v>
      </c>
      <c r="C418" s="20" t="s">
        <v>1407</v>
      </c>
      <c r="D418" s="20" t="s">
        <v>1421</v>
      </c>
      <c r="E418" s="3" t="s">
        <v>1536</v>
      </c>
      <c r="F418" s="12"/>
      <c r="G418" s="12"/>
      <c r="H418" s="12"/>
      <c r="I418" s="12"/>
      <c r="J418" s="12"/>
    </row>
    <row r="419">
      <c r="A419">
        <f>IFERROR(__xludf.DUMMYFUNCTION("""COMPUTED_VALUE"""),580.0)</f>
        <v>580</v>
      </c>
      <c r="B419" s="12" t="str">
        <f>IFERROR(__xludf.DUMMYFUNCTION("""COMPUTED_VALUE"""),"Deezer")</f>
        <v>Deezer</v>
      </c>
      <c r="C419" s="20" t="s">
        <v>1407</v>
      </c>
      <c r="D419" s="20" t="s">
        <v>1443</v>
      </c>
      <c r="E419" s="3" t="s">
        <v>1592</v>
      </c>
      <c r="F419" s="12"/>
      <c r="G419" s="12"/>
      <c r="H419" s="12"/>
      <c r="I419" s="12"/>
      <c r="J419" s="12"/>
    </row>
    <row r="420">
      <c r="A420">
        <f>IFERROR(__xludf.DUMMYFUNCTION("""COMPUTED_VALUE"""),581.0)</f>
        <v>581</v>
      </c>
      <c r="B420" s="12" t="str">
        <f>IFERROR(__xludf.DUMMYFUNCTION("""COMPUTED_VALUE"""),"my sons homeschool")</f>
        <v>my sons homeschool</v>
      </c>
      <c r="C420" s="20" t="s">
        <v>1407</v>
      </c>
      <c r="D420" s="20" t="s">
        <v>1423</v>
      </c>
      <c r="E420" s="3" t="s">
        <v>1480</v>
      </c>
      <c r="F420" s="12"/>
      <c r="G420" s="12"/>
      <c r="H420" s="12"/>
      <c r="I420" s="12"/>
      <c r="J420" s="12"/>
    </row>
    <row r="421">
      <c r="A421">
        <f>IFERROR(__xludf.DUMMYFUNCTION("""COMPUTED_VALUE"""),582.0)</f>
        <v>582</v>
      </c>
      <c r="B421" s="12" t="str">
        <f>IFERROR(__xludf.DUMMYFUNCTION("""COMPUTED_VALUE"""),"Yelp")</f>
        <v>Yelp</v>
      </c>
      <c r="C421" s="20" t="s">
        <v>1407</v>
      </c>
      <c r="D421" s="20" t="s">
        <v>1429</v>
      </c>
      <c r="E421" s="3" t="s">
        <v>1481</v>
      </c>
      <c r="F421" s="12"/>
      <c r="G421" s="12"/>
      <c r="H421" s="12"/>
      <c r="I421" s="12"/>
      <c r="J421" s="12"/>
    </row>
    <row r="422">
      <c r="A422">
        <f>IFERROR(__xludf.DUMMYFUNCTION("""COMPUTED_VALUE"""),583.0)</f>
        <v>583</v>
      </c>
      <c r="B422" s="12"/>
      <c r="E422" s="12"/>
      <c r="F422" s="12"/>
      <c r="G422" s="12"/>
      <c r="H422" s="12"/>
      <c r="I422" s="12"/>
      <c r="J422" s="12"/>
    </row>
    <row r="423">
      <c r="A423">
        <f>IFERROR(__xludf.DUMMYFUNCTION("""COMPUTED_VALUE"""),585.0)</f>
        <v>585</v>
      </c>
      <c r="B423" s="12" t="str">
        <f>IFERROR(__xludf.DUMMYFUNCTION("""COMPUTED_VALUE"""),"feedly")</f>
        <v>feedly</v>
      </c>
      <c r="C423" s="20" t="s">
        <v>1407</v>
      </c>
      <c r="D423" s="20" t="s">
        <v>1421</v>
      </c>
      <c r="E423" s="3" t="s">
        <v>1366</v>
      </c>
      <c r="F423" s="12"/>
      <c r="G423" s="12"/>
      <c r="H423" s="12"/>
      <c r="I423" s="12"/>
      <c r="J423" s="12"/>
    </row>
    <row r="424">
      <c r="A424">
        <f>IFERROR(__xludf.DUMMYFUNCTION("""COMPUTED_VALUE"""),588.0)</f>
        <v>588</v>
      </c>
      <c r="B424" s="12" t="str">
        <f>IFERROR(__xludf.DUMMYFUNCTION("""COMPUTED_VALUE"""),"Best Buy")</f>
        <v>Best Buy</v>
      </c>
      <c r="C424" s="20" t="s">
        <v>1407</v>
      </c>
      <c r="D424" s="20" t="s">
        <v>1408</v>
      </c>
      <c r="E424" s="3" t="s">
        <v>1575</v>
      </c>
      <c r="F424" s="12"/>
      <c r="G424" s="12"/>
      <c r="H424" s="12"/>
      <c r="I424" s="12"/>
      <c r="J424" s="12"/>
    </row>
    <row r="425">
      <c r="A425">
        <f>IFERROR(__xludf.DUMMYFUNCTION("""COMPUTED_VALUE"""),589.0)</f>
        <v>589</v>
      </c>
      <c r="B425" s="12" t="str">
        <f>IFERROR(__xludf.DUMMYFUNCTION("""COMPUTED_VALUE"""),"Forgot")</f>
        <v>Forgot</v>
      </c>
      <c r="C425" s="20" t="s">
        <v>1407</v>
      </c>
      <c r="D425" s="20" t="s">
        <v>1431</v>
      </c>
      <c r="E425" s="3" t="s">
        <v>1432</v>
      </c>
      <c r="F425" s="12"/>
      <c r="G425" s="12"/>
      <c r="H425" s="12"/>
      <c r="I425" s="12"/>
      <c r="J425" s="12"/>
    </row>
    <row r="426">
      <c r="A426">
        <f>IFERROR(__xludf.DUMMYFUNCTION("""COMPUTED_VALUE"""),590.0)</f>
        <v>590</v>
      </c>
      <c r="B426" s="12" t="str">
        <f>IFERROR(__xludf.DUMMYFUNCTION("""COMPUTED_VALUE"""),"I can't remember")</f>
        <v>I can't remember</v>
      </c>
      <c r="C426" s="20" t="s">
        <v>1407</v>
      </c>
      <c r="D426" s="20" t="s">
        <v>1431</v>
      </c>
      <c r="E426" s="3" t="s">
        <v>1432</v>
      </c>
      <c r="F426" s="12"/>
      <c r="G426" s="12"/>
      <c r="H426" s="12"/>
      <c r="I426" s="12"/>
      <c r="J426" s="12"/>
    </row>
    <row r="427">
      <c r="A427">
        <f>IFERROR(__xludf.DUMMYFUNCTION("""COMPUTED_VALUE"""),591.0)</f>
        <v>591</v>
      </c>
      <c r="B427" s="12" t="str">
        <f>IFERROR(__xludf.DUMMYFUNCTION("""COMPUTED_VALUE"""),"It was a food service I think like door dash etc")</f>
        <v>It was a food service I think like door dash etc</v>
      </c>
      <c r="C427" s="20" t="s">
        <v>1407</v>
      </c>
      <c r="D427" s="20" t="s">
        <v>1429</v>
      </c>
      <c r="E427" s="3" t="s">
        <v>1430</v>
      </c>
      <c r="F427" s="12"/>
      <c r="G427" s="12"/>
      <c r="H427" s="12"/>
      <c r="I427" s="12"/>
      <c r="J427" s="12"/>
    </row>
    <row r="428">
      <c r="A428">
        <f>IFERROR(__xludf.DUMMYFUNCTION("""COMPUTED_VALUE"""),592.0)</f>
        <v>592</v>
      </c>
      <c r="B428" s="12" t="str">
        <f>IFERROR(__xludf.DUMMYFUNCTION("""COMPUTED_VALUE"""),"I can't remember specifically")</f>
        <v>I can't remember specifically</v>
      </c>
      <c r="C428" s="20" t="s">
        <v>1407</v>
      </c>
      <c r="D428" s="20" t="s">
        <v>1431</v>
      </c>
      <c r="E428" s="3" t="s">
        <v>1432</v>
      </c>
      <c r="F428" s="12"/>
      <c r="G428" s="12"/>
      <c r="H428" s="12"/>
      <c r="I428" s="12"/>
      <c r="J428" s="12"/>
    </row>
    <row r="429">
      <c r="A429">
        <f>IFERROR(__xludf.DUMMYFUNCTION("""COMPUTED_VALUE"""),593.0)</f>
        <v>593</v>
      </c>
      <c r="B429" s="12" t="str">
        <f>IFERROR(__xludf.DUMMYFUNCTION("""COMPUTED_VALUE"""),"Las Day on Earth game")</f>
        <v>Las Day on Earth game</v>
      </c>
      <c r="C429" s="20" t="s">
        <v>1407</v>
      </c>
      <c r="D429" s="20" t="s">
        <v>1436</v>
      </c>
      <c r="E429" s="3" t="s">
        <v>1593</v>
      </c>
      <c r="F429" s="12"/>
      <c r="G429" s="12"/>
      <c r="H429" s="12"/>
      <c r="I429" s="12"/>
      <c r="J429" s="12"/>
    </row>
    <row r="430">
      <c r="A430">
        <f>IFERROR(__xludf.DUMMYFUNCTION("""COMPUTED_VALUE"""),594.0)</f>
        <v>594</v>
      </c>
      <c r="B430" s="12"/>
      <c r="E430" s="12"/>
      <c r="F430" s="12"/>
      <c r="G430" s="12"/>
      <c r="H430" s="12"/>
      <c r="I430" s="12"/>
      <c r="J430" s="12"/>
    </row>
    <row r="431">
      <c r="A431">
        <f>IFERROR(__xludf.DUMMYFUNCTION("""COMPUTED_VALUE"""),595.0)</f>
        <v>595</v>
      </c>
      <c r="B431" s="12" t="str">
        <f>IFERROR(__xludf.DUMMYFUNCTION("""COMPUTED_VALUE"""),"Wyze cam app")</f>
        <v>Wyze cam app</v>
      </c>
      <c r="C431" s="20" t="s">
        <v>1407</v>
      </c>
      <c r="D431" s="20" t="s">
        <v>1414</v>
      </c>
      <c r="E431" s="3" t="s">
        <v>1594</v>
      </c>
      <c r="F431" s="12"/>
      <c r="G431" s="12"/>
      <c r="H431" s="12"/>
      <c r="I431" s="12"/>
      <c r="J431" s="12"/>
    </row>
    <row r="432">
      <c r="A432">
        <f>IFERROR(__xludf.DUMMYFUNCTION("""COMPUTED_VALUE"""),598.0)</f>
        <v>598</v>
      </c>
      <c r="B432" s="12" t="str">
        <f>IFERROR(__xludf.DUMMYFUNCTION("""COMPUTED_VALUE"""),"I can't remember for sure, but I think I have signed into some of the receipt rebate apps with my gmail account. I know I have used it for Yelp and I think possibly Groupon.")</f>
        <v>I can't remember for sure, but I think I have signed into some of the receipt rebate apps with my gmail account. I know I have used it for Yelp and I think possibly Groupon.</v>
      </c>
      <c r="C432" s="20" t="s">
        <v>1407</v>
      </c>
      <c r="D432" s="20" t="s">
        <v>1408</v>
      </c>
      <c r="E432" s="3" t="s">
        <v>1481</v>
      </c>
      <c r="F432" s="3" t="s">
        <v>1595</v>
      </c>
      <c r="G432" s="12"/>
      <c r="H432" s="12"/>
      <c r="I432" s="12"/>
      <c r="J432" s="12"/>
    </row>
    <row r="433">
      <c r="A433">
        <f>IFERROR(__xludf.DUMMYFUNCTION("""COMPUTED_VALUE"""),600.0)</f>
        <v>600</v>
      </c>
      <c r="B433" s="12" t="str">
        <f>IFERROR(__xludf.DUMMYFUNCTION("""COMPUTED_VALUE"""),"Doordash")</f>
        <v>Doordash</v>
      </c>
      <c r="C433" s="20" t="s">
        <v>1407</v>
      </c>
      <c r="D433" s="20" t="s">
        <v>1429</v>
      </c>
      <c r="E433" s="3" t="s">
        <v>1430</v>
      </c>
      <c r="F433" s="12"/>
      <c r="G433" s="12"/>
      <c r="H433" s="12"/>
      <c r="I433" s="12"/>
      <c r="J433" s="12"/>
    </row>
    <row r="434">
      <c r="B434" s="12"/>
      <c r="C434" s="3"/>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hyperlinks>
    <hyperlink r:id="rId1" ref="B7"/>
    <hyperlink r:id="rId2" ref="B15"/>
    <hyperlink r:id="rId3" ref="B60"/>
    <hyperlink r:id="rId4" ref="B89"/>
    <hyperlink r:id="rId5" ref="B98"/>
    <hyperlink r:id="rId6" ref="B129"/>
    <hyperlink r:id="rId7" ref="B149"/>
    <hyperlink r:id="rId8" ref="B167"/>
    <hyperlink r:id="rId9" ref="B178"/>
    <hyperlink r:id="rId10" ref="B200"/>
    <hyperlink r:id="rId11" ref="B266"/>
    <hyperlink r:id="rId12" ref="B280"/>
    <hyperlink r:id="rId13" ref="B282"/>
    <hyperlink r:id="rId14" ref="B293"/>
  </hyperlinks>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IFERROR(__xludf.DUMMYFUNCTION("QUERY({'S7 (primary)'!C2:C1000;'S7 (primary)'!D2:D1000;'S7 (primary)'!E2:E1000;'S7 (primary)'!F2:F1000;'S7 (primary)'!G2:G1000;'S7 (primary)'!H2:H1000;'S7 (primary)'!I2:I1000;'S7 (primary)'!J2:J1000;'S7 (primary)'!K2:K1000}, ""select Col1, count(Col1) whe"&amp;"re Col1 is not null group by Col1 order by Col1 asc"")"),"")</f>
        <v/>
      </c>
      <c r="B2" s="34" t="str">
        <f>IFERROR(__xludf.DUMMYFUNCTION("""COMPUTED_VALUE"""),"count ")</f>
        <v>count </v>
      </c>
      <c r="C2" s="34"/>
      <c r="D2" s="34"/>
      <c r="E2" s="34" t="str">
        <f>IFERROR(__xludf.DUMMYFUNCTION("QUERY({'S7 (primary)'!C2:C1000;'S7 (primary)'!D2:D1000;'S7 (primary)'!E2:E1000;'S7 (primary)'!F2:F1000;'S7 (primary)'!G2:G1000;'S7 (primary)'!H2:H1000;'S7 (primary)'!I2:I1000;'S7 (primary)'!J2:J1000;'S7 (primary)'!K2:K1000}, ""select Col1, count(Col1) whe"&amp;"re Col1 is not null and not Col1 contains '-&gt;' group by Col1 order by count(Col1) desc"")"),"")</f>
        <v/>
      </c>
      <c r="F2" s="34" t="str">
        <f>IFERROR(__xludf.DUMMYFUNCTION("""COMPUTED_VALUE"""),"count ")</f>
        <v>count </v>
      </c>
    </row>
    <row r="3">
      <c r="A3" t="str">
        <f>IFERROR(__xludf.DUMMYFUNCTION("""COMPUTED_VALUE"""),"adobe")</f>
        <v>adobe</v>
      </c>
      <c r="B3">
        <f>IFERROR(__xludf.DUMMYFUNCTION("""COMPUTED_VALUE"""),2.0)</f>
        <v>2</v>
      </c>
      <c r="E3" t="str">
        <f>IFERROR(__xludf.DUMMYFUNCTION("""COMPUTED_VALUE"""),"class")</f>
        <v>class</v>
      </c>
      <c r="F3">
        <f>IFERROR(__xludf.DUMMYFUNCTION("""COMPUTED_VALUE"""),386.0)</f>
        <v>386</v>
      </c>
    </row>
    <row r="4">
      <c r="A4" t="str">
        <f>IFERROR(__xludf.DUMMYFUNCTION("""COMPUTED_VALUE"""),"ali_express")</f>
        <v>ali_express</v>
      </c>
      <c r="B4">
        <f>IFERROR(__xludf.DUMMYFUNCTION("""COMPUTED_VALUE"""),1.0)</f>
        <v>1</v>
      </c>
      <c r="E4" t="str">
        <f>IFERROR(__xludf.DUMMYFUNCTION("""COMPUTED_VALUE"""),"no_recall")</f>
        <v>no_recall</v>
      </c>
      <c r="F4">
        <f>IFERROR(__xludf.DUMMYFUNCTION("""COMPUTED_VALUE"""),33.0)</f>
        <v>33</v>
      </c>
    </row>
    <row r="5">
      <c r="A5" t="str">
        <f>IFERROR(__xludf.DUMMYFUNCTION("""COMPUTED_VALUE"""),"amazon")</f>
        <v>amazon</v>
      </c>
      <c r="B5">
        <f>IFERROR(__xludf.DUMMYFUNCTION("""COMPUTED_VALUE"""),6.0)</f>
        <v>6</v>
      </c>
      <c r="E5" t="str">
        <f>IFERROR(__xludf.DUMMYFUNCTION("""COMPUTED_VALUE"""),"facebook")</f>
        <v>facebook</v>
      </c>
      <c r="F5">
        <f>IFERROR(__xludf.DUMMYFUNCTION("""COMPUTED_VALUE"""),15.0)</f>
        <v>15</v>
      </c>
    </row>
    <row r="6">
      <c r="A6" t="str">
        <f>IFERROR(__xludf.DUMMYFUNCTION("""COMPUTED_VALUE"""),"amplify_ela")</f>
        <v>amplify_ela</v>
      </c>
      <c r="B6">
        <f>IFERROR(__xludf.DUMMYFUNCTION("""COMPUTED_VALUE"""),1.0)</f>
        <v>1</v>
      </c>
      <c r="E6" t="str">
        <f>IFERROR(__xludf.DUMMYFUNCTION("""COMPUTED_VALUE"""),"pinterest")</f>
        <v>pinterest</v>
      </c>
      <c r="F6">
        <f>IFERROR(__xludf.DUMMYFUNCTION("""COMPUTED_VALUE"""),11.0)</f>
        <v>11</v>
      </c>
    </row>
    <row r="7">
      <c r="A7" t="str">
        <f>IFERROR(__xludf.DUMMYFUNCTION("""COMPUTED_VALUE"""),"apple")</f>
        <v>apple</v>
      </c>
      <c r="B7">
        <f>IFERROR(__xludf.DUMMYFUNCTION("""COMPUTED_VALUE"""),1.0)</f>
        <v>1</v>
      </c>
      <c r="E7" t="str">
        <f>IFERROR(__xludf.DUMMYFUNCTION("""COMPUTED_VALUE"""),"youtube")</f>
        <v>youtube</v>
      </c>
      <c r="F7">
        <f>IFERROR(__xludf.DUMMYFUNCTION("""COMPUTED_VALUE"""),11.0)</f>
        <v>11</v>
      </c>
    </row>
    <row r="8">
      <c r="A8" t="str">
        <f>IFERROR(__xludf.DUMMYFUNCTION("""COMPUTED_VALUE"""),"asos")</f>
        <v>asos</v>
      </c>
      <c r="B8">
        <f>IFERROR(__xludf.DUMMYFUNCTION("""COMPUTED_VALUE"""),1.0)</f>
        <v>1</v>
      </c>
      <c r="E8" t="str">
        <f>IFERROR(__xludf.DUMMYFUNCTION("""COMPUTED_VALUE"""),"gaming_NS")</f>
        <v>gaming_NS</v>
      </c>
      <c r="F8">
        <f>IFERROR(__xludf.DUMMYFUNCTION("""COMPUTED_VALUE"""),10.0)</f>
        <v>10</v>
      </c>
    </row>
    <row r="9">
      <c r="A9" t="str">
        <f>IFERROR(__xludf.DUMMYFUNCTION("""COMPUTED_VALUE"""),"auto_chess")</f>
        <v>auto_chess</v>
      </c>
      <c r="B9">
        <f>IFERROR(__xludf.DUMMYFUNCTION("""COMPUTED_VALUE"""),1.0)</f>
        <v>1</v>
      </c>
      <c r="E9" t="str">
        <f>IFERROR(__xludf.DUMMYFUNCTION("""COMPUTED_VALUE"""),"reddit")</f>
        <v>reddit</v>
      </c>
      <c r="F9">
        <f>IFERROR(__xludf.DUMMYFUNCTION("""COMPUTED_VALUE"""),10.0)</f>
        <v>10</v>
      </c>
    </row>
    <row r="10">
      <c r="A10" t="str">
        <f>IFERROR(__xludf.DUMMYFUNCTION("""COMPUTED_VALUE"""),"avclub_com")</f>
        <v>avclub_com</v>
      </c>
      <c r="B10">
        <f>IFERROR(__xludf.DUMMYFUNCTION("""COMPUTED_VALUE"""),1.0)</f>
        <v>1</v>
      </c>
      <c r="E10" t="str">
        <f>IFERROR(__xludf.DUMMYFUNCTION("""COMPUTED_VALUE"""),"mcdonalds")</f>
        <v>mcdonalds</v>
      </c>
      <c r="F10">
        <f>IFERROR(__xludf.DUMMYFUNCTION("""COMPUTED_VALUE"""),9.0)</f>
        <v>9</v>
      </c>
    </row>
    <row r="11">
      <c r="A11" t="str">
        <f>IFERROR(__xludf.DUMMYFUNCTION("""COMPUTED_VALUE"""),"battle_net")</f>
        <v>battle_net</v>
      </c>
      <c r="B11">
        <f>IFERROR(__xludf.DUMMYFUNCTION("""COMPUTED_VALUE"""),1.0)</f>
        <v>1</v>
      </c>
      <c r="E11" t="str">
        <f>IFERROR(__xludf.DUMMYFUNCTION("""COMPUTED_VALUE"""),"shopping_NS")</f>
        <v>shopping_NS</v>
      </c>
      <c r="F11">
        <f>IFERROR(__xludf.DUMMYFUNCTION("""COMPUTED_VALUE"""),9.0)</f>
        <v>9</v>
      </c>
    </row>
    <row r="12">
      <c r="A12" t="str">
        <f>IFERROR(__xludf.DUMMYFUNCTION("""COMPUTED_VALUE"""),"best_buy")</f>
        <v>best_buy</v>
      </c>
      <c r="B12">
        <f>IFERROR(__xludf.DUMMYFUNCTION("""COMPUTED_VALUE"""),2.0)</f>
        <v>2</v>
      </c>
      <c r="E12" t="str">
        <f>IFERROR(__xludf.DUMMYFUNCTION("""COMPUTED_VALUE"""),"doordash")</f>
        <v>doordash</v>
      </c>
      <c r="F12">
        <f>IFERROR(__xludf.DUMMYFUNCTION("""COMPUTED_VALUE"""),7.0)</f>
        <v>7</v>
      </c>
    </row>
    <row r="13">
      <c r="A13" t="str">
        <f>IFERROR(__xludf.DUMMYFUNCTION("""COMPUTED_VALUE"""),"beyondmenu")</f>
        <v>beyondmenu</v>
      </c>
      <c r="B13">
        <f>IFERROR(__xludf.DUMMYFUNCTION("""COMPUTED_VALUE"""),1.0)</f>
        <v>1</v>
      </c>
      <c r="E13" t="str">
        <f>IFERROR(__xludf.DUMMYFUNCTION("""COMPUTED_VALUE"""),"paypal")</f>
        <v>paypal</v>
      </c>
      <c r="F13">
        <f>IFERROR(__xludf.DUMMYFUNCTION("""COMPUTED_VALUE"""),7.0)</f>
        <v>7</v>
      </c>
    </row>
    <row r="14">
      <c r="A14" t="str">
        <f>IFERROR(__xludf.DUMMYFUNCTION("""COMPUTED_VALUE"""),"bitbucket")</f>
        <v>bitbucket</v>
      </c>
      <c r="B14">
        <f>IFERROR(__xludf.DUMMYFUNCTION("""COMPUTED_VALUE"""),1.0)</f>
        <v>1</v>
      </c>
      <c r="E14" t="str">
        <f>IFERROR(__xludf.DUMMYFUNCTION("""COMPUTED_VALUE"""),"amazon")</f>
        <v>amazon</v>
      </c>
      <c r="F14">
        <f>IFERROR(__xludf.DUMMYFUNCTION("""COMPUTED_VALUE"""),6.0)</f>
        <v>6</v>
      </c>
    </row>
    <row r="15">
      <c r="A15" t="str">
        <f>IFERROR(__xludf.DUMMYFUNCTION("""COMPUTED_VALUE"""),"blaseball")</f>
        <v>blaseball</v>
      </c>
      <c r="B15">
        <f>IFERROR(__xludf.DUMMYFUNCTION("""COMPUTED_VALUE"""),1.0)</f>
        <v>1</v>
      </c>
      <c r="E15" t="str">
        <f>IFERROR(__xludf.DUMMYFUNCTION("""COMPUTED_VALUE"""),"canva")</f>
        <v>canva</v>
      </c>
      <c r="F15">
        <f>IFERROR(__xludf.DUMMYFUNCTION("""COMPUTED_VALUE"""),6.0)</f>
        <v>6</v>
      </c>
    </row>
    <row r="16">
      <c r="A16" t="str">
        <f>IFERROR(__xludf.DUMMYFUNCTION("""COMPUTED_VALUE"""),"blog_NS")</f>
        <v>blog_NS</v>
      </c>
      <c r="B16">
        <f>IFERROR(__xludf.DUMMYFUNCTION("""COMPUTED_VALUE"""),1.0)</f>
        <v>1</v>
      </c>
      <c r="E16" t="str">
        <f>IFERROR(__xludf.DUMMYFUNCTION("""COMPUTED_VALUE"""),"indeed")</f>
        <v>indeed</v>
      </c>
      <c r="F16">
        <f>IFERROR(__xludf.DUMMYFUNCTION("""COMPUTED_VALUE"""),6.0)</f>
        <v>6</v>
      </c>
    </row>
    <row r="17">
      <c r="A17" t="str">
        <f>IFERROR(__xludf.DUMMYFUNCTION("""COMPUTED_VALUE"""),"boom_cards")</f>
        <v>boom_cards</v>
      </c>
      <c r="B17">
        <f>IFERROR(__xludf.DUMMYFUNCTION("""COMPUTED_VALUE"""),1.0)</f>
        <v>1</v>
      </c>
      <c r="E17" t="str">
        <f>IFERROR(__xludf.DUMMYFUNCTION("""COMPUTED_VALUE"""),"zillow")</f>
        <v>zillow</v>
      </c>
      <c r="F17">
        <f>IFERROR(__xludf.DUMMYFUNCTION("""COMPUTED_VALUE"""),6.0)</f>
        <v>6</v>
      </c>
    </row>
    <row r="18">
      <c r="A18" t="str">
        <f>IFERROR(__xludf.DUMMYFUNCTION("""COMPUTED_VALUE"""),"bored_panda")</f>
        <v>bored_panda</v>
      </c>
      <c r="B18">
        <f>IFERROR(__xludf.DUMMYFUNCTION("""COMPUTED_VALUE"""),1.0)</f>
        <v>1</v>
      </c>
      <c r="E18" t="str">
        <f>IFERROR(__xludf.DUMMYFUNCTION("""COMPUTED_VALUE"""),"zoom")</f>
        <v>zoom</v>
      </c>
      <c r="F18">
        <f>IFERROR(__xludf.DUMMYFUNCTION("""COMPUTED_VALUE"""),6.0)</f>
        <v>6</v>
      </c>
    </row>
    <row r="19">
      <c r="A19" t="str">
        <f>IFERROR(__xludf.DUMMYFUNCTION("""COMPUTED_VALUE"""),"calendly")</f>
        <v>calendly</v>
      </c>
      <c r="B19">
        <f>IFERROR(__xludf.DUMMYFUNCTION("""COMPUTED_VALUE"""),1.0)</f>
        <v>1</v>
      </c>
      <c r="E19" t="str">
        <f>IFERROR(__xludf.DUMMYFUNCTION("""COMPUTED_VALUE"""),"forum")</f>
        <v>forum</v>
      </c>
      <c r="F19">
        <f>IFERROR(__xludf.DUMMYFUNCTION("""COMPUTED_VALUE"""),5.0)</f>
        <v>5</v>
      </c>
    </row>
    <row r="20">
      <c r="A20" t="str">
        <f>IFERROR(__xludf.DUMMYFUNCTION("""COMPUTED_VALUE"""),"canva")</f>
        <v>canva</v>
      </c>
      <c r="B20">
        <f>IFERROR(__xludf.DUMMYFUNCTION("""COMPUTED_VALUE"""),6.0)</f>
        <v>6</v>
      </c>
      <c r="E20" t="str">
        <f>IFERROR(__xludf.DUMMYFUNCTION("""COMPUTED_VALUE"""),"non_specific")</f>
        <v>non_specific</v>
      </c>
      <c r="F20">
        <f>IFERROR(__xludf.DUMMYFUNCTION("""COMPUTED_VALUE"""),5.0)</f>
        <v>5</v>
      </c>
    </row>
    <row r="21">
      <c r="A21" t="str">
        <f>IFERROR(__xludf.DUMMYFUNCTION("""COMPUTED_VALUE"""),"canvas")</f>
        <v>canvas</v>
      </c>
      <c r="B21">
        <f>IFERROR(__xludf.DUMMYFUNCTION("""COMPUTED_VALUE"""),1.0)</f>
        <v>1</v>
      </c>
      <c r="E21" t="str">
        <f>IFERROR(__xludf.DUMMYFUNCTION("""COMPUTED_VALUE"""),"pokemon_go")</f>
        <v>pokemon_go</v>
      </c>
      <c r="F21">
        <f>IFERROR(__xludf.DUMMYFUNCTION("""COMPUTED_VALUE"""),5.0)</f>
        <v>5</v>
      </c>
    </row>
    <row r="22">
      <c r="A22" t="str">
        <f>IFERROR(__xludf.DUMMYFUNCTION("""COMPUTED_VALUE"""),"cashback_service_NS")</f>
        <v>cashback_service_NS</v>
      </c>
      <c r="B22">
        <f>IFERROR(__xludf.DUMMYFUNCTION("""COMPUTED_VALUE"""),1.0)</f>
        <v>1</v>
      </c>
      <c r="E22" t="str">
        <f>IFERROR(__xludf.DUMMYFUNCTION("""COMPUTED_VALUE"""),"quora")</f>
        <v>quora</v>
      </c>
      <c r="F22">
        <f>IFERROR(__xludf.DUMMYFUNCTION("""COMPUTED_VALUE"""),5.0)</f>
        <v>5</v>
      </c>
    </row>
    <row r="23">
      <c r="A23" t="str">
        <f>IFERROR(__xludf.DUMMYFUNCTION("""COMPUTED_VALUE"""),"chegg")</f>
        <v>chegg</v>
      </c>
      <c r="B23">
        <f>IFERROR(__xludf.DUMMYFUNCTION("""COMPUTED_VALUE"""),1.0)</f>
        <v>1</v>
      </c>
      <c r="E23" t="str">
        <f>IFERROR(__xludf.DUMMYFUNCTION("""COMPUTED_VALUE"""),"restaurant_NS")</f>
        <v>restaurant_NS</v>
      </c>
      <c r="F23">
        <f>IFERROR(__xludf.DUMMYFUNCTION("""COMPUTED_VALUE"""),5.0)</f>
        <v>5</v>
      </c>
    </row>
    <row r="24">
      <c r="A24" t="str">
        <f>IFERROR(__xludf.DUMMYFUNCTION("""COMPUTED_VALUE"""),"chess_com")</f>
        <v>chess_com</v>
      </c>
      <c r="B24">
        <f>IFERROR(__xludf.DUMMYFUNCTION("""COMPUTED_VALUE"""),1.0)</f>
        <v>1</v>
      </c>
      <c r="E24" t="str">
        <f>IFERROR(__xludf.DUMMYFUNCTION("""COMPUTED_VALUE"""),"yelp")</f>
        <v>yelp</v>
      </c>
      <c r="F24">
        <f>IFERROR(__xludf.DUMMYFUNCTION("""COMPUTED_VALUE"""),5.0)</f>
        <v>5</v>
      </c>
    </row>
    <row r="25">
      <c r="A25" t="str">
        <f>IFERROR(__xludf.DUMMYFUNCTION("""COMPUTED_VALUE"""),"chewy")</f>
        <v>chewy</v>
      </c>
      <c r="B25">
        <f>IFERROR(__xludf.DUMMYFUNCTION("""COMPUTED_VALUE"""),1.0)</f>
        <v>1</v>
      </c>
      <c r="E25" t="str">
        <f>IFERROR(__xludf.DUMMYFUNCTION("""COMPUTED_VALUE"""),"ebay")</f>
        <v>ebay</v>
      </c>
      <c r="F25">
        <f>IFERROR(__xludf.DUMMYFUNCTION("""COMPUTED_VALUE"""),4.0)</f>
        <v>4</v>
      </c>
    </row>
    <row r="26">
      <c r="A26" t="str">
        <f>IFERROR(__xludf.DUMMYFUNCTION("""COMPUTED_VALUE"""),"chic")</f>
        <v>chic</v>
      </c>
      <c r="B26">
        <f>IFERROR(__xludf.DUMMYFUNCTION("""COMPUTED_VALUE"""),1.0)</f>
        <v>1</v>
      </c>
      <c r="E26" t="str">
        <f>IFERROR(__xludf.DUMMYFUNCTION("""COMPUTED_VALUE"""),"education_NS")</f>
        <v>education_NS</v>
      </c>
      <c r="F26">
        <f>IFERROR(__xludf.DUMMYFUNCTION("""COMPUTED_VALUE"""),4.0)</f>
        <v>4</v>
      </c>
    </row>
    <row r="27">
      <c r="A27" t="str">
        <f>IFERROR(__xludf.DUMMYFUNCTION("""COMPUTED_VALUE"""),"clash_of_clans")</f>
        <v>clash_of_clans</v>
      </c>
      <c r="B27">
        <f>IFERROR(__xludf.DUMMYFUNCTION("""COMPUTED_VALUE"""),1.0)</f>
        <v>1</v>
      </c>
      <c r="E27" t="str">
        <f>IFERROR(__xludf.DUMMYFUNCTION("""COMPUTED_VALUE"""),"epic_games")</f>
        <v>epic_games</v>
      </c>
      <c r="F27">
        <f>IFERROR(__xludf.DUMMYFUNCTION("""COMPUTED_VALUE"""),4.0)</f>
        <v>4</v>
      </c>
    </row>
    <row r="28">
      <c r="A28" t="str">
        <f>IFERROR(__xludf.DUMMYFUNCTION("""COMPUTED_VALUE"""),"clash_royale")</f>
        <v>clash_royale</v>
      </c>
      <c r="B28">
        <f>IFERROR(__xludf.DUMMYFUNCTION("""COMPUTED_VALUE"""),1.0)</f>
        <v>1</v>
      </c>
      <c r="E28" t="str">
        <f>IFERROR(__xludf.DUMMYFUNCTION("""COMPUTED_VALUE"""),"hideout_tv")</f>
        <v>hideout_tv</v>
      </c>
      <c r="F28">
        <f>IFERROR(__xludf.DUMMYFUNCTION("""COMPUTED_VALUE"""),4.0)</f>
        <v>4</v>
      </c>
    </row>
    <row r="29">
      <c r="A29" t="str">
        <f>IFERROR(__xludf.DUMMYFUNCTION("""COMPUTED_VALUE"""),"class")</f>
        <v>class</v>
      </c>
      <c r="B29">
        <f>IFERROR(__xludf.DUMMYFUNCTION("""COMPUTED_VALUE"""),386.0)</f>
        <v>386</v>
      </c>
      <c r="E29" t="str">
        <f>IFERROR(__xludf.DUMMYFUNCTION("""COMPUTED_VALUE"""),"honey")</f>
        <v>honey</v>
      </c>
      <c r="F29">
        <f>IFERROR(__xludf.DUMMYFUNCTION("""COMPUTED_VALUE"""),4.0)</f>
        <v>4</v>
      </c>
    </row>
    <row r="30">
      <c r="A30" t="str">
        <f>IFERROR(__xludf.DUMMYFUNCTION("""COMPUTED_VALUE"""),"class-&gt;books")</f>
        <v>class-&gt;books</v>
      </c>
      <c r="B30">
        <f>IFERROR(__xludf.DUMMYFUNCTION("""COMPUTED_VALUE"""),2.0)</f>
        <v>2</v>
      </c>
      <c r="E30" t="str">
        <f>IFERROR(__xludf.DUMMYFUNCTION("""COMPUTED_VALUE"""),"news_NS")</f>
        <v>news_NS</v>
      </c>
      <c r="F30">
        <f>IFERROR(__xludf.DUMMYFUNCTION("""COMPUTED_VALUE"""),4.0)</f>
        <v>4</v>
      </c>
    </row>
    <row r="31">
      <c r="A31" t="str">
        <f>IFERROR(__xludf.DUMMYFUNCTION("""COMPUTED_VALUE"""),"class-&gt;business")</f>
        <v>class-&gt;business</v>
      </c>
      <c r="B31">
        <f>IFERROR(__xludf.DUMMYFUNCTION("""COMPUTED_VALUE"""),26.0)</f>
        <v>26</v>
      </c>
      <c r="E31" t="str">
        <f>IFERROR(__xludf.DUMMYFUNCTION("""COMPUTED_VALUE"""),"poshmark")</f>
        <v>poshmark</v>
      </c>
      <c r="F31">
        <f>IFERROR(__xludf.DUMMYFUNCTION("""COMPUTED_VALUE"""),4.0)</f>
        <v>4</v>
      </c>
    </row>
    <row r="32">
      <c r="A32" t="str">
        <f>IFERROR(__xludf.DUMMYFUNCTION("""COMPUTED_VALUE"""),"class-&gt;design")</f>
        <v>class-&gt;design</v>
      </c>
      <c r="B32">
        <f>IFERROR(__xludf.DUMMYFUNCTION("""COMPUTED_VALUE"""),8.0)</f>
        <v>8</v>
      </c>
      <c r="E32" t="str">
        <f>IFERROR(__xludf.DUMMYFUNCTION("""COMPUTED_VALUE"""),"this_survey")</f>
        <v>this_survey</v>
      </c>
      <c r="F32">
        <f>IFERROR(__xludf.DUMMYFUNCTION("""COMPUTED_VALUE"""),4.0)</f>
        <v>4</v>
      </c>
    </row>
    <row r="33">
      <c r="A33" t="str">
        <f>IFERROR(__xludf.DUMMYFUNCTION("""COMPUTED_VALUE"""),"class-&gt;education")</f>
        <v>class-&gt;education</v>
      </c>
      <c r="B33">
        <f>IFERROR(__xludf.DUMMYFUNCTION("""COMPUTED_VALUE"""),17.0)</f>
        <v>17</v>
      </c>
      <c r="E33" t="str">
        <f>IFERROR(__xludf.DUMMYFUNCTION("""COMPUTED_VALUE"""),"twitter")</f>
        <v>twitter</v>
      </c>
      <c r="F33">
        <f>IFERROR(__xludf.DUMMYFUNCTION("""COMPUTED_VALUE"""),4.0)</f>
        <v>4</v>
      </c>
    </row>
    <row r="34">
      <c r="A34" t="str">
        <f>IFERROR(__xludf.DUMMYFUNCTION("""COMPUTED_VALUE"""),"class-&gt;entertainment")</f>
        <v>class-&gt;entertainment</v>
      </c>
      <c r="B34">
        <f>IFERROR(__xludf.DUMMYFUNCTION("""COMPUTED_VALUE"""),28.0)</f>
        <v>28</v>
      </c>
      <c r="E34" t="str">
        <f>IFERROR(__xludf.DUMMYFUNCTION("""COMPUTED_VALUE"""),"dating_app_NS")</f>
        <v>dating_app_NS</v>
      </c>
      <c r="F34">
        <f>IFERROR(__xludf.DUMMYFUNCTION("""COMPUTED_VALUE"""),3.0)</f>
        <v>3</v>
      </c>
    </row>
    <row r="35">
      <c r="A35" t="str">
        <f>IFERROR(__xludf.DUMMYFUNCTION("""COMPUTED_VALUE"""),"class-&gt;finance")</f>
        <v>class-&gt;finance</v>
      </c>
      <c r="B35">
        <f>IFERROR(__xludf.DUMMYFUNCTION("""COMPUTED_VALUE"""),17.0)</f>
        <v>17</v>
      </c>
      <c r="E35" t="str">
        <f>IFERROR(__xludf.DUMMYFUNCTION("""COMPUTED_VALUE"""),"etsy")</f>
        <v>etsy</v>
      </c>
      <c r="F35">
        <f>IFERROR(__xludf.DUMMYFUNCTION("""COMPUTED_VALUE"""),3.0)</f>
        <v>3</v>
      </c>
    </row>
    <row r="36">
      <c r="A36" t="str">
        <f>IFERROR(__xludf.DUMMYFUNCTION("""COMPUTED_VALUE"""),"class-&gt;food")</f>
        <v>class-&gt;food</v>
      </c>
      <c r="B36">
        <f>IFERROR(__xludf.DUMMYFUNCTION("""COMPUTED_VALUE"""),34.0)</f>
        <v>34</v>
      </c>
      <c r="E36" t="str">
        <f>IFERROR(__xludf.DUMMYFUNCTION("""COMPUTED_VALUE"""),"instacart")</f>
        <v>instacart</v>
      </c>
      <c r="F36">
        <f>IFERROR(__xludf.DUMMYFUNCTION("""COMPUTED_VALUE"""),3.0)</f>
        <v>3</v>
      </c>
    </row>
    <row r="37">
      <c r="A37" t="str">
        <f>IFERROR(__xludf.DUMMYFUNCTION("""COMPUTED_VALUE"""),"class-&gt;gaming")</f>
        <v>class-&gt;gaming</v>
      </c>
      <c r="B37">
        <f>IFERROR(__xludf.DUMMYFUNCTION("""COMPUTED_VALUE"""),38.0)</f>
        <v>38</v>
      </c>
      <c r="E37" t="str">
        <f>IFERROR(__xludf.DUMMYFUNCTION("""COMPUTED_VALUE"""),"shein")</f>
        <v>shein</v>
      </c>
      <c r="F37">
        <f>IFERROR(__xludf.DUMMYFUNCTION("""COMPUTED_VALUE"""),3.0)</f>
        <v>3</v>
      </c>
    </row>
    <row r="38">
      <c r="A38" t="str">
        <f>IFERROR(__xludf.DUMMYFUNCTION("""COMPUTED_VALUE"""),"class-&gt;health")</f>
        <v>class-&gt;health</v>
      </c>
      <c r="B38">
        <f>IFERROR(__xludf.DUMMYFUNCTION("""COMPUTED_VALUE"""),5.0)</f>
        <v>5</v>
      </c>
      <c r="E38" t="str">
        <f>IFERROR(__xludf.DUMMYFUNCTION("""COMPUTED_VALUE"""),"spotify")</f>
        <v>spotify</v>
      </c>
      <c r="F38">
        <f>IFERROR(__xludf.DUMMYFUNCTION("""COMPUTED_VALUE"""),3.0)</f>
        <v>3</v>
      </c>
    </row>
    <row r="39">
      <c r="A39" t="str">
        <f>IFERROR(__xludf.DUMMYFUNCTION("""COMPUTED_VALUE"""),"class-&gt;housing")</f>
        <v>class-&gt;housing</v>
      </c>
      <c r="B39">
        <f>IFERROR(__xludf.DUMMYFUNCTION("""COMPUTED_VALUE"""),9.0)</f>
        <v>9</v>
      </c>
      <c r="E39" t="str">
        <f>IFERROR(__xludf.DUMMYFUNCTION("""COMPUTED_VALUE"""),"adobe")</f>
        <v>adobe</v>
      </c>
      <c r="F39">
        <f>IFERROR(__xludf.DUMMYFUNCTION("""COMPUTED_VALUE"""),2.0)</f>
        <v>2</v>
      </c>
    </row>
    <row r="40">
      <c r="A40" t="str">
        <f>IFERROR(__xludf.DUMMYFUNCTION("""COMPUTED_VALUE"""),"class-&gt;lifestyle")</f>
        <v>class-&gt;lifestyle</v>
      </c>
      <c r="B40">
        <f>IFERROR(__xludf.DUMMYFUNCTION("""COMPUTED_VALUE"""),22.0)</f>
        <v>22</v>
      </c>
      <c r="E40" t="str">
        <f>IFERROR(__xludf.DUMMYFUNCTION("""COMPUTED_VALUE"""),"best_buy")</f>
        <v>best_buy</v>
      </c>
      <c r="F40">
        <f>IFERROR(__xludf.DUMMYFUNCTION("""COMPUTED_VALUE"""),2.0)</f>
        <v>2</v>
      </c>
    </row>
    <row r="41">
      <c r="A41" t="str">
        <f>IFERROR(__xludf.DUMMYFUNCTION("""COMPUTED_VALUE"""),"class-&gt;misc")</f>
        <v>class-&gt;misc</v>
      </c>
      <c r="B41">
        <f>IFERROR(__xludf.DUMMYFUNCTION("""COMPUTED_VALUE"""),6.0)</f>
        <v>6</v>
      </c>
      <c r="E41" t="str">
        <f>IFERROR(__xludf.DUMMYFUNCTION("""COMPUTED_VALUE"""),"espn")</f>
        <v>espn</v>
      </c>
      <c r="F41">
        <f>IFERROR(__xludf.DUMMYFUNCTION("""COMPUTED_VALUE"""),2.0)</f>
        <v>2</v>
      </c>
    </row>
    <row r="42">
      <c r="A42" t="str">
        <f>IFERROR(__xludf.DUMMYFUNCTION("""COMPUTED_VALUE"""),"class-&gt;news")</f>
        <v>class-&gt;news</v>
      </c>
      <c r="B42">
        <f>IFERROR(__xludf.DUMMYFUNCTION("""COMPUTED_VALUE"""),14.0)</f>
        <v>14</v>
      </c>
      <c r="E42" t="str">
        <f>IFERROR(__xludf.DUMMYFUNCTION("""COMPUTED_VALUE"""),"github")</f>
        <v>github</v>
      </c>
      <c r="F42">
        <f>IFERROR(__xludf.DUMMYFUNCTION("""COMPUTED_VALUE"""),2.0)</f>
        <v>2</v>
      </c>
    </row>
    <row r="43">
      <c r="A43" t="str">
        <f>IFERROR(__xludf.DUMMYFUNCTION("""COMPUTED_VALUE"""),"class-&gt;no_recall")</f>
        <v>class-&gt;no_recall</v>
      </c>
      <c r="B43">
        <f>IFERROR(__xludf.DUMMYFUNCTION("""COMPUTED_VALUE"""),33.0)</f>
        <v>33</v>
      </c>
      <c r="E43" t="str">
        <f>IFERROR(__xludf.DUMMYFUNCTION("""COMPUTED_VALUE"""),"glassdoor")</f>
        <v>glassdoor</v>
      </c>
      <c r="F43">
        <f>IFERROR(__xludf.DUMMYFUNCTION("""COMPUTED_VALUE"""),2.0)</f>
        <v>2</v>
      </c>
    </row>
    <row r="44">
      <c r="A44" t="str">
        <f>IFERROR(__xludf.DUMMYFUNCTION("""COMPUTED_VALUE"""),"class-&gt;none")</f>
        <v>class-&gt;none</v>
      </c>
      <c r="B44">
        <f>IFERROR(__xludf.DUMMYFUNCTION("""COMPUTED_VALUE"""),1.0)</f>
        <v>1</v>
      </c>
      <c r="E44" t="str">
        <f>IFERROR(__xludf.DUMMYFUNCTION("""COMPUTED_VALUE"""),"grindr")</f>
        <v>grindr</v>
      </c>
      <c r="F44">
        <f>IFERROR(__xludf.DUMMYFUNCTION("""COMPUTED_VALUE"""),2.0)</f>
        <v>2</v>
      </c>
    </row>
    <row r="45">
      <c r="A45" t="str">
        <f>IFERROR(__xludf.DUMMYFUNCTION("""COMPUTED_VALUE"""),"class-&gt;not_recall")</f>
        <v>class-&gt;not_recall</v>
      </c>
      <c r="B45">
        <f>IFERROR(__xludf.DUMMYFUNCTION("""COMPUTED_VALUE"""),1.0)</f>
        <v>1</v>
      </c>
      <c r="E45" t="str">
        <f>IFERROR(__xludf.DUMMYFUNCTION("""COMPUTED_VALUE"""),"grubhub")</f>
        <v>grubhub</v>
      </c>
      <c r="F45">
        <f>IFERROR(__xludf.DUMMYFUNCTION("""COMPUTED_VALUE"""),2.0)</f>
        <v>2</v>
      </c>
    </row>
    <row r="46">
      <c r="A46" t="str">
        <f>IFERROR(__xludf.DUMMYFUNCTION("""COMPUTED_VALUE"""),"class-&gt;productivity")</f>
        <v>class-&gt;productivity</v>
      </c>
      <c r="B46">
        <f>IFERROR(__xludf.DUMMYFUNCTION("""COMPUTED_VALUE"""),19.0)</f>
        <v>19</v>
      </c>
      <c r="E46" t="str">
        <f>IFERROR(__xludf.DUMMYFUNCTION("""COMPUTED_VALUE"""),"instagram")</f>
        <v>instagram</v>
      </c>
      <c r="F46">
        <f>IFERROR(__xludf.DUMMYFUNCTION("""COMPUTED_VALUE"""),2.0)</f>
        <v>2</v>
      </c>
    </row>
    <row r="47">
      <c r="A47" t="str">
        <f>IFERROR(__xludf.DUMMYFUNCTION("""COMPUTED_VALUE"""),"class-&gt;security")</f>
        <v>class-&gt;security</v>
      </c>
      <c r="B47">
        <f>IFERROR(__xludf.DUMMYFUNCTION("""COMPUTED_VALUE"""),1.0)</f>
        <v>1</v>
      </c>
      <c r="E47" t="str">
        <f>IFERROR(__xludf.DUMMYFUNCTION("""COMPUTED_VALUE"""),"linkedin")</f>
        <v>linkedin</v>
      </c>
      <c r="F47">
        <f>IFERROR(__xludf.DUMMYFUNCTION("""COMPUTED_VALUE"""),2.0)</f>
        <v>2</v>
      </c>
    </row>
    <row r="48">
      <c r="A48" t="str">
        <f>IFERROR(__xludf.DUMMYFUNCTION("""COMPUTED_VALUE"""),"class-&gt;shopping")</f>
        <v>class-&gt;shopping</v>
      </c>
      <c r="B48">
        <f>IFERROR(__xludf.DUMMYFUNCTION("""COMPUTED_VALUE"""),51.0)</f>
        <v>51</v>
      </c>
      <c r="E48" t="str">
        <f>IFERROR(__xludf.DUMMYFUNCTION("""COMPUTED_VALUE"""),"lumin_pdf")</f>
        <v>lumin_pdf</v>
      </c>
      <c r="F48">
        <f>IFERROR(__xludf.DUMMYFUNCTION("""COMPUTED_VALUE"""),2.0)</f>
        <v>2</v>
      </c>
    </row>
    <row r="49">
      <c r="A49" t="str">
        <f>IFERROR(__xludf.DUMMYFUNCTION("""COMPUTED_VALUE"""),"class-&gt;social_media")</f>
        <v>class-&gt;social_media</v>
      </c>
      <c r="B49">
        <f>IFERROR(__xludf.DUMMYFUNCTION("""COMPUTED_VALUE"""),42.0)</f>
        <v>42</v>
      </c>
      <c r="E49" t="str">
        <f>IFERROR(__xludf.DUMMYFUNCTION("""COMPUTED_VALUE"""),"microsoft")</f>
        <v>microsoft</v>
      </c>
      <c r="F49">
        <f>IFERROR(__xludf.DUMMYFUNCTION("""COMPUTED_VALUE"""),2.0)</f>
        <v>2</v>
      </c>
    </row>
    <row r="50">
      <c r="A50" t="str">
        <f>IFERROR(__xludf.DUMMYFUNCTION("""COMPUTED_VALUE"""),"class-&gt;sports")</f>
        <v>class-&gt;sports</v>
      </c>
      <c r="B50">
        <f>IFERROR(__xludf.DUMMYFUNCTION("""COMPUTED_VALUE"""),4.0)</f>
        <v>4</v>
      </c>
      <c r="E50" t="str">
        <f>IFERROR(__xludf.DUMMYFUNCTION("""COMPUTED_VALUE"""),"nest")</f>
        <v>nest</v>
      </c>
      <c r="F50">
        <f>IFERROR(__xludf.DUMMYFUNCTION("""COMPUTED_VALUE"""),2.0)</f>
        <v>2</v>
      </c>
    </row>
    <row r="51">
      <c r="A51" t="str">
        <f>IFERROR(__xludf.DUMMYFUNCTION("""COMPUTED_VALUE"""),"class-&gt;survey")</f>
        <v>class-&gt;survey</v>
      </c>
      <c r="B51">
        <f>IFERROR(__xludf.DUMMYFUNCTION("""COMPUTED_VALUE"""),6.0)</f>
        <v>6</v>
      </c>
      <c r="E51" t="str">
        <f>IFERROR(__xludf.DUMMYFUNCTION("""COMPUTED_VALUE"""),"offerup")</f>
        <v>offerup</v>
      </c>
      <c r="F51">
        <f>IFERROR(__xludf.DUMMYFUNCTION("""COMPUTED_VALUE"""),2.0)</f>
        <v>2</v>
      </c>
    </row>
    <row r="52">
      <c r="A52" t="str">
        <f>IFERROR(__xludf.DUMMYFUNCTION("""COMPUTED_VALUE"""),"class-&gt;travel")</f>
        <v>class-&gt;travel</v>
      </c>
      <c r="B52">
        <f>IFERROR(__xludf.DUMMYFUNCTION("""COMPUTED_VALUE"""),2.0)</f>
        <v>2</v>
      </c>
      <c r="E52" t="str">
        <f>IFERROR(__xludf.DUMMYFUNCTION("""COMPUTED_VALUE"""),"other_survey")</f>
        <v>other_survey</v>
      </c>
      <c r="F52">
        <f>IFERROR(__xludf.DUMMYFUNCTION("""COMPUTED_VALUE"""),2.0)</f>
        <v>2</v>
      </c>
    </row>
    <row r="53">
      <c r="A53" t="str">
        <f>IFERROR(__xludf.DUMMYFUNCTION("""COMPUTED_VALUE"""),"class_link")</f>
        <v>class_link</v>
      </c>
      <c r="B53">
        <f>IFERROR(__xludf.DUMMYFUNCTION("""COMPUTED_VALUE"""),1.0)</f>
        <v>1</v>
      </c>
      <c r="E53" t="str">
        <f>IFERROR(__xludf.DUMMYFUNCTION("""COMPUTED_VALUE"""),"quizlet")</f>
        <v>quizlet</v>
      </c>
      <c r="F53">
        <f>IFERROR(__xludf.DUMMYFUNCTION("""COMPUTED_VALUE"""),2.0)</f>
        <v>2</v>
      </c>
    </row>
    <row r="54">
      <c r="A54" t="str">
        <f>IFERROR(__xludf.DUMMYFUNCTION("""COMPUTED_VALUE"""),"classlink")</f>
        <v>classlink</v>
      </c>
      <c r="B54">
        <f>IFERROR(__xludf.DUMMYFUNCTION("""COMPUTED_VALUE"""),1.0)</f>
        <v>1</v>
      </c>
      <c r="E54" t="str">
        <f>IFERROR(__xludf.DUMMYFUNCTION("""COMPUTED_VALUE"""),"realtor_com")</f>
        <v>realtor_com</v>
      </c>
      <c r="F54">
        <f>IFERROR(__xludf.DUMMYFUNCTION("""COMPUTED_VALUE"""),2.0)</f>
        <v>2</v>
      </c>
    </row>
    <row r="55">
      <c r="A55" t="str">
        <f>IFERROR(__xludf.DUMMYFUNCTION("""COMPUTED_VALUE"""),"coinbase")</f>
        <v>coinbase</v>
      </c>
      <c r="B55">
        <f>IFERROR(__xludf.DUMMYFUNCTION("""COMPUTED_VALUE"""),1.0)</f>
        <v>1</v>
      </c>
      <c r="E55" t="str">
        <f>IFERROR(__xludf.DUMMYFUNCTION("""COMPUTED_VALUE"""),"social_media")</f>
        <v>social_media</v>
      </c>
      <c r="F55">
        <f>IFERROR(__xludf.DUMMYFUNCTION("""COMPUTED_VALUE"""),2.0)</f>
        <v>2</v>
      </c>
    </row>
    <row r="56">
      <c r="A56" t="str">
        <f>IFERROR(__xludf.DUMMYFUNCTION("""COMPUTED_VALUE"""),"coinrule")</f>
        <v>coinrule</v>
      </c>
      <c r="B56">
        <f>IFERROR(__xludf.DUMMYFUNCTION("""COMPUTED_VALUE"""),1.0)</f>
        <v>1</v>
      </c>
      <c r="E56" t="str">
        <f>IFERROR(__xludf.DUMMYFUNCTION("""COMPUTED_VALUE"""),"talking_points")</f>
        <v>talking_points</v>
      </c>
      <c r="F56">
        <f>IFERROR(__xludf.DUMMYFUNCTION("""COMPUTED_VALUE"""),2.0)</f>
        <v>2</v>
      </c>
    </row>
    <row r="57">
      <c r="A57" t="str">
        <f>IFERROR(__xludf.DUMMYFUNCTION("""COMPUTED_VALUE"""),"dabbl")</f>
        <v>dabbl</v>
      </c>
      <c r="B57">
        <f>IFERROR(__xludf.DUMMYFUNCTION("""COMPUTED_VALUE"""),1.0)</f>
        <v>1</v>
      </c>
      <c r="E57" t="str">
        <f>IFERROR(__xludf.DUMMYFUNCTION("""COMPUTED_VALUE"""),"uber_eats")</f>
        <v>uber_eats</v>
      </c>
      <c r="F57">
        <f>IFERROR(__xludf.DUMMYFUNCTION("""COMPUTED_VALUE"""),2.0)</f>
        <v>2</v>
      </c>
    </row>
    <row r="58">
      <c r="A58" t="str">
        <f>IFERROR(__xludf.DUMMYFUNCTION("""COMPUTED_VALUE"""),"dating_app_NS")</f>
        <v>dating_app_NS</v>
      </c>
      <c r="B58">
        <f>IFERROR(__xludf.DUMMYFUNCTION("""COMPUTED_VALUE"""),3.0)</f>
        <v>3</v>
      </c>
      <c r="E58" t="str">
        <f>IFERROR(__xludf.DUMMYFUNCTION("""COMPUTED_VALUE"""),"ali_express")</f>
        <v>ali_express</v>
      </c>
      <c r="F58">
        <f>IFERROR(__xludf.DUMMYFUNCTION("""COMPUTED_VALUE"""),1.0)</f>
        <v>1</v>
      </c>
    </row>
    <row r="59">
      <c r="A59" t="str">
        <f>IFERROR(__xludf.DUMMYFUNCTION("""COMPUTED_VALUE"""),"deezer")</f>
        <v>deezer</v>
      </c>
      <c r="B59">
        <f>IFERROR(__xludf.DUMMYFUNCTION("""COMPUTED_VALUE"""),1.0)</f>
        <v>1</v>
      </c>
      <c r="E59" t="str">
        <f>IFERROR(__xludf.DUMMYFUNCTION("""COMPUTED_VALUE"""),"amplify_ela")</f>
        <v>amplify_ela</v>
      </c>
      <c r="F59">
        <f>IFERROR(__xludf.DUMMYFUNCTION("""COMPUTED_VALUE"""),1.0)</f>
        <v>1</v>
      </c>
    </row>
    <row r="60">
      <c r="A60" t="str">
        <f>IFERROR(__xludf.DUMMYFUNCTION("""COMPUTED_VALUE"""),"destiny")</f>
        <v>destiny</v>
      </c>
      <c r="B60">
        <f>IFERROR(__xludf.DUMMYFUNCTION("""COMPUTED_VALUE"""),1.0)</f>
        <v>1</v>
      </c>
      <c r="E60" t="str">
        <f>IFERROR(__xludf.DUMMYFUNCTION("""COMPUTED_VALUE"""),"apple")</f>
        <v>apple</v>
      </c>
      <c r="F60">
        <f>IFERROR(__xludf.DUMMYFUNCTION("""COMPUTED_VALUE"""),1.0)</f>
        <v>1</v>
      </c>
    </row>
    <row r="61">
      <c r="A61" t="str">
        <f>IFERROR(__xludf.DUMMYFUNCTION("""COMPUTED_VALUE"""),"diagnose_us")</f>
        <v>diagnose_us</v>
      </c>
      <c r="B61">
        <f>IFERROR(__xludf.DUMMYFUNCTION("""COMPUTED_VALUE"""),1.0)</f>
        <v>1</v>
      </c>
      <c r="E61" t="str">
        <f>IFERROR(__xludf.DUMMYFUNCTION("""COMPUTED_VALUE"""),"asos")</f>
        <v>asos</v>
      </c>
      <c r="F61">
        <f>IFERROR(__xludf.DUMMYFUNCTION("""COMPUTED_VALUE"""),1.0)</f>
        <v>1</v>
      </c>
    </row>
    <row r="62">
      <c r="A62" t="str">
        <f>IFERROR(__xludf.DUMMYFUNCTION("""COMPUTED_VALUE"""),"discogs")</f>
        <v>discogs</v>
      </c>
      <c r="B62">
        <f>IFERROR(__xludf.DUMMYFUNCTION("""COMPUTED_VALUE"""),1.0)</f>
        <v>1</v>
      </c>
      <c r="E62" t="str">
        <f>IFERROR(__xludf.DUMMYFUNCTION("""COMPUTED_VALUE"""),"auto_chess")</f>
        <v>auto_chess</v>
      </c>
      <c r="F62">
        <f>IFERROR(__xludf.DUMMYFUNCTION("""COMPUTED_VALUE"""),1.0)</f>
        <v>1</v>
      </c>
    </row>
    <row r="63">
      <c r="A63" t="str">
        <f>IFERROR(__xludf.DUMMYFUNCTION("""COMPUTED_VALUE"""),"disney")</f>
        <v>disney</v>
      </c>
      <c r="B63">
        <f>IFERROR(__xludf.DUMMYFUNCTION("""COMPUTED_VALUE"""),1.0)</f>
        <v>1</v>
      </c>
      <c r="E63" t="str">
        <f>IFERROR(__xludf.DUMMYFUNCTION("""COMPUTED_VALUE"""),"avclub_com")</f>
        <v>avclub_com</v>
      </c>
      <c r="F63">
        <f>IFERROR(__xludf.DUMMYFUNCTION("""COMPUTED_VALUE"""),1.0)</f>
        <v>1</v>
      </c>
    </row>
    <row r="64">
      <c r="A64" t="str">
        <f>IFERROR(__xludf.DUMMYFUNCTION("""COMPUTED_VALUE"""),"dispensary_NS")</f>
        <v>dispensary_NS</v>
      </c>
      <c r="B64">
        <f>IFERROR(__xludf.DUMMYFUNCTION("""COMPUTED_VALUE"""),1.0)</f>
        <v>1</v>
      </c>
      <c r="E64" t="str">
        <f>IFERROR(__xludf.DUMMYFUNCTION("""COMPUTED_VALUE"""),"battle_net")</f>
        <v>battle_net</v>
      </c>
      <c r="F64">
        <f>IFERROR(__xludf.DUMMYFUNCTION("""COMPUTED_VALUE"""),1.0)</f>
        <v>1</v>
      </c>
    </row>
    <row r="65">
      <c r="A65" t="str">
        <f>IFERROR(__xludf.DUMMYFUNCTION("""COMPUTED_VALUE"""),"doordash")</f>
        <v>doordash</v>
      </c>
      <c r="B65">
        <f>IFERROR(__xludf.DUMMYFUNCTION("""COMPUTED_VALUE"""),7.0)</f>
        <v>7</v>
      </c>
      <c r="E65" t="str">
        <f>IFERROR(__xludf.DUMMYFUNCTION("""COMPUTED_VALUE"""),"beyondmenu")</f>
        <v>beyondmenu</v>
      </c>
      <c r="F65">
        <f>IFERROR(__xludf.DUMMYFUNCTION("""COMPUTED_VALUE"""),1.0)</f>
        <v>1</v>
      </c>
    </row>
    <row r="66">
      <c r="A66" t="str">
        <f>IFERROR(__xludf.DUMMYFUNCTION("""COMPUTED_VALUE"""),"dosomething")</f>
        <v>dosomething</v>
      </c>
      <c r="B66">
        <f>IFERROR(__xludf.DUMMYFUNCTION("""COMPUTED_VALUE"""),1.0)</f>
        <v>1</v>
      </c>
      <c r="E66" t="str">
        <f>IFERROR(__xludf.DUMMYFUNCTION("""COMPUTED_VALUE"""),"bitbucket")</f>
        <v>bitbucket</v>
      </c>
      <c r="F66">
        <f>IFERROR(__xludf.DUMMYFUNCTION("""COMPUTED_VALUE"""),1.0)</f>
        <v>1</v>
      </c>
    </row>
    <row r="67">
      <c r="A67" t="str">
        <f>IFERROR(__xludf.DUMMYFUNCTION("""COMPUTED_VALUE"""),"dragon_ball_legends")</f>
        <v>dragon_ball_legends</v>
      </c>
      <c r="B67">
        <f>IFERROR(__xludf.DUMMYFUNCTION("""COMPUTED_VALUE"""),1.0)</f>
        <v>1</v>
      </c>
      <c r="E67" t="str">
        <f>IFERROR(__xludf.DUMMYFUNCTION("""COMPUTED_VALUE"""),"blaseball")</f>
        <v>blaseball</v>
      </c>
      <c r="F67">
        <f>IFERROR(__xludf.DUMMYFUNCTION("""COMPUTED_VALUE"""),1.0)</f>
        <v>1</v>
      </c>
    </row>
    <row r="68">
      <c r="A68" t="str">
        <f>IFERROR(__xludf.DUMMYFUNCTION("""COMPUTED_VALUE"""),"dropbox")</f>
        <v>dropbox</v>
      </c>
      <c r="B68">
        <f>IFERROR(__xludf.DUMMYFUNCTION("""COMPUTED_VALUE"""),1.0)</f>
        <v>1</v>
      </c>
      <c r="E68" t="str">
        <f>IFERROR(__xludf.DUMMYFUNCTION("""COMPUTED_VALUE"""),"blog_NS")</f>
        <v>blog_NS</v>
      </c>
      <c r="F68">
        <f>IFERROR(__xludf.DUMMYFUNCTION("""COMPUTED_VALUE"""),1.0)</f>
        <v>1</v>
      </c>
    </row>
    <row r="69">
      <c r="A69" t="str">
        <f>IFERROR(__xludf.DUMMYFUNCTION("""COMPUTED_VALUE"""),"ebay")</f>
        <v>ebay</v>
      </c>
      <c r="B69">
        <f>IFERROR(__xludf.DUMMYFUNCTION("""COMPUTED_VALUE"""),4.0)</f>
        <v>4</v>
      </c>
      <c r="E69" t="str">
        <f>IFERROR(__xludf.DUMMYFUNCTION("""COMPUTED_VALUE"""),"boom_cards")</f>
        <v>boom_cards</v>
      </c>
      <c r="F69">
        <f>IFERROR(__xludf.DUMMYFUNCTION("""COMPUTED_VALUE"""),1.0)</f>
        <v>1</v>
      </c>
    </row>
    <row r="70">
      <c r="A70" t="str">
        <f>IFERROR(__xludf.DUMMYFUNCTION("""COMPUTED_VALUE"""),"education_NS")</f>
        <v>education_NS</v>
      </c>
      <c r="B70">
        <f>IFERROR(__xludf.DUMMYFUNCTION("""COMPUTED_VALUE"""),4.0)</f>
        <v>4</v>
      </c>
      <c r="E70" t="str">
        <f>IFERROR(__xludf.DUMMYFUNCTION("""COMPUTED_VALUE"""),"bored_panda")</f>
        <v>bored_panda</v>
      </c>
      <c r="F70">
        <f>IFERROR(__xludf.DUMMYFUNCTION("""COMPUTED_VALUE"""),1.0)</f>
        <v>1</v>
      </c>
    </row>
    <row r="71">
      <c r="A71" t="str">
        <f>IFERROR(__xludf.DUMMYFUNCTION("""COMPUTED_VALUE"""),"epic_games")</f>
        <v>epic_games</v>
      </c>
      <c r="B71">
        <f>IFERROR(__xludf.DUMMYFUNCTION("""COMPUTED_VALUE"""),4.0)</f>
        <v>4</v>
      </c>
      <c r="E71" t="str">
        <f>IFERROR(__xludf.DUMMYFUNCTION("""COMPUTED_VALUE"""),"calendly")</f>
        <v>calendly</v>
      </c>
      <c r="F71">
        <f>IFERROR(__xludf.DUMMYFUNCTION("""COMPUTED_VALUE"""),1.0)</f>
        <v>1</v>
      </c>
    </row>
    <row r="72">
      <c r="A72" t="str">
        <f>IFERROR(__xludf.DUMMYFUNCTION("""COMPUTED_VALUE"""),"espn")</f>
        <v>espn</v>
      </c>
      <c r="B72">
        <f>IFERROR(__xludf.DUMMYFUNCTION("""COMPUTED_VALUE"""),2.0)</f>
        <v>2</v>
      </c>
      <c r="E72" t="str">
        <f>IFERROR(__xludf.DUMMYFUNCTION("""COMPUTED_VALUE"""),"canvas")</f>
        <v>canvas</v>
      </c>
      <c r="F72">
        <f>IFERROR(__xludf.DUMMYFUNCTION("""COMPUTED_VALUE"""),1.0)</f>
        <v>1</v>
      </c>
    </row>
    <row r="73">
      <c r="A73" t="str">
        <f>IFERROR(__xludf.DUMMYFUNCTION("""COMPUTED_VALUE"""),"etsy")</f>
        <v>etsy</v>
      </c>
      <c r="B73">
        <f>IFERROR(__xludf.DUMMYFUNCTION("""COMPUTED_VALUE"""),3.0)</f>
        <v>3</v>
      </c>
      <c r="E73" t="str">
        <f>IFERROR(__xludf.DUMMYFUNCTION("""COMPUTED_VALUE"""),"cashback_service_NS")</f>
        <v>cashback_service_NS</v>
      </c>
      <c r="F73">
        <f>IFERROR(__xludf.DUMMYFUNCTION("""COMPUTED_VALUE"""),1.0)</f>
        <v>1</v>
      </c>
    </row>
    <row r="74">
      <c r="A74" t="str">
        <f>IFERROR(__xludf.DUMMYFUNCTION("""COMPUTED_VALUE"""),"facebook")</f>
        <v>facebook</v>
      </c>
      <c r="B74">
        <f>IFERROR(__xludf.DUMMYFUNCTION("""COMPUTED_VALUE"""),15.0)</f>
        <v>15</v>
      </c>
      <c r="E74" t="str">
        <f>IFERROR(__xludf.DUMMYFUNCTION("""COMPUTED_VALUE"""),"chegg")</f>
        <v>chegg</v>
      </c>
      <c r="F74">
        <f>IFERROR(__xludf.DUMMYFUNCTION("""COMPUTED_VALUE"""),1.0)</f>
        <v>1</v>
      </c>
    </row>
    <row r="75">
      <c r="A75" t="str">
        <f>IFERROR(__xludf.DUMMYFUNCTION("""COMPUTED_VALUE"""),"fantasy_premier_league")</f>
        <v>fantasy_premier_league</v>
      </c>
      <c r="B75">
        <f>IFERROR(__xludf.DUMMYFUNCTION("""COMPUTED_VALUE"""),1.0)</f>
        <v>1</v>
      </c>
      <c r="E75" t="str">
        <f>IFERROR(__xludf.DUMMYFUNCTION("""COMPUTED_VALUE"""),"chess_com")</f>
        <v>chess_com</v>
      </c>
      <c r="F75">
        <f>IFERROR(__xludf.DUMMYFUNCTION("""COMPUTED_VALUE"""),1.0)</f>
        <v>1</v>
      </c>
    </row>
    <row r="76">
      <c r="A76" t="str">
        <f>IFERROR(__xludf.DUMMYFUNCTION("""COMPUTED_VALUE"""),"feedly")</f>
        <v>feedly</v>
      </c>
      <c r="B76">
        <f>IFERROR(__xludf.DUMMYFUNCTION("""COMPUTED_VALUE"""),1.0)</f>
        <v>1</v>
      </c>
      <c r="E76" t="str">
        <f>IFERROR(__xludf.DUMMYFUNCTION("""COMPUTED_VALUE"""),"chewy")</f>
        <v>chewy</v>
      </c>
      <c r="F76">
        <f>IFERROR(__xludf.DUMMYFUNCTION("""COMPUTED_VALUE"""),1.0)</f>
        <v>1</v>
      </c>
    </row>
    <row r="77">
      <c r="A77" t="str">
        <f>IFERROR(__xludf.DUMMYFUNCTION("""COMPUTED_VALUE"""),"fifth_third")</f>
        <v>fifth_third</v>
      </c>
      <c r="B77">
        <f>IFERROR(__xludf.DUMMYFUNCTION("""COMPUTED_VALUE"""),1.0)</f>
        <v>1</v>
      </c>
      <c r="E77" t="str">
        <f>IFERROR(__xludf.DUMMYFUNCTION("""COMPUTED_VALUE"""),"chic")</f>
        <v>chic</v>
      </c>
      <c r="F77">
        <f>IFERROR(__xludf.DUMMYFUNCTION("""COMPUTED_VALUE"""),1.0)</f>
        <v>1</v>
      </c>
    </row>
    <row r="78">
      <c r="A78" t="str">
        <f>IFERROR(__xludf.DUMMYFUNCTION("""COMPUTED_VALUE"""),"figma")</f>
        <v>figma</v>
      </c>
      <c r="B78">
        <f>IFERROR(__xludf.DUMMYFUNCTION("""COMPUTED_VALUE"""),1.0)</f>
        <v>1</v>
      </c>
      <c r="E78" t="str">
        <f>IFERROR(__xludf.DUMMYFUNCTION("""COMPUTED_VALUE"""),"clash_of_clans")</f>
        <v>clash_of_clans</v>
      </c>
      <c r="F78">
        <f>IFERROR(__xludf.DUMMYFUNCTION("""COMPUTED_VALUE"""),1.0)</f>
        <v>1</v>
      </c>
    </row>
    <row r="79">
      <c r="A79" t="str">
        <f>IFERROR(__xludf.DUMMYFUNCTION("""COMPUTED_VALUE"""),"fire_emblem_heroes")</f>
        <v>fire_emblem_heroes</v>
      </c>
      <c r="B79">
        <f>IFERROR(__xludf.DUMMYFUNCTION("""COMPUTED_VALUE"""),1.0)</f>
        <v>1</v>
      </c>
      <c r="E79" t="str">
        <f>IFERROR(__xludf.DUMMYFUNCTION("""COMPUTED_VALUE"""),"clash_royale")</f>
        <v>clash_royale</v>
      </c>
      <c r="F79">
        <f>IFERROR(__xludf.DUMMYFUNCTION("""COMPUTED_VALUE"""),1.0)</f>
        <v>1</v>
      </c>
    </row>
    <row r="80">
      <c r="A80" t="str">
        <f>IFERROR(__xludf.DUMMYFUNCTION("""COMPUTED_VALUE"""),"fitbit")</f>
        <v>fitbit</v>
      </c>
      <c r="B80">
        <f>IFERROR(__xludf.DUMMYFUNCTION("""COMPUTED_VALUE"""),1.0)</f>
        <v>1</v>
      </c>
      <c r="E80" t="str">
        <f>IFERROR(__xludf.DUMMYFUNCTION("""COMPUTED_VALUE"""),"class_link")</f>
        <v>class_link</v>
      </c>
      <c r="F80">
        <f>IFERROR(__xludf.DUMMYFUNCTION("""COMPUTED_VALUE"""),1.0)</f>
        <v>1</v>
      </c>
    </row>
    <row r="81">
      <c r="A81" t="str">
        <f>IFERROR(__xludf.DUMMYFUNCTION("""COMPUTED_VALUE"""),"food_delivery_NS")</f>
        <v>food_delivery_NS</v>
      </c>
      <c r="B81">
        <f>IFERROR(__xludf.DUMMYFUNCTION("""COMPUTED_VALUE"""),1.0)</f>
        <v>1</v>
      </c>
      <c r="E81" t="str">
        <f>IFERROR(__xludf.DUMMYFUNCTION("""COMPUTED_VALUE"""),"classlink")</f>
        <v>classlink</v>
      </c>
      <c r="F81">
        <f>IFERROR(__xludf.DUMMYFUNCTION("""COMPUTED_VALUE"""),1.0)</f>
        <v>1</v>
      </c>
    </row>
    <row r="82">
      <c r="A82" t="str">
        <f>IFERROR(__xludf.DUMMYFUNCTION("""COMPUTED_VALUE"""),"forum")</f>
        <v>forum</v>
      </c>
      <c r="B82">
        <f>IFERROR(__xludf.DUMMYFUNCTION("""COMPUTED_VALUE"""),5.0)</f>
        <v>5</v>
      </c>
      <c r="E82" t="str">
        <f>IFERROR(__xludf.DUMMYFUNCTION("""COMPUTED_VALUE"""),"coinbase")</f>
        <v>coinbase</v>
      </c>
      <c r="F82">
        <f>IFERROR(__xludf.DUMMYFUNCTION("""COMPUTED_VALUE"""),1.0)</f>
        <v>1</v>
      </c>
    </row>
    <row r="83">
      <c r="A83" t="str">
        <f>IFERROR(__xludf.DUMMYFUNCTION("""COMPUTED_VALUE"""),"free_code_camp")</f>
        <v>free_code_camp</v>
      </c>
      <c r="B83">
        <f>IFERROR(__xludf.DUMMYFUNCTION("""COMPUTED_VALUE"""),1.0)</f>
        <v>1</v>
      </c>
      <c r="E83" t="str">
        <f>IFERROR(__xludf.DUMMYFUNCTION("""COMPUTED_VALUE"""),"coinrule")</f>
        <v>coinrule</v>
      </c>
      <c r="F83">
        <f>IFERROR(__xludf.DUMMYFUNCTION("""COMPUTED_VALUE"""),1.0)</f>
        <v>1</v>
      </c>
    </row>
    <row r="84">
      <c r="A84" t="str">
        <f>IFERROR(__xludf.DUMMYFUNCTION("""COMPUTED_VALUE"""),"gaming_NS")</f>
        <v>gaming_NS</v>
      </c>
      <c r="B84">
        <f>IFERROR(__xludf.DUMMYFUNCTION("""COMPUTED_VALUE"""),10.0)</f>
        <v>10</v>
      </c>
      <c r="E84" t="str">
        <f>IFERROR(__xludf.DUMMYFUNCTION("""COMPUTED_VALUE"""),"dabbl")</f>
        <v>dabbl</v>
      </c>
      <c r="F84">
        <f>IFERROR(__xludf.DUMMYFUNCTION("""COMPUTED_VALUE"""),1.0)</f>
        <v>1</v>
      </c>
    </row>
    <row r="85">
      <c r="A85" t="str">
        <f>IFERROR(__xludf.DUMMYFUNCTION("""COMPUTED_VALUE"""),"gasbuddy")</f>
        <v>gasbuddy</v>
      </c>
      <c r="B85">
        <f>IFERROR(__xludf.DUMMYFUNCTION("""COMPUTED_VALUE"""),1.0)</f>
        <v>1</v>
      </c>
      <c r="E85" t="str">
        <f>IFERROR(__xludf.DUMMYFUNCTION("""COMPUTED_VALUE"""),"deezer")</f>
        <v>deezer</v>
      </c>
      <c r="F85">
        <f>IFERROR(__xludf.DUMMYFUNCTION("""COMPUTED_VALUE"""),1.0)</f>
        <v>1</v>
      </c>
    </row>
    <row r="86">
      <c r="A86" t="str">
        <f>IFERROR(__xludf.DUMMYFUNCTION("""COMPUTED_VALUE"""),"genshin_impact")</f>
        <v>genshin_impact</v>
      </c>
      <c r="B86">
        <f>IFERROR(__xludf.DUMMYFUNCTION("""COMPUTED_VALUE"""),1.0)</f>
        <v>1</v>
      </c>
      <c r="E86" t="str">
        <f>IFERROR(__xludf.DUMMYFUNCTION("""COMPUTED_VALUE"""),"destiny")</f>
        <v>destiny</v>
      </c>
      <c r="F86">
        <f>IFERROR(__xludf.DUMMYFUNCTION("""COMPUTED_VALUE"""),1.0)</f>
        <v>1</v>
      </c>
    </row>
    <row r="87">
      <c r="A87" t="str">
        <f>IFERROR(__xludf.DUMMYFUNCTION("""COMPUTED_VALUE"""),"geoguessr")</f>
        <v>geoguessr</v>
      </c>
      <c r="B87">
        <f>IFERROR(__xludf.DUMMYFUNCTION("""COMPUTED_VALUE"""),1.0)</f>
        <v>1</v>
      </c>
      <c r="E87" t="str">
        <f>IFERROR(__xludf.DUMMYFUNCTION("""COMPUTED_VALUE"""),"diagnose_us")</f>
        <v>diagnose_us</v>
      </c>
      <c r="F87">
        <f>IFERROR(__xludf.DUMMYFUNCTION("""COMPUTED_VALUE"""),1.0)</f>
        <v>1</v>
      </c>
    </row>
    <row r="88">
      <c r="A88" t="str">
        <f>IFERROR(__xludf.DUMMYFUNCTION("""COMPUTED_VALUE"""),"github")</f>
        <v>github</v>
      </c>
      <c r="B88">
        <f>IFERROR(__xludf.DUMMYFUNCTION("""COMPUTED_VALUE"""),2.0)</f>
        <v>2</v>
      </c>
      <c r="E88" t="str">
        <f>IFERROR(__xludf.DUMMYFUNCTION("""COMPUTED_VALUE"""),"discogs")</f>
        <v>discogs</v>
      </c>
      <c r="F88">
        <f>IFERROR(__xludf.DUMMYFUNCTION("""COMPUTED_VALUE"""),1.0)</f>
        <v>1</v>
      </c>
    </row>
    <row r="89">
      <c r="A89" t="str">
        <f>IFERROR(__xludf.DUMMYFUNCTION("""COMPUTED_VALUE"""),"glassdoor")</f>
        <v>glassdoor</v>
      </c>
      <c r="B89">
        <f>IFERROR(__xludf.DUMMYFUNCTION("""COMPUTED_VALUE"""),2.0)</f>
        <v>2</v>
      </c>
      <c r="E89" t="str">
        <f>IFERROR(__xludf.DUMMYFUNCTION("""COMPUTED_VALUE"""),"disney")</f>
        <v>disney</v>
      </c>
      <c r="F89">
        <f>IFERROR(__xludf.DUMMYFUNCTION("""COMPUTED_VALUE"""),1.0)</f>
        <v>1</v>
      </c>
    </row>
    <row r="90">
      <c r="A90" t="str">
        <f>IFERROR(__xludf.DUMMYFUNCTION("""COMPUTED_VALUE"""),"goodreads")</f>
        <v>goodreads</v>
      </c>
      <c r="B90">
        <f>IFERROR(__xludf.DUMMYFUNCTION("""COMPUTED_VALUE"""),1.0)</f>
        <v>1</v>
      </c>
      <c r="E90" t="str">
        <f>IFERROR(__xludf.DUMMYFUNCTION("""COMPUTED_VALUE"""),"dispensary_NS")</f>
        <v>dispensary_NS</v>
      </c>
      <c r="F90">
        <f>IFERROR(__xludf.DUMMYFUNCTION("""COMPUTED_VALUE"""),1.0)</f>
        <v>1</v>
      </c>
    </row>
    <row r="91">
      <c r="A91" t="str">
        <f>IFERROR(__xludf.DUMMYFUNCTION("""COMPUTED_VALUE"""),"google_forms")</f>
        <v>google_forms</v>
      </c>
      <c r="B91">
        <f>IFERROR(__xludf.DUMMYFUNCTION("""COMPUTED_VALUE"""),1.0)</f>
        <v>1</v>
      </c>
      <c r="E91" t="str">
        <f>IFERROR(__xludf.DUMMYFUNCTION("""COMPUTED_VALUE"""),"dosomething")</f>
        <v>dosomething</v>
      </c>
      <c r="F91">
        <f>IFERROR(__xludf.DUMMYFUNCTION("""COMPUTED_VALUE"""),1.0)</f>
        <v>1</v>
      </c>
    </row>
    <row r="92">
      <c r="A92" t="str">
        <f>IFERROR(__xludf.DUMMYFUNCTION("""COMPUTED_VALUE"""),"google_suite")</f>
        <v>google_suite</v>
      </c>
      <c r="B92">
        <f>IFERROR(__xludf.DUMMYFUNCTION("""COMPUTED_VALUE"""),1.0)</f>
        <v>1</v>
      </c>
      <c r="E92" t="str">
        <f>IFERROR(__xludf.DUMMYFUNCTION("""COMPUTED_VALUE"""),"dragon_ball_legends")</f>
        <v>dragon_ball_legends</v>
      </c>
      <c r="F92">
        <f>IFERROR(__xludf.DUMMYFUNCTION("""COMPUTED_VALUE"""),1.0)</f>
        <v>1</v>
      </c>
    </row>
    <row r="93">
      <c r="A93" t="str">
        <f>IFERROR(__xludf.DUMMYFUNCTION("""COMPUTED_VALUE"""),"gpay")</f>
        <v>gpay</v>
      </c>
      <c r="B93">
        <f>IFERROR(__xludf.DUMMYFUNCTION("""COMPUTED_VALUE"""),1.0)</f>
        <v>1</v>
      </c>
      <c r="E93" t="str">
        <f>IFERROR(__xludf.DUMMYFUNCTION("""COMPUTED_VALUE"""),"dropbox")</f>
        <v>dropbox</v>
      </c>
      <c r="F93">
        <f>IFERROR(__xludf.DUMMYFUNCTION("""COMPUTED_VALUE"""),1.0)</f>
        <v>1</v>
      </c>
    </row>
    <row r="94">
      <c r="A94" t="str">
        <f>IFERROR(__xludf.DUMMYFUNCTION("""COMPUTED_VALUE"""),"gramfree")</f>
        <v>gramfree</v>
      </c>
      <c r="B94">
        <f>IFERROR(__xludf.DUMMYFUNCTION("""COMPUTED_VALUE"""),1.0)</f>
        <v>1</v>
      </c>
      <c r="E94" t="str">
        <f>IFERROR(__xludf.DUMMYFUNCTION("""COMPUTED_VALUE"""),"fantasy_premier_league")</f>
        <v>fantasy_premier_league</v>
      </c>
      <c r="F94">
        <f>IFERROR(__xludf.DUMMYFUNCTION("""COMPUTED_VALUE"""),1.0)</f>
        <v>1</v>
      </c>
    </row>
    <row r="95">
      <c r="A95" t="str">
        <f>IFERROR(__xludf.DUMMYFUNCTION("""COMPUTED_VALUE"""),"grammarly")</f>
        <v>grammarly</v>
      </c>
      <c r="B95">
        <f>IFERROR(__xludf.DUMMYFUNCTION("""COMPUTED_VALUE"""),1.0)</f>
        <v>1</v>
      </c>
      <c r="E95" t="str">
        <f>IFERROR(__xludf.DUMMYFUNCTION("""COMPUTED_VALUE"""),"feedly")</f>
        <v>feedly</v>
      </c>
      <c r="F95">
        <f>IFERROR(__xludf.DUMMYFUNCTION("""COMPUTED_VALUE"""),1.0)</f>
        <v>1</v>
      </c>
    </row>
    <row r="96">
      <c r="A96" t="str">
        <f>IFERROR(__xludf.DUMMYFUNCTION("""COMPUTED_VALUE"""),"grindr")</f>
        <v>grindr</v>
      </c>
      <c r="B96">
        <f>IFERROR(__xludf.DUMMYFUNCTION("""COMPUTED_VALUE"""),2.0)</f>
        <v>2</v>
      </c>
      <c r="E96" t="str">
        <f>IFERROR(__xludf.DUMMYFUNCTION("""COMPUTED_VALUE"""),"fifth_third")</f>
        <v>fifth_third</v>
      </c>
      <c r="F96">
        <f>IFERROR(__xludf.DUMMYFUNCTION("""COMPUTED_VALUE"""),1.0)</f>
        <v>1</v>
      </c>
    </row>
    <row r="97">
      <c r="A97" t="str">
        <f>IFERROR(__xludf.DUMMYFUNCTION("""COMPUTED_VALUE"""),"groupon")</f>
        <v>groupon</v>
      </c>
      <c r="B97">
        <f>IFERROR(__xludf.DUMMYFUNCTION("""COMPUTED_VALUE"""),1.0)</f>
        <v>1</v>
      </c>
      <c r="E97" t="str">
        <f>IFERROR(__xludf.DUMMYFUNCTION("""COMPUTED_VALUE"""),"figma")</f>
        <v>figma</v>
      </c>
      <c r="F97">
        <f>IFERROR(__xludf.DUMMYFUNCTION("""COMPUTED_VALUE"""),1.0)</f>
        <v>1</v>
      </c>
    </row>
    <row r="98">
      <c r="A98" t="str">
        <f>IFERROR(__xludf.DUMMYFUNCTION("""COMPUTED_VALUE"""),"grubhub")</f>
        <v>grubhub</v>
      </c>
      <c r="B98">
        <f>IFERROR(__xludf.DUMMYFUNCTION("""COMPUTED_VALUE"""),2.0)</f>
        <v>2</v>
      </c>
      <c r="E98" t="str">
        <f>IFERROR(__xludf.DUMMYFUNCTION("""COMPUTED_VALUE"""),"fire_emblem_heroes")</f>
        <v>fire_emblem_heroes</v>
      </c>
      <c r="F98">
        <f>IFERROR(__xludf.DUMMYFUNCTION("""COMPUTED_VALUE"""),1.0)</f>
        <v>1</v>
      </c>
    </row>
    <row r="99">
      <c r="A99" t="str">
        <f>IFERROR(__xludf.DUMMYFUNCTION("""COMPUTED_VALUE"""),"handshake")</f>
        <v>handshake</v>
      </c>
      <c r="B99">
        <f>IFERROR(__xludf.DUMMYFUNCTION("""COMPUTED_VALUE"""),1.0)</f>
        <v>1</v>
      </c>
      <c r="E99" t="str">
        <f>IFERROR(__xludf.DUMMYFUNCTION("""COMPUTED_VALUE"""),"fitbit")</f>
        <v>fitbit</v>
      </c>
      <c r="F99">
        <f>IFERROR(__xludf.DUMMYFUNCTION("""COMPUTED_VALUE"""),1.0)</f>
        <v>1</v>
      </c>
    </row>
    <row r="100">
      <c r="A100" t="str">
        <f>IFERROR(__xludf.DUMMYFUNCTION("""COMPUTED_VALUE"""),"headspace")</f>
        <v>headspace</v>
      </c>
      <c r="B100">
        <f>IFERROR(__xludf.DUMMYFUNCTION("""COMPUTED_VALUE"""),1.0)</f>
        <v>1</v>
      </c>
      <c r="E100" t="str">
        <f>IFERROR(__xludf.DUMMYFUNCTION("""COMPUTED_VALUE"""),"food_delivery_NS")</f>
        <v>food_delivery_NS</v>
      </c>
      <c r="F100">
        <f>IFERROR(__xludf.DUMMYFUNCTION("""COMPUTED_VALUE"""),1.0)</f>
        <v>1</v>
      </c>
    </row>
    <row r="101">
      <c r="A101" t="str">
        <f>IFERROR(__xludf.DUMMYFUNCTION("""COMPUTED_VALUE"""),"health_NS")</f>
        <v>health_NS</v>
      </c>
      <c r="B101">
        <f>IFERROR(__xludf.DUMMYFUNCTION("""COMPUTED_VALUE"""),1.0)</f>
        <v>1</v>
      </c>
      <c r="E101" t="str">
        <f>IFERROR(__xludf.DUMMYFUNCTION("""COMPUTED_VALUE"""),"free_code_camp")</f>
        <v>free_code_camp</v>
      </c>
      <c r="F101">
        <f>IFERROR(__xludf.DUMMYFUNCTION("""COMPUTED_VALUE"""),1.0)</f>
        <v>1</v>
      </c>
    </row>
    <row r="102">
      <c r="A102" t="str">
        <f>IFERROR(__xludf.DUMMYFUNCTION("""COMPUTED_VALUE"""),"hideout_tv")</f>
        <v>hideout_tv</v>
      </c>
      <c r="B102">
        <f>IFERROR(__xludf.DUMMYFUNCTION("""COMPUTED_VALUE"""),4.0)</f>
        <v>4</v>
      </c>
      <c r="E102" t="str">
        <f>IFERROR(__xludf.DUMMYFUNCTION("""COMPUTED_VALUE"""),"gasbuddy")</f>
        <v>gasbuddy</v>
      </c>
      <c r="F102">
        <f>IFERROR(__xludf.DUMMYFUNCTION("""COMPUTED_VALUE"""),1.0)</f>
        <v>1</v>
      </c>
    </row>
    <row r="103">
      <c r="A103" t="str">
        <f>IFERROR(__xludf.DUMMYFUNCTION("""COMPUTED_VALUE"""),"honey")</f>
        <v>honey</v>
      </c>
      <c r="B103">
        <f>IFERROR(__xludf.DUMMYFUNCTION("""COMPUTED_VALUE"""),4.0)</f>
        <v>4</v>
      </c>
      <c r="E103" t="str">
        <f>IFERROR(__xludf.DUMMYFUNCTION("""COMPUTED_VALUE"""),"genshin_impact")</f>
        <v>genshin_impact</v>
      </c>
      <c r="F103">
        <f>IFERROR(__xludf.DUMMYFUNCTION("""COMPUTED_VALUE"""),1.0)</f>
        <v>1</v>
      </c>
    </row>
    <row r="104">
      <c r="A104" t="str">
        <f>IFERROR(__xludf.DUMMYFUNCTION("""COMPUTED_VALUE"""),"hubspot")</f>
        <v>hubspot</v>
      </c>
      <c r="B104">
        <f>IFERROR(__xludf.DUMMYFUNCTION("""COMPUTED_VALUE"""),1.0)</f>
        <v>1</v>
      </c>
      <c r="E104" t="str">
        <f>IFERROR(__xludf.DUMMYFUNCTION("""COMPUTED_VALUE"""),"geoguessr")</f>
        <v>geoguessr</v>
      </c>
      <c r="F104">
        <f>IFERROR(__xludf.DUMMYFUNCTION("""COMPUTED_VALUE"""),1.0)</f>
        <v>1</v>
      </c>
    </row>
    <row r="105">
      <c r="A105" t="str">
        <f>IFERROR(__xludf.DUMMYFUNCTION("""COMPUTED_VALUE"""),"humble_bundle")</f>
        <v>humble_bundle</v>
      </c>
      <c r="B105">
        <f>IFERROR(__xludf.DUMMYFUNCTION("""COMPUTED_VALUE"""),1.0)</f>
        <v>1</v>
      </c>
      <c r="E105" t="str">
        <f>IFERROR(__xludf.DUMMYFUNCTION("""COMPUTED_VALUE"""),"goodreads")</f>
        <v>goodreads</v>
      </c>
      <c r="F105">
        <f>IFERROR(__xludf.DUMMYFUNCTION("""COMPUTED_VALUE"""),1.0)</f>
        <v>1</v>
      </c>
    </row>
    <row r="106">
      <c r="A106" t="str">
        <f>IFERROR(__xludf.DUMMYFUNCTION("""COMPUTED_VALUE"""),"ibotta")</f>
        <v>ibotta</v>
      </c>
      <c r="B106">
        <f>IFERROR(__xludf.DUMMYFUNCTION("""COMPUTED_VALUE"""),1.0)</f>
        <v>1</v>
      </c>
      <c r="E106" t="str">
        <f>IFERROR(__xludf.DUMMYFUNCTION("""COMPUTED_VALUE"""),"google_forms")</f>
        <v>google_forms</v>
      </c>
      <c r="F106">
        <f>IFERROR(__xludf.DUMMYFUNCTION("""COMPUTED_VALUE"""),1.0)</f>
        <v>1</v>
      </c>
    </row>
    <row r="107">
      <c r="A107" t="str">
        <f>IFERROR(__xludf.DUMMYFUNCTION("""COMPUTED_VALUE"""),"ifttt")</f>
        <v>ifttt</v>
      </c>
      <c r="B107">
        <f>IFERROR(__xludf.DUMMYFUNCTION("""COMPUTED_VALUE"""),1.0)</f>
        <v>1</v>
      </c>
      <c r="E107" t="str">
        <f>IFERROR(__xludf.DUMMYFUNCTION("""COMPUTED_VALUE"""),"google_suite")</f>
        <v>google_suite</v>
      </c>
      <c r="F107">
        <f>IFERROR(__xludf.DUMMYFUNCTION("""COMPUTED_VALUE"""),1.0)</f>
        <v>1</v>
      </c>
    </row>
    <row r="108">
      <c r="A108" t="str">
        <f>IFERROR(__xludf.DUMMYFUNCTION("""COMPUTED_VALUE"""),"indeed")</f>
        <v>indeed</v>
      </c>
      <c r="B108">
        <f>IFERROR(__xludf.DUMMYFUNCTION("""COMPUTED_VALUE"""),6.0)</f>
        <v>6</v>
      </c>
      <c r="E108" t="str">
        <f>IFERROR(__xludf.DUMMYFUNCTION("""COMPUTED_VALUE"""),"gpay")</f>
        <v>gpay</v>
      </c>
      <c r="F108">
        <f>IFERROR(__xludf.DUMMYFUNCTION("""COMPUTED_VALUE"""),1.0)</f>
        <v>1</v>
      </c>
    </row>
    <row r="109">
      <c r="A109" t="str">
        <f>IFERROR(__xludf.DUMMYFUNCTION("""COMPUTED_VALUE"""),"infinix_hot_8")</f>
        <v>infinix_hot_8</v>
      </c>
      <c r="B109">
        <f>IFERROR(__xludf.DUMMYFUNCTION("""COMPUTED_VALUE"""),1.0)</f>
        <v>1</v>
      </c>
      <c r="E109" t="str">
        <f>IFERROR(__xludf.DUMMYFUNCTION("""COMPUTED_VALUE"""),"gramfree")</f>
        <v>gramfree</v>
      </c>
      <c r="F109">
        <f>IFERROR(__xludf.DUMMYFUNCTION("""COMPUTED_VALUE"""),1.0)</f>
        <v>1</v>
      </c>
    </row>
    <row r="110">
      <c r="A110" t="str">
        <f>IFERROR(__xludf.DUMMYFUNCTION("""COMPUTED_VALUE"""),"instacart")</f>
        <v>instacart</v>
      </c>
      <c r="B110">
        <f>IFERROR(__xludf.DUMMYFUNCTION("""COMPUTED_VALUE"""),3.0)</f>
        <v>3</v>
      </c>
      <c r="E110" t="str">
        <f>IFERROR(__xludf.DUMMYFUNCTION("""COMPUTED_VALUE"""),"grammarly")</f>
        <v>grammarly</v>
      </c>
      <c r="F110">
        <f>IFERROR(__xludf.DUMMYFUNCTION("""COMPUTED_VALUE"""),1.0)</f>
        <v>1</v>
      </c>
    </row>
    <row r="111">
      <c r="A111" t="str">
        <f>IFERROR(__xludf.DUMMYFUNCTION("""COMPUTED_VALUE"""),"instagram")</f>
        <v>instagram</v>
      </c>
      <c r="B111">
        <f>IFERROR(__xludf.DUMMYFUNCTION("""COMPUTED_VALUE"""),2.0)</f>
        <v>2</v>
      </c>
      <c r="E111" t="str">
        <f>IFERROR(__xludf.DUMMYFUNCTION("""COMPUTED_VALUE"""),"groupon")</f>
        <v>groupon</v>
      </c>
      <c r="F111">
        <f>IFERROR(__xludf.DUMMYFUNCTION("""COMPUTED_VALUE"""),1.0)</f>
        <v>1</v>
      </c>
    </row>
    <row r="112">
      <c r="A112" t="str">
        <f>IFERROR(__xludf.DUMMYFUNCTION("""COMPUTED_VALUE"""),"investing_app_NS")</f>
        <v>investing_app_NS</v>
      </c>
      <c r="B112">
        <f>IFERROR(__xludf.DUMMYFUNCTION("""COMPUTED_VALUE"""),1.0)</f>
        <v>1</v>
      </c>
      <c r="E112" t="str">
        <f>IFERROR(__xludf.DUMMYFUNCTION("""COMPUTED_VALUE"""),"handshake")</f>
        <v>handshake</v>
      </c>
      <c r="F112">
        <f>IFERROR(__xludf.DUMMYFUNCTION("""COMPUTED_VALUE"""),1.0)</f>
        <v>1</v>
      </c>
    </row>
    <row r="113">
      <c r="A113" t="str">
        <f>IFERROR(__xludf.DUMMYFUNCTION("""COMPUTED_VALUE"""),"jetbrains")</f>
        <v>jetbrains</v>
      </c>
      <c r="B113">
        <f>IFERROR(__xludf.DUMMYFUNCTION("""COMPUTED_VALUE"""),1.0)</f>
        <v>1</v>
      </c>
      <c r="E113" t="str">
        <f>IFERROR(__xludf.DUMMYFUNCTION("""COMPUTED_VALUE"""),"headspace")</f>
        <v>headspace</v>
      </c>
      <c r="F113">
        <f>IFERROR(__xludf.DUMMYFUNCTION("""COMPUTED_VALUE"""),1.0)</f>
        <v>1</v>
      </c>
    </row>
    <row r="114">
      <c r="A114" t="str">
        <f>IFERROR(__xludf.DUMMYFUNCTION("""COMPUTED_VALUE"""),"juno")</f>
        <v>juno</v>
      </c>
      <c r="B114">
        <f>IFERROR(__xludf.DUMMYFUNCTION("""COMPUTED_VALUE"""),1.0)</f>
        <v>1</v>
      </c>
      <c r="E114" t="str">
        <f>IFERROR(__xludf.DUMMYFUNCTION("""COMPUTED_VALUE"""),"health_NS")</f>
        <v>health_NS</v>
      </c>
      <c r="F114">
        <f>IFERROR(__xludf.DUMMYFUNCTION("""COMPUTED_VALUE"""),1.0)</f>
        <v>1</v>
      </c>
    </row>
    <row r="115">
      <c r="A115" t="str">
        <f>IFERROR(__xludf.DUMMYFUNCTION("""COMPUTED_VALUE"""),"khan_academy")</f>
        <v>khan_academy</v>
      </c>
      <c r="B115">
        <f>IFERROR(__xludf.DUMMYFUNCTION("""COMPUTED_VALUE"""),1.0)</f>
        <v>1</v>
      </c>
      <c r="E115" t="str">
        <f>IFERROR(__xludf.DUMMYFUNCTION("""COMPUTED_VALUE"""),"hubspot")</f>
        <v>hubspot</v>
      </c>
      <c r="F115">
        <f>IFERROR(__xludf.DUMMYFUNCTION("""COMPUTED_VALUE"""),1.0)</f>
        <v>1</v>
      </c>
    </row>
    <row r="116">
      <c r="A116" t="str">
        <f>IFERROR(__xludf.DUMMYFUNCTION("""COMPUTED_VALUE"""),"killi")</f>
        <v>killi</v>
      </c>
      <c r="B116">
        <f>IFERROR(__xludf.DUMMYFUNCTION("""COMPUTED_VALUE"""),1.0)</f>
        <v>1</v>
      </c>
      <c r="E116" t="str">
        <f>IFERROR(__xludf.DUMMYFUNCTION("""COMPUTED_VALUE"""),"humble_bundle")</f>
        <v>humble_bundle</v>
      </c>
      <c r="F116">
        <f>IFERROR(__xludf.DUMMYFUNCTION("""COMPUTED_VALUE"""),1.0)</f>
        <v>1</v>
      </c>
    </row>
    <row r="117">
      <c r="A117" t="str">
        <f>IFERROR(__xludf.DUMMYFUNCTION("""COMPUTED_VALUE"""),"last_day_on_earth")</f>
        <v>last_day_on_earth</v>
      </c>
      <c r="B117">
        <f>IFERROR(__xludf.DUMMYFUNCTION("""COMPUTED_VALUE"""),1.0)</f>
        <v>1</v>
      </c>
      <c r="E117" t="str">
        <f>IFERROR(__xludf.DUMMYFUNCTION("""COMPUTED_VALUE"""),"ibotta")</f>
        <v>ibotta</v>
      </c>
      <c r="F117">
        <f>IFERROR(__xludf.DUMMYFUNCTION("""COMPUTED_VALUE"""),1.0)</f>
        <v>1</v>
      </c>
    </row>
    <row r="118">
      <c r="A118" t="str">
        <f>IFERROR(__xludf.DUMMYFUNCTION("""COMPUTED_VALUE"""),"linkedin")</f>
        <v>linkedin</v>
      </c>
      <c r="B118">
        <f>IFERROR(__xludf.DUMMYFUNCTION("""COMPUTED_VALUE"""),2.0)</f>
        <v>2</v>
      </c>
      <c r="E118" t="str">
        <f>IFERROR(__xludf.DUMMYFUNCTION("""COMPUTED_VALUE"""),"ifttt")</f>
        <v>ifttt</v>
      </c>
      <c r="F118">
        <f>IFERROR(__xludf.DUMMYFUNCTION("""COMPUTED_VALUE"""),1.0)</f>
        <v>1</v>
      </c>
    </row>
    <row r="119">
      <c r="A119" t="str">
        <f>IFERROR(__xludf.DUMMYFUNCTION("""COMPUTED_VALUE"""),"loom")</f>
        <v>loom</v>
      </c>
      <c r="B119">
        <f>IFERROR(__xludf.DUMMYFUNCTION("""COMPUTED_VALUE"""),1.0)</f>
        <v>1</v>
      </c>
      <c r="E119" t="str">
        <f>IFERROR(__xludf.DUMMYFUNCTION("""COMPUTED_VALUE"""),"infinix_hot_8")</f>
        <v>infinix_hot_8</v>
      </c>
      <c r="F119">
        <f>IFERROR(__xludf.DUMMYFUNCTION("""COMPUTED_VALUE"""),1.0)</f>
        <v>1</v>
      </c>
    </row>
    <row r="120">
      <c r="A120" t="str">
        <f>IFERROR(__xludf.DUMMYFUNCTION("""COMPUTED_VALUE"""),"loopnet")</f>
        <v>loopnet</v>
      </c>
      <c r="B120">
        <f>IFERROR(__xludf.DUMMYFUNCTION("""COMPUTED_VALUE"""),1.0)</f>
        <v>1</v>
      </c>
      <c r="E120" t="str">
        <f>IFERROR(__xludf.DUMMYFUNCTION("""COMPUTED_VALUE"""),"investing_app_NS")</f>
        <v>investing_app_NS</v>
      </c>
      <c r="F120">
        <f>IFERROR(__xludf.DUMMYFUNCTION("""COMPUTED_VALUE"""),1.0)</f>
        <v>1</v>
      </c>
    </row>
    <row r="121">
      <c r="A121" t="str">
        <f>IFERROR(__xludf.DUMMYFUNCTION("""COMPUTED_VALUE"""),"lumin_pdf")</f>
        <v>lumin_pdf</v>
      </c>
      <c r="B121">
        <f>IFERROR(__xludf.DUMMYFUNCTION("""COMPUTED_VALUE"""),2.0)</f>
        <v>2</v>
      </c>
      <c r="E121" t="str">
        <f>IFERROR(__xludf.DUMMYFUNCTION("""COMPUTED_VALUE"""),"jetbrains")</f>
        <v>jetbrains</v>
      </c>
      <c r="F121">
        <f>IFERROR(__xludf.DUMMYFUNCTION("""COMPUTED_VALUE"""),1.0)</f>
        <v>1</v>
      </c>
    </row>
    <row r="122">
      <c r="A122" t="str">
        <f>IFERROR(__xludf.DUMMYFUNCTION("""COMPUTED_VALUE"""),"mcdonalds")</f>
        <v>mcdonalds</v>
      </c>
      <c r="B122">
        <f>IFERROR(__xludf.DUMMYFUNCTION("""COMPUTED_VALUE"""),9.0)</f>
        <v>9</v>
      </c>
      <c r="E122" t="str">
        <f>IFERROR(__xludf.DUMMYFUNCTION("""COMPUTED_VALUE"""),"juno")</f>
        <v>juno</v>
      </c>
      <c r="F122">
        <f>IFERROR(__xludf.DUMMYFUNCTION("""COMPUTED_VALUE"""),1.0)</f>
        <v>1</v>
      </c>
    </row>
    <row r="123">
      <c r="A123" t="str">
        <f>IFERROR(__xludf.DUMMYFUNCTION("""COMPUTED_VALUE"""),"medium")</f>
        <v>medium</v>
      </c>
      <c r="B123">
        <f>IFERROR(__xludf.DUMMYFUNCTION("""COMPUTED_VALUE"""),1.0)</f>
        <v>1</v>
      </c>
      <c r="E123" t="str">
        <f>IFERROR(__xludf.DUMMYFUNCTION("""COMPUTED_VALUE"""),"khan_academy")</f>
        <v>khan_academy</v>
      </c>
      <c r="F123">
        <f>IFERROR(__xludf.DUMMYFUNCTION("""COMPUTED_VALUE"""),1.0)</f>
        <v>1</v>
      </c>
    </row>
    <row r="124">
      <c r="A124" t="str">
        <f>IFERROR(__xludf.DUMMYFUNCTION("""COMPUTED_VALUE"""),"messaging_NS")</f>
        <v>messaging_NS</v>
      </c>
      <c r="B124">
        <f>IFERROR(__xludf.DUMMYFUNCTION("""COMPUTED_VALUE"""),1.0)</f>
        <v>1</v>
      </c>
      <c r="E124" t="str">
        <f>IFERROR(__xludf.DUMMYFUNCTION("""COMPUTED_VALUE"""),"killi")</f>
        <v>killi</v>
      </c>
      <c r="F124">
        <f>IFERROR(__xludf.DUMMYFUNCTION("""COMPUTED_VALUE"""),1.0)</f>
        <v>1</v>
      </c>
    </row>
    <row r="125">
      <c r="A125" t="str">
        <f>IFERROR(__xludf.DUMMYFUNCTION("""COMPUTED_VALUE"""),"microsoft")</f>
        <v>microsoft</v>
      </c>
      <c r="B125">
        <f>IFERROR(__xludf.DUMMYFUNCTION("""COMPUTED_VALUE"""),2.0)</f>
        <v>2</v>
      </c>
      <c r="E125" t="str">
        <f>IFERROR(__xludf.DUMMYFUNCTION("""COMPUTED_VALUE"""),"last_day_on_earth")</f>
        <v>last_day_on_earth</v>
      </c>
      <c r="F125">
        <f>IFERROR(__xludf.DUMMYFUNCTION("""COMPUTED_VALUE"""),1.0)</f>
        <v>1</v>
      </c>
    </row>
    <row r="126">
      <c r="A126" t="str">
        <f>IFERROR(__xludf.DUMMYFUNCTION("""COMPUTED_VALUE"""),"moises")</f>
        <v>moises</v>
      </c>
      <c r="B126">
        <f>IFERROR(__xludf.DUMMYFUNCTION("""COMPUTED_VALUE"""),1.0)</f>
        <v>1</v>
      </c>
      <c r="E126" t="str">
        <f>IFERROR(__xludf.DUMMYFUNCTION("""COMPUTED_VALUE"""),"loom")</f>
        <v>loom</v>
      </c>
      <c r="F126">
        <f>IFERROR(__xludf.DUMMYFUNCTION("""COMPUTED_VALUE"""),1.0)</f>
        <v>1</v>
      </c>
    </row>
    <row r="127">
      <c r="A127" t="str">
        <f>IFERROR(__xludf.DUMMYFUNCTION("""COMPUTED_VALUE"""),"music_NS")</f>
        <v>music_NS</v>
      </c>
      <c r="B127">
        <f>IFERROR(__xludf.DUMMYFUNCTION("""COMPUTED_VALUE"""),1.0)</f>
        <v>1</v>
      </c>
      <c r="E127" t="str">
        <f>IFERROR(__xludf.DUMMYFUNCTION("""COMPUTED_VALUE"""),"loopnet")</f>
        <v>loopnet</v>
      </c>
      <c r="F127">
        <f>IFERROR(__xludf.DUMMYFUNCTION("""COMPUTED_VALUE"""),1.0)</f>
        <v>1</v>
      </c>
    </row>
    <row r="128">
      <c r="A128" t="str">
        <f>IFERROR(__xludf.DUMMYFUNCTION("""COMPUTED_VALUE"""),"nba_topshot")</f>
        <v>nba_topshot</v>
      </c>
      <c r="B128">
        <f>IFERROR(__xludf.DUMMYFUNCTION("""COMPUTED_VALUE"""),1.0)</f>
        <v>1</v>
      </c>
      <c r="E128" t="str">
        <f>IFERROR(__xludf.DUMMYFUNCTION("""COMPUTED_VALUE"""),"medium")</f>
        <v>medium</v>
      </c>
      <c r="F128">
        <f>IFERROR(__xludf.DUMMYFUNCTION("""COMPUTED_VALUE"""),1.0)</f>
        <v>1</v>
      </c>
    </row>
    <row r="129">
      <c r="A129" t="str">
        <f>IFERROR(__xludf.DUMMYFUNCTION("""COMPUTED_VALUE"""),"nest")</f>
        <v>nest</v>
      </c>
      <c r="B129">
        <f>IFERROR(__xludf.DUMMYFUNCTION("""COMPUTED_VALUE"""),2.0)</f>
        <v>2</v>
      </c>
      <c r="E129" t="str">
        <f>IFERROR(__xludf.DUMMYFUNCTION("""COMPUTED_VALUE"""),"messaging_NS")</f>
        <v>messaging_NS</v>
      </c>
      <c r="F129">
        <f>IFERROR(__xludf.DUMMYFUNCTION("""COMPUTED_VALUE"""),1.0)</f>
        <v>1</v>
      </c>
    </row>
    <row r="130">
      <c r="A130" t="str">
        <f>IFERROR(__xludf.DUMMYFUNCTION("""COMPUTED_VALUE"""),"netflix")</f>
        <v>netflix</v>
      </c>
      <c r="B130">
        <f>IFERROR(__xludf.DUMMYFUNCTION("""COMPUTED_VALUE"""),1.0)</f>
        <v>1</v>
      </c>
      <c r="E130" t="str">
        <f>IFERROR(__xludf.DUMMYFUNCTION("""COMPUTED_VALUE"""),"moises")</f>
        <v>moises</v>
      </c>
      <c r="F130">
        <f>IFERROR(__xludf.DUMMYFUNCTION("""COMPUTED_VALUE"""),1.0)</f>
        <v>1</v>
      </c>
    </row>
    <row r="131">
      <c r="A131" t="str">
        <f>IFERROR(__xludf.DUMMYFUNCTION("""COMPUTED_VALUE"""),"news_NS")</f>
        <v>news_NS</v>
      </c>
      <c r="B131">
        <f>IFERROR(__xludf.DUMMYFUNCTION("""COMPUTED_VALUE"""),4.0)</f>
        <v>4</v>
      </c>
      <c r="E131" t="str">
        <f>IFERROR(__xludf.DUMMYFUNCTION("""COMPUTED_VALUE"""),"music_NS")</f>
        <v>music_NS</v>
      </c>
      <c r="F131">
        <f>IFERROR(__xludf.DUMMYFUNCTION("""COMPUTED_VALUE"""),1.0)</f>
        <v>1</v>
      </c>
    </row>
    <row r="132">
      <c r="A132" t="str">
        <f>IFERROR(__xludf.DUMMYFUNCTION("""COMPUTED_VALUE"""),"nintendo")</f>
        <v>nintendo</v>
      </c>
      <c r="B132">
        <f>IFERROR(__xludf.DUMMYFUNCTION("""COMPUTED_VALUE"""),1.0)</f>
        <v>1</v>
      </c>
      <c r="E132" t="str">
        <f>IFERROR(__xludf.DUMMYFUNCTION("""COMPUTED_VALUE"""),"nba_topshot")</f>
        <v>nba_topshot</v>
      </c>
      <c r="F132">
        <f>IFERROR(__xludf.DUMMYFUNCTION("""COMPUTED_VALUE"""),1.0)</f>
        <v>1</v>
      </c>
    </row>
    <row r="133">
      <c r="A133" t="str">
        <f>IFERROR(__xludf.DUMMYFUNCTION("""COMPUTED_VALUE"""),"no_recall")</f>
        <v>no_recall</v>
      </c>
      <c r="B133">
        <f>IFERROR(__xludf.DUMMYFUNCTION("""COMPUTED_VALUE"""),33.0)</f>
        <v>33</v>
      </c>
      <c r="E133" t="str">
        <f>IFERROR(__xludf.DUMMYFUNCTION("""COMPUTED_VALUE"""),"netflix")</f>
        <v>netflix</v>
      </c>
      <c r="F133">
        <f>IFERROR(__xludf.DUMMYFUNCTION("""COMPUTED_VALUE"""),1.0)</f>
        <v>1</v>
      </c>
    </row>
    <row r="134">
      <c r="A134" t="str">
        <f>IFERROR(__xludf.DUMMYFUNCTION("""COMPUTED_VALUE"""),"no_sso")</f>
        <v>no_sso</v>
      </c>
      <c r="B134">
        <f>IFERROR(__xludf.DUMMYFUNCTION("""COMPUTED_VALUE"""),1.0)</f>
        <v>1</v>
      </c>
      <c r="E134" t="str">
        <f>IFERROR(__xludf.DUMMYFUNCTION("""COMPUTED_VALUE"""),"nintendo")</f>
        <v>nintendo</v>
      </c>
      <c r="F134">
        <f>IFERROR(__xludf.DUMMYFUNCTION("""COMPUTED_VALUE"""),1.0)</f>
        <v>1</v>
      </c>
    </row>
    <row r="135">
      <c r="A135" t="str">
        <f>IFERROR(__xludf.DUMMYFUNCTION("""COMPUTED_VALUE"""),"non_specific")</f>
        <v>non_specific</v>
      </c>
      <c r="B135">
        <f>IFERROR(__xludf.DUMMYFUNCTION("""COMPUTED_VALUE"""),5.0)</f>
        <v>5</v>
      </c>
      <c r="E135" t="str">
        <f>IFERROR(__xludf.DUMMYFUNCTION("""COMPUTED_VALUE"""),"no_sso")</f>
        <v>no_sso</v>
      </c>
      <c r="F135">
        <f>IFERROR(__xludf.DUMMYFUNCTION("""COMPUTED_VALUE"""),1.0)</f>
        <v>1</v>
      </c>
    </row>
    <row r="136">
      <c r="A136" t="str">
        <f>IFERROR(__xludf.DUMMYFUNCTION("""COMPUTED_VALUE"""),"notion")</f>
        <v>notion</v>
      </c>
      <c r="B136">
        <f>IFERROR(__xludf.DUMMYFUNCTION("""COMPUTED_VALUE"""),1.0)</f>
        <v>1</v>
      </c>
      <c r="E136" t="str">
        <f>IFERROR(__xludf.DUMMYFUNCTION("""COMPUTED_VALUE"""),"notion")</f>
        <v>notion</v>
      </c>
      <c r="F136">
        <f>IFERROR(__xludf.DUMMYFUNCTION("""COMPUTED_VALUE"""),1.0)</f>
        <v>1</v>
      </c>
    </row>
    <row r="137">
      <c r="A137" t="str">
        <f>IFERROR(__xludf.DUMMYFUNCTION("""COMPUTED_VALUE"""),"nvidia")</f>
        <v>nvidia</v>
      </c>
      <c r="B137">
        <f>IFERROR(__xludf.DUMMYFUNCTION("""COMPUTED_VALUE"""),1.0)</f>
        <v>1</v>
      </c>
      <c r="E137" t="str">
        <f>IFERROR(__xludf.DUMMYFUNCTION("""COMPUTED_VALUE"""),"nvidia")</f>
        <v>nvidia</v>
      </c>
      <c r="F137">
        <f>IFERROR(__xludf.DUMMYFUNCTION("""COMPUTED_VALUE"""),1.0)</f>
        <v>1</v>
      </c>
    </row>
    <row r="138">
      <c r="A138" t="str">
        <f>IFERROR(__xludf.DUMMYFUNCTION("""COMPUTED_VALUE"""),"offerup")</f>
        <v>offerup</v>
      </c>
      <c r="B138">
        <f>IFERROR(__xludf.DUMMYFUNCTION("""COMPUTED_VALUE"""),2.0)</f>
        <v>2</v>
      </c>
      <c r="E138" t="str">
        <f>IFERROR(__xludf.DUMMYFUNCTION("""COMPUTED_VALUE"""),"pbs")</f>
        <v>pbs</v>
      </c>
      <c r="F138">
        <f>IFERROR(__xludf.DUMMYFUNCTION("""COMPUTED_VALUE"""),1.0)</f>
        <v>1</v>
      </c>
    </row>
    <row r="139">
      <c r="A139" t="str">
        <f>IFERROR(__xludf.DUMMYFUNCTION("""COMPUTED_VALUE"""),"other_survey")</f>
        <v>other_survey</v>
      </c>
      <c r="B139">
        <f>IFERROR(__xludf.DUMMYFUNCTION("""COMPUTED_VALUE"""),2.0)</f>
        <v>2</v>
      </c>
      <c r="E139" t="str">
        <f>IFERROR(__xludf.DUMMYFUNCTION("""COMPUTED_VALUE"""),"pdf_editor")</f>
        <v>pdf_editor</v>
      </c>
      <c r="F139">
        <f>IFERROR(__xludf.DUMMYFUNCTION("""COMPUTED_VALUE"""),1.0)</f>
        <v>1</v>
      </c>
    </row>
    <row r="140">
      <c r="A140" t="str">
        <f>IFERROR(__xludf.DUMMYFUNCTION("""COMPUTED_VALUE"""),"paypal")</f>
        <v>paypal</v>
      </c>
      <c r="B140">
        <f>IFERROR(__xludf.DUMMYFUNCTION("""COMPUTED_VALUE"""),7.0)</f>
        <v>7</v>
      </c>
      <c r="E140" t="str">
        <f>IFERROR(__xludf.DUMMYFUNCTION("""COMPUTED_VALUE"""),"phemex")</f>
        <v>phemex</v>
      </c>
      <c r="F140">
        <f>IFERROR(__xludf.DUMMYFUNCTION("""COMPUTED_VALUE"""),1.0)</f>
        <v>1</v>
      </c>
    </row>
    <row r="141">
      <c r="A141" t="str">
        <f>IFERROR(__xludf.DUMMYFUNCTION("""COMPUTED_VALUE"""),"pbs")</f>
        <v>pbs</v>
      </c>
      <c r="B141">
        <f>IFERROR(__xludf.DUMMYFUNCTION("""COMPUTED_VALUE"""),1.0)</f>
        <v>1</v>
      </c>
      <c r="E141" t="str">
        <f>IFERROR(__xludf.DUMMYFUNCTION("""COMPUTED_VALUE"""),"pixiv")</f>
        <v>pixiv</v>
      </c>
      <c r="F141">
        <f>IFERROR(__xludf.DUMMYFUNCTION("""COMPUTED_VALUE"""),1.0)</f>
        <v>1</v>
      </c>
    </row>
    <row r="142">
      <c r="A142" t="str">
        <f>IFERROR(__xludf.DUMMYFUNCTION("""COMPUTED_VALUE"""),"pdf_editor")</f>
        <v>pdf_editor</v>
      </c>
      <c r="B142">
        <f>IFERROR(__xludf.DUMMYFUNCTION("""COMPUTED_VALUE"""),1.0)</f>
        <v>1</v>
      </c>
      <c r="E142" t="str">
        <f>IFERROR(__xludf.DUMMYFUNCTION("""COMPUTED_VALUE"""),"player_auctions")</f>
        <v>player_auctions</v>
      </c>
      <c r="F142">
        <f>IFERROR(__xludf.DUMMYFUNCTION("""COMPUTED_VALUE"""),1.0)</f>
        <v>1</v>
      </c>
    </row>
    <row r="143">
      <c r="A143" t="str">
        <f>IFERROR(__xludf.DUMMYFUNCTION("""COMPUTED_VALUE"""),"phemex")</f>
        <v>phemex</v>
      </c>
      <c r="B143">
        <f>IFERROR(__xludf.DUMMYFUNCTION("""COMPUTED_VALUE"""),1.0)</f>
        <v>1</v>
      </c>
      <c r="E143" t="str">
        <f>IFERROR(__xludf.DUMMYFUNCTION("""COMPUTED_VALUE"""),"pomofocus")</f>
        <v>pomofocus</v>
      </c>
      <c r="F143">
        <f>IFERROR(__xludf.DUMMYFUNCTION("""COMPUTED_VALUE"""),1.0)</f>
        <v>1</v>
      </c>
    </row>
    <row r="144">
      <c r="A144" t="str">
        <f>IFERROR(__xludf.DUMMYFUNCTION("""COMPUTED_VALUE"""),"pinterest")</f>
        <v>pinterest</v>
      </c>
      <c r="B144">
        <f>IFERROR(__xludf.DUMMYFUNCTION("""COMPUTED_VALUE"""),11.0)</f>
        <v>11</v>
      </c>
      <c r="E144" t="str">
        <f>IFERROR(__xludf.DUMMYFUNCTION("""COMPUTED_VALUE"""),"printify")</f>
        <v>printify</v>
      </c>
      <c r="F144">
        <f>IFERROR(__xludf.DUMMYFUNCTION("""COMPUTED_VALUE"""),1.0)</f>
        <v>1</v>
      </c>
    </row>
    <row r="145">
      <c r="A145" t="str">
        <f>IFERROR(__xludf.DUMMYFUNCTION("""COMPUTED_VALUE"""),"pixiv")</f>
        <v>pixiv</v>
      </c>
      <c r="B145">
        <f>IFERROR(__xludf.DUMMYFUNCTION("""COMPUTED_VALUE"""),1.0)</f>
        <v>1</v>
      </c>
      <c r="E145" t="str">
        <f>IFERROR(__xludf.DUMMYFUNCTION("""COMPUTED_VALUE"""),"rakuten")</f>
        <v>rakuten</v>
      </c>
      <c r="F145">
        <f>IFERROR(__xludf.DUMMYFUNCTION("""COMPUTED_VALUE"""),1.0)</f>
        <v>1</v>
      </c>
    </row>
    <row r="146">
      <c r="A146" t="str">
        <f>IFERROR(__xludf.DUMMYFUNCTION("""COMPUTED_VALUE"""),"player_auctions")</f>
        <v>player_auctions</v>
      </c>
      <c r="B146">
        <f>IFERROR(__xludf.DUMMYFUNCTION("""COMPUTED_VALUE"""),1.0)</f>
        <v>1</v>
      </c>
      <c r="E146" t="str">
        <f>IFERROR(__xludf.DUMMYFUNCTION("""COMPUTED_VALUE"""),"receipt_hog")</f>
        <v>receipt_hog</v>
      </c>
      <c r="F146">
        <f>IFERROR(__xludf.DUMMYFUNCTION("""COMPUTED_VALUE"""),1.0)</f>
        <v>1</v>
      </c>
    </row>
    <row r="147">
      <c r="A147" t="str">
        <f>IFERROR(__xludf.DUMMYFUNCTION("""COMPUTED_VALUE"""),"pokemon_go")</f>
        <v>pokemon_go</v>
      </c>
      <c r="B147">
        <f>IFERROR(__xludf.DUMMYFUNCTION("""COMPUTED_VALUE"""),5.0)</f>
        <v>5</v>
      </c>
      <c r="E147" t="str">
        <f>IFERROR(__xludf.DUMMYFUNCTION("""COMPUTED_VALUE"""),"red_robin")</f>
        <v>red_robin</v>
      </c>
      <c r="F147">
        <f>IFERROR(__xludf.DUMMYFUNCTION("""COMPUTED_VALUE"""),1.0)</f>
        <v>1</v>
      </c>
    </row>
    <row r="148">
      <c r="A148" t="str">
        <f>IFERROR(__xludf.DUMMYFUNCTION("""COMPUTED_VALUE"""),"pomofocus")</f>
        <v>pomofocus</v>
      </c>
      <c r="B148">
        <f>IFERROR(__xludf.DUMMYFUNCTION("""COMPUTED_VALUE"""),1.0)</f>
        <v>1</v>
      </c>
      <c r="E148" t="str">
        <f>IFERROR(__xludf.DUMMYFUNCTION("""COMPUTED_VALUE"""),"reedsy")</f>
        <v>reedsy</v>
      </c>
      <c r="F148">
        <f>IFERROR(__xludf.DUMMYFUNCTION("""COMPUTED_VALUE"""),1.0)</f>
        <v>1</v>
      </c>
    </row>
    <row r="149">
      <c r="A149" t="str">
        <f>IFERROR(__xludf.DUMMYFUNCTION("""COMPUTED_VALUE"""),"poshmark")</f>
        <v>poshmark</v>
      </c>
      <c r="B149">
        <f>IFERROR(__xludf.DUMMYFUNCTION("""COMPUTED_VALUE"""),4.0)</f>
        <v>4</v>
      </c>
      <c r="E149" t="str">
        <f>IFERROR(__xludf.DUMMYFUNCTION("""COMPUTED_VALUE"""),"remini")</f>
        <v>remini</v>
      </c>
      <c r="F149">
        <f>IFERROR(__xludf.DUMMYFUNCTION("""COMPUTED_VALUE"""),1.0)</f>
        <v>1</v>
      </c>
    </row>
    <row r="150">
      <c r="A150" t="str">
        <f>IFERROR(__xludf.DUMMYFUNCTION("""COMPUTED_VALUE"""),"printify")</f>
        <v>printify</v>
      </c>
      <c r="B150">
        <f>IFERROR(__xludf.DUMMYFUNCTION("""COMPUTED_VALUE"""),1.0)</f>
        <v>1</v>
      </c>
      <c r="E150" t="str">
        <f>IFERROR(__xludf.DUMMYFUNCTION("""COMPUTED_VALUE"""),"reviews_NS")</f>
        <v>reviews_NS</v>
      </c>
      <c r="F150">
        <f>IFERROR(__xludf.DUMMYFUNCTION("""COMPUTED_VALUE"""),1.0)</f>
        <v>1</v>
      </c>
    </row>
    <row r="151">
      <c r="A151" t="str">
        <f>IFERROR(__xludf.DUMMYFUNCTION("""COMPUTED_VALUE"""),"quizlet")</f>
        <v>quizlet</v>
      </c>
      <c r="B151">
        <f>IFERROR(__xludf.DUMMYFUNCTION("""COMPUTED_VALUE"""),2.0)</f>
        <v>2</v>
      </c>
      <c r="E151" t="str">
        <f>IFERROR(__xludf.DUMMYFUNCTION("""COMPUTED_VALUE"""),"samsung_shop")</f>
        <v>samsung_shop</v>
      </c>
      <c r="F151">
        <f>IFERROR(__xludf.DUMMYFUNCTION("""COMPUTED_VALUE"""),1.0)</f>
        <v>1</v>
      </c>
    </row>
    <row r="152">
      <c r="A152" t="str">
        <f>IFERROR(__xludf.DUMMYFUNCTION("""COMPUTED_VALUE"""),"quora")</f>
        <v>quora</v>
      </c>
      <c r="B152">
        <f>IFERROR(__xludf.DUMMYFUNCTION("""COMPUTED_VALUE"""),5.0)</f>
        <v>5</v>
      </c>
      <c r="E152" t="str">
        <f>IFERROR(__xludf.DUMMYFUNCTION("""COMPUTED_VALUE"""),"schoology")</f>
        <v>schoology</v>
      </c>
      <c r="F152">
        <f>IFERROR(__xludf.DUMMYFUNCTION("""COMPUTED_VALUE"""),1.0)</f>
        <v>1</v>
      </c>
    </row>
    <row r="153">
      <c r="A153" t="str">
        <f>IFERROR(__xludf.DUMMYFUNCTION("""COMPUTED_VALUE"""),"rakuten")</f>
        <v>rakuten</v>
      </c>
      <c r="B153">
        <f>IFERROR(__xludf.DUMMYFUNCTION("""COMPUTED_VALUE"""),1.0)</f>
        <v>1</v>
      </c>
      <c r="E153" t="str">
        <f>IFERROR(__xludf.DUMMYFUNCTION("""COMPUTED_VALUE"""),"sciencv")</f>
        <v>sciencv</v>
      </c>
      <c r="F153">
        <f>IFERROR(__xludf.DUMMYFUNCTION("""COMPUTED_VALUE"""),1.0)</f>
        <v>1</v>
      </c>
    </row>
    <row r="154">
      <c r="A154" t="str">
        <f>IFERROR(__xludf.DUMMYFUNCTION("""COMPUTED_VALUE"""),"realtor_com")</f>
        <v>realtor_com</v>
      </c>
      <c r="B154">
        <f>IFERROR(__xludf.DUMMYFUNCTION("""COMPUTED_VALUE"""),2.0)</f>
        <v>2</v>
      </c>
      <c r="E154" t="str">
        <f>IFERROR(__xludf.DUMMYFUNCTION("""COMPUTED_VALUE"""),"security_NS")</f>
        <v>security_NS</v>
      </c>
      <c r="F154">
        <f>IFERROR(__xludf.DUMMYFUNCTION("""COMPUTED_VALUE"""),1.0)</f>
        <v>1</v>
      </c>
    </row>
    <row r="155">
      <c r="A155" t="str">
        <f>IFERROR(__xludf.DUMMYFUNCTION("""COMPUTED_VALUE"""),"receipt_hog")</f>
        <v>receipt_hog</v>
      </c>
      <c r="B155">
        <f>IFERROR(__xludf.DUMMYFUNCTION("""COMPUTED_VALUE"""),1.0)</f>
        <v>1</v>
      </c>
      <c r="E155" t="str">
        <f>IFERROR(__xludf.DUMMYFUNCTION("""COMPUTED_VALUE"""),"seesaw")</f>
        <v>seesaw</v>
      </c>
      <c r="F155">
        <f>IFERROR(__xludf.DUMMYFUNCTION("""COMPUTED_VALUE"""),1.0)</f>
        <v>1</v>
      </c>
    </row>
    <row r="156">
      <c r="A156" t="str">
        <f>IFERROR(__xludf.DUMMYFUNCTION("""COMPUTED_VALUE"""),"red_robin")</f>
        <v>red_robin</v>
      </c>
      <c r="B156">
        <f>IFERROR(__xludf.DUMMYFUNCTION("""COMPUTED_VALUE"""),1.0)</f>
        <v>1</v>
      </c>
      <c r="E156" t="str">
        <f>IFERROR(__xludf.DUMMYFUNCTION("""COMPUTED_VALUE"""),"shopify")</f>
        <v>shopify</v>
      </c>
      <c r="F156">
        <f>IFERROR(__xludf.DUMMYFUNCTION("""COMPUTED_VALUE"""),1.0)</f>
        <v>1</v>
      </c>
    </row>
    <row r="157">
      <c r="A157" t="str">
        <f>IFERROR(__xludf.DUMMYFUNCTION("""COMPUTED_VALUE"""),"reddit")</f>
        <v>reddit</v>
      </c>
      <c r="B157">
        <f>IFERROR(__xludf.DUMMYFUNCTION("""COMPUTED_VALUE"""),10.0)</f>
        <v>10</v>
      </c>
      <c r="E157" t="str">
        <f>IFERROR(__xludf.DUMMYFUNCTION("""COMPUTED_VALUE"""),"simplifi")</f>
        <v>simplifi</v>
      </c>
      <c r="F157">
        <f>IFERROR(__xludf.DUMMYFUNCTION("""COMPUTED_VALUE"""),1.0)</f>
        <v>1</v>
      </c>
    </row>
    <row r="158">
      <c r="A158" t="str">
        <f>IFERROR(__xludf.DUMMYFUNCTION("""COMPUTED_VALUE"""),"reedsy")</f>
        <v>reedsy</v>
      </c>
      <c r="B158">
        <f>IFERROR(__xludf.DUMMYFUNCTION("""COMPUTED_VALUE"""),1.0)</f>
        <v>1</v>
      </c>
      <c r="E158" t="str">
        <f>IFERROR(__xludf.DUMMYFUNCTION("""COMPUTED_VALUE"""),"slack")</f>
        <v>slack</v>
      </c>
      <c r="F158">
        <f>IFERROR(__xludf.DUMMYFUNCTION("""COMPUTED_VALUE"""),1.0)</f>
        <v>1</v>
      </c>
    </row>
    <row r="159">
      <c r="A159" t="str">
        <f>IFERROR(__xludf.DUMMYFUNCTION("""COMPUTED_VALUE"""),"remini")</f>
        <v>remini</v>
      </c>
      <c r="B159">
        <f>IFERROR(__xludf.DUMMYFUNCTION("""COMPUTED_VALUE"""),1.0)</f>
        <v>1</v>
      </c>
      <c r="E159" t="str">
        <f>IFERROR(__xludf.DUMMYFUNCTION("""COMPUTED_VALUE"""),"snapchat")</f>
        <v>snapchat</v>
      </c>
      <c r="F159">
        <f>IFERROR(__xludf.DUMMYFUNCTION("""COMPUTED_VALUE"""),1.0)</f>
        <v>1</v>
      </c>
    </row>
    <row r="160">
      <c r="A160" t="str">
        <f>IFERROR(__xludf.DUMMYFUNCTION("""COMPUTED_VALUE"""),"restaurant_NS")</f>
        <v>restaurant_NS</v>
      </c>
      <c r="B160">
        <f>IFERROR(__xludf.DUMMYFUNCTION("""COMPUTED_VALUE"""),5.0)</f>
        <v>5</v>
      </c>
      <c r="E160" t="str">
        <f>IFERROR(__xludf.DUMMYFUNCTION("""COMPUTED_VALUE"""),"songsterr")</f>
        <v>songsterr</v>
      </c>
      <c r="F160">
        <f>IFERROR(__xludf.DUMMYFUNCTION("""COMPUTED_VALUE"""),1.0)</f>
        <v>1</v>
      </c>
    </row>
    <row r="161">
      <c r="A161" t="str">
        <f>IFERROR(__xludf.DUMMYFUNCTION("""COMPUTED_VALUE"""),"reviews_NS")</f>
        <v>reviews_NS</v>
      </c>
      <c r="B161">
        <f>IFERROR(__xludf.DUMMYFUNCTION("""COMPUTED_VALUE"""),1.0)</f>
        <v>1</v>
      </c>
      <c r="E161" t="str">
        <f>IFERROR(__xludf.DUMMYFUNCTION("""COMPUTED_VALUE"""),"sprout")</f>
        <v>sprout</v>
      </c>
      <c r="F161">
        <f>IFERROR(__xludf.DUMMYFUNCTION("""COMPUTED_VALUE"""),1.0)</f>
        <v>1</v>
      </c>
    </row>
    <row r="162">
      <c r="A162" t="str">
        <f>IFERROR(__xludf.DUMMYFUNCTION("""COMPUTED_VALUE"""),"samsung_shop")</f>
        <v>samsung_shop</v>
      </c>
      <c r="B162">
        <f>IFERROR(__xludf.DUMMYFUNCTION("""COMPUTED_VALUE"""),1.0)</f>
        <v>1</v>
      </c>
      <c r="E162" t="str">
        <f>IFERROR(__xludf.DUMMYFUNCTION("""COMPUTED_VALUE"""),"star_wars_galaxy_of_heroes")</f>
        <v>star_wars_galaxy_of_heroes</v>
      </c>
      <c r="F162">
        <f>IFERROR(__xludf.DUMMYFUNCTION("""COMPUTED_VALUE"""),1.0)</f>
        <v>1</v>
      </c>
    </row>
    <row r="163">
      <c r="A163" t="str">
        <f>IFERROR(__xludf.DUMMYFUNCTION("""COMPUTED_VALUE"""),"schoology")</f>
        <v>schoology</v>
      </c>
      <c r="B163">
        <f>IFERROR(__xludf.DUMMYFUNCTION("""COMPUTED_VALUE"""),1.0)</f>
        <v>1</v>
      </c>
      <c r="E163" t="str">
        <f>IFERROR(__xludf.DUMMYFUNCTION("""COMPUTED_VALUE"""),"stitch_fix")</f>
        <v>stitch_fix</v>
      </c>
      <c r="F163">
        <f>IFERROR(__xludf.DUMMYFUNCTION("""COMPUTED_VALUE"""),1.0)</f>
        <v>1</v>
      </c>
    </row>
    <row r="164">
      <c r="A164" t="str">
        <f>IFERROR(__xludf.DUMMYFUNCTION("""COMPUTED_VALUE"""),"sciencv")</f>
        <v>sciencv</v>
      </c>
      <c r="B164">
        <f>IFERROR(__xludf.DUMMYFUNCTION("""COMPUTED_VALUE"""),1.0)</f>
        <v>1</v>
      </c>
      <c r="E164" t="str">
        <f>IFERROR(__xludf.DUMMYFUNCTION("""COMPUTED_VALUE"""),"stock-photos")</f>
        <v>stock-photos</v>
      </c>
      <c r="F164">
        <f>IFERROR(__xludf.DUMMYFUNCTION("""COMPUTED_VALUE"""),1.0)</f>
        <v>1</v>
      </c>
    </row>
    <row r="165">
      <c r="A165" t="str">
        <f>IFERROR(__xludf.DUMMYFUNCTION("""COMPUTED_VALUE"""),"security_NS")</f>
        <v>security_NS</v>
      </c>
      <c r="B165">
        <f>IFERROR(__xludf.DUMMYFUNCTION("""COMPUTED_VALUE"""),1.0)</f>
        <v>1</v>
      </c>
      <c r="E165" t="str">
        <f>IFERROR(__xludf.DUMMYFUNCTION("""COMPUTED_VALUE"""),"stockx")</f>
        <v>stockx</v>
      </c>
      <c r="F165">
        <f>IFERROR(__xludf.DUMMYFUNCTION("""COMPUTED_VALUE"""),1.0)</f>
        <v>1</v>
      </c>
    </row>
    <row r="166">
      <c r="A166" t="str">
        <f>IFERROR(__xludf.DUMMYFUNCTION("""COMPUTED_VALUE"""),"seesaw")</f>
        <v>seesaw</v>
      </c>
      <c r="B166">
        <f>IFERROR(__xludf.DUMMYFUNCTION("""COMPUTED_VALUE"""),1.0)</f>
        <v>1</v>
      </c>
      <c r="E166" t="str">
        <f>IFERROR(__xludf.DUMMYFUNCTION("""COMPUTED_VALUE"""),"strava")</f>
        <v>strava</v>
      </c>
      <c r="F166">
        <f>IFERROR(__xludf.DUMMYFUNCTION("""COMPUTED_VALUE"""),1.0)</f>
        <v>1</v>
      </c>
    </row>
    <row r="167">
      <c r="A167" t="str">
        <f>IFERROR(__xludf.DUMMYFUNCTION("""COMPUTED_VALUE"""),"shein")</f>
        <v>shein</v>
      </c>
      <c r="B167">
        <f>IFERROR(__xludf.DUMMYFUNCTION("""COMPUTED_VALUE"""),3.0)</f>
        <v>3</v>
      </c>
      <c r="E167" t="str">
        <f>IFERROR(__xludf.DUMMYFUNCTION("""COMPUTED_VALUE"""),"streeteasy")</f>
        <v>streeteasy</v>
      </c>
      <c r="F167">
        <f>IFERROR(__xludf.DUMMYFUNCTION("""COMPUTED_VALUE"""),1.0)</f>
        <v>1</v>
      </c>
    </row>
    <row r="168">
      <c r="A168" t="str">
        <f>IFERROR(__xludf.DUMMYFUNCTION("""COMPUTED_VALUE"""),"shopify")</f>
        <v>shopify</v>
      </c>
      <c r="B168">
        <f>IFERROR(__xludf.DUMMYFUNCTION("""COMPUTED_VALUE"""),1.0)</f>
        <v>1</v>
      </c>
      <c r="E168" t="str">
        <f>IFERROR(__xludf.DUMMYFUNCTION("""COMPUTED_VALUE"""),"tapas_io")</f>
        <v>tapas_io</v>
      </c>
      <c r="F168">
        <f>IFERROR(__xludf.DUMMYFUNCTION("""COMPUTED_VALUE"""),1.0)</f>
        <v>1</v>
      </c>
    </row>
    <row r="169">
      <c r="A169" t="str">
        <f>IFERROR(__xludf.DUMMYFUNCTION("""COMPUTED_VALUE"""),"shopping_NS")</f>
        <v>shopping_NS</v>
      </c>
      <c r="B169">
        <f>IFERROR(__xludf.DUMMYFUNCTION("""COMPUTED_VALUE"""),9.0)</f>
        <v>9</v>
      </c>
      <c r="E169" t="str">
        <f>IFERROR(__xludf.DUMMYFUNCTION("""COMPUTED_VALUE"""),"text_now")</f>
        <v>text_now</v>
      </c>
      <c r="F169">
        <f>IFERROR(__xludf.DUMMYFUNCTION("""COMPUTED_VALUE"""),1.0)</f>
        <v>1</v>
      </c>
    </row>
    <row r="170">
      <c r="A170" t="str">
        <f>IFERROR(__xludf.DUMMYFUNCTION("""COMPUTED_VALUE"""),"simplifi")</f>
        <v>simplifi</v>
      </c>
      <c r="B170">
        <f>IFERROR(__xludf.DUMMYFUNCTION("""COMPUTED_VALUE"""),1.0)</f>
        <v>1</v>
      </c>
      <c r="E170" t="str">
        <f>IFERROR(__xludf.DUMMYFUNCTION("""COMPUTED_VALUE"""),"the_real_real")</f>
        <v>the_real_real</v>
      </c>
      <c r="F170">
        <f>IFERROR(__xludf.DUMMYFUNCTION("""COMPUTED_VALUE"""),1.0)</f>
        <v>1</v>
      </c>
    </row>
    <row r="171">
      <c r="A171" t="str">
        <f>IFERROR(__xludf.DUMMYFUNCTION("""COMPUTED_VALUE"""),"slack")</f>
        <v>slack</v>
      </c>
      <c r="B171">
        <f>IFERROR(__xludf.DUMMYFUNCTION("""COMPUTED_VALUE"""),1.0)</f>
        <v>1</v>
      </c>
      <c r="E171" t="str">
        <f>IFERROR(__xludf.DUMMYFUNCTION("""COMPUTED_VALUE"""),"thingiverse")</f>
        <v>thingiverse</v>
      </c>
      <c r="F171">
        <f>IFERROR(__xludf.DUMMYFUNCTION("""COMPUTED_VALUE"""),1.0)</f>
        <v>1</v>
      </c>
    </row>
    <row r="172">
      <c r="A172" t="str">
        <f>IFERROR(__xludf.DUMMYFUNCTION("""COMPUTED_VALUE"""),"snapchat")</f>
        <v>snapchat</v>
      </c>
      <c r="B172">
        <f>IFERROR(__xludf.DUMMYFUNCTION("""COMPUTED_VALUE"""),1.0)</f>
        <v>1</v>
      </c>
      <c r="E172" t="str">
        <f>IFERROR(__xludf.DUMMYFUNCTION("""COMPUTED_VALUE"""),"thredup")</f>
        <v>thredup</v>
      </c>
      <c r="F172">
        <f>IFERROR(__xludf.DUMMYFUNCTION("""COMPUTED_VALUE"""),1.0)</f>
        <v>1</v>
      </c>
    </row>
    <row r="173">
      <c r="A173" t="str">
        <f>IFERROR(__xludf.DUMMYFUNCTION("""COMPUTED_VALUE"""),"social_media")</f>
        <v>social_media</v>
      </c>
      <c r="B173">
        <f>IFERROR(__xludf.DUMMYFUNCTION("""COMPUTED_VALUE"""),2.0)</f>
        <v>2</v>
      </c>
      <c r="E173" t="str">
        <f>IFERROR(__xludf.DUMMYFUNCTION("""COMPUTED_VALUE"""),"tiktok")</f>
        <v>tiktok</v>
      </c>
      <c r="F173">
        <f>IFERROR(__xludf.DUMMYFUNCTION("""COMPUTED_VALUE"""),1.0)</f>
        <v>1</v>
      </c>
    </row>
    <row r="174">
      <c r="A174" t="str">
        <f>IFERROR(__xludf.DUMMYFUNCTION("""COMPUTED_VALUE"""),"songsterr")</f>
        <v>songsterr</v>
      </c>
      <c r="B174">
        <f>IFERROR(__xludf.DUMMYFUNCTION("""COMPUTED_VALUE"""),1.0)</f>
        <v>1</v>
      </c>
      <c r="E174" t="str">
        <f>IFERROR(__xludf.DUMMYFUNCTION("""COMPUTED_VALUE"""),"tinder")</f>
        <v>tinder</v>
      </c>
      <c r="F174">
        <f>IFERROR(__xludf.DUMMYFUNCTION("""COMPUTED_VALUE"""),1.0)</f>
        <v>1</v>
      </c>
    </row>
    <row r="175">
      <c r="A175" t="str">
        <f>IFERROR(__xludf.DUMMYFUNCTION("""COMPUTED_VALUE"""),"spotify")</f>
        <v>spotify</v>
      </c>
      <c r="B175">
        <f>IFERROR(__xludf.DUMMYFUNCTION("""COMPUTED_VALUE"""),3.0)</f>
        <v>3</v>
      </c>
      <c r="E175" t="str">
        <f>IFERROR(__xludf.DUMMYFUNCTION("""COMPUTED_VALUE"""),"tynker")</f>
        <v>tynker</v>
      </c>
      <c r="F175">
        <f>IFERROR(__xludf.DUMMYFUNCTION("""COMPUTED_VALUE"""),1.0)</f>
        <v>1</v>
      </c>
    </row>
    <row r="176">
      <c r="A176" t="str">
        <f>IFERROR(__xludf.DUMMYFUNCTION("""COMPUTED_VALUE"""),"sprout")</f>
        <v>sprout</v>
      </c>
      <c r="B176">
        <f>IFERROR(__xludf.DUMMYFUNCTION("""COMPUTED_VALUE"""),1.0)</f>
        <v>1</v>
      </c>
      <c r="E176" t="str">
        <f>IFERROR(__xludf.DUMMYFUNCTION("""COMPUTED_VALUE"""),"uber")</f>
        <v>uber</v>
      </c>
      <c r="F176">
        <f>IFERROR(__xludf.DUMMYFUNCTION("""COMPUTED_VALUE"""),1.0)</f>
        <v>1</v>
      </c>
    </row>
    <row r="177">
      <c r="A177" t="str">
        <f>IFERROR(__xludf.DUMMYFUNCTION("""COMPUTED_VALUE"""),"star_wars_galaxy_of_heroes")</f>
        <v>star_wars_galaxy_of_heroes</v>
      </c>
      <c r="B177">
        <f>IFERROR(__xludf.DUMMYFUNCTION("""COMPUTED_VALUE"""),1.0)</f>
        <v>1</v>
      </c>
      <c r="E177" t="str">
        <f>IFERROR(__xludf.DUMMYFUNCTION("""COMPUTED_VALUE"""),"upvoice")</f>
        <v>upvoice</v>
      </c>
      <c r="F177">
        <f>IFERROR(__xludf.DUMMYFUNCTION("""COMPUTED_VALUE"""),1.0)</f>
        <v>1</v>
      </c>
    </row>
    <row r="178">
      <c r="A178" t="str">
        <f>IFERROR(__xludf.DUMMYFUNCTION("""COMPUTED_VALUE"""),"stitch_fix")</f>
        <v>stitch_fix</v>
      </c>
      <c r="B178">
        <f>IFERROR(__xludf.DUMMYFUNCTION("""COMPUTED_VALUE"""),1.0)</f>
        <v>1</v>
      </c>
      <c r="E178" t="str">
        <f>IFERROR(__xludf.DUMMYFUNCTION("""COMPUTED_VALUE"""),"vagaro")</f>
        <v>vagaro</v>
      </c>
      <c r="F178">
        <f>IFERROR(__xludf.DUMMYFUNCTION("""COMPUTED_VALUE"""),1.0)</f>
        <v>1</v>
      </c>
    </row>
    <row r="179">
      <c r="A179" t="str">
        <f>IFERROR(__xludf.DUMMYFUNCTION("""COMPUTED_VALUE"""),"stock-photos")</f>
        <v>stock-photos</v>
      </c>
      <c r="B179">
        <f>IFERROR(__xludf.DUMMYFUNCTION("""COMPUTED_VALUE"""),1.0)</f>
        <v>1</v>
      </c>
      <c r="E179" t="str">
        <f>IFERROR(__xludf.DUMMYFUNCTION("""COMPUTED_VALUE"""),"valorant")</f>
        <v>valorant</v>
      </c>
      <c r="F179">
        <f>IFERROR(__xludf.DUMMYFUNCTION("""COMPUTED_VALUE"""),1.0)</f>
        <v>1</v>
      </c>
    </row>
    <row r="180">
      <c r="A180" t="str">
        <f>IFERROR(__xludf.DUMMYFUNCTION("""COMPUTED_VALUE"""),"stockx")</f>
        <v>stockx</v>
      </c>
      <c r="B180">
        <f>IFERROR(__xludf.DUMMYFUNCTION("""COMPUTED_VALUE"""),1.0)</f>
        <v>1</v>
      </c>
      <c r="E180" t="str">
        <f>IFERROR(__xludf.DUMMYFUNCTION("""COMPUTED_VALUE"""),"visa_fast_pay")</f>
        <v>visa_fast_pay</v>
      </c>
      <c r="F180">
        <f>IFERROR(__xludf.DUMMYFUNCTION("""COMPUTED_VALUE"""),1.0)</f>
        <v>1</v>
      </c>
    </row>
    <row r="181">
      <c r="A181" t="str">
        <f>IFERROR(__xludf.DUMMYFUNCTION("""COMPUTED_VALUE"""),"strava")</f>
        <v>strava</v>
      </c>
      <c r="B181">
        <f>IFERROR(__xludf.DUMMYFUNCTION("""COMPUTED_VALUE"""),1.0)</f>
        <v>1</v>
      </c>
      <c r="E181" t="str">
        <f>IFERROR(__xludf.DUMMYFUNCTION("""COMPUTED_VALUE"""),"wall_street_journal")</f>
        <v>wall_street_journal</v>
      </c>
      <c r="F181">
        <f>IFERROR(__xludf.DUMMYFUNCTION("""COMPUTED_VALUE"""),1.0)</f>
        <v>1</v>
      </c>
    </row>
    <row r="182">
      <c r="A182" t="str">
        <f>IFERROR(__xludf.DUMMYFUNCTION("""COMPUTED_VALUE"""),"streeteasy")</f>
        <v>streeteasy</v>
      </c>
      <c r="B182">
        <f>IFERROR(__xludf.DUMMYFUNCTION("""COMPUTED_VALUE"""),1.0)</f>
        <v>1</v>
      </c>
      <c r="E182" t="str">
        <f>IFERROR(__xludf.DUMMYFUNCTION("""COMPUTED_VALUE"""),"wax_io")</f>
        <v>wax_io</v>
      </c>
      <c r="F182">
        <f>IFERROR(__xludf.DUMMYFUNCTION("""COMPUTED_VALUE"""),1.0)</f>
        <v>1</v>
      </c>
    </row>
    <row r="183">
      <c r="A183" t="str">
        <f>IFERROR(__xludf.DUMMYFUNCTION("""COMPUTED_VALUE"""),"talking_points")</f>
        <v>talking_points</v>
      </c>
      <c r="B183">
        <f>IFERROR(__xludf.DUMMYFUNCTION("""COMPUTED_VALUE"""),2.0)</f>
        <v>2</v>
      </c>
      <c r="E183" t="str">
        <f>IFERROR(__xludf.DUMMYFUNCTION("""COMPUTED_VALUE"""),"webex")</f>
        <v>webex</v>
      </c>
      <c r="F183">
        <f>IFERROR(__xludf.DUMMYFUNCTION("""COMPUTED_VALUE"""),1.0)</f>
        <v>1</v>
      </c>
    </row>
    <row r="184">
      <c r="A184" t="str">
        <f>IFERROR(__xludf.DUMMYFUNCTION("""COMPUTED_VALUE"""),"tapas_io")</f>
        <v>tapas_io</v>
      </c>
      <c r="B184">
        <f>IFERROR(__xludf.DUMMYFUNCTION("""COMPUTED_VALUE"""),1.0)</f>
        <v>1</v>
      </c>
      <c r="E184" t="str">
        <f>IFERROR(__xludf.DUMMYFUNCTION("""COMPUTED_VALUE"""),"wirecutter")</f>
        <v>wirecutter</v>
      </c>
      <c r="F184">
        <f>IFERROR(__xludf.DUMMYFUNCTION("""COMPUTED_VALUE"""),1.0)</f>
        <v>1</v>
      </c>
    </row>
    <row r="185">
      <c r="A185" t="str">
        <f>IFERROR(__xludf.DUMMYFUNCTION("""COMPUTED_VALUE"""),"text_now")</f>
        <v>text_now</v>
      </c>
      <c r="B185">
        <f>IFERROR(__xludf.DUMMYFUNCTION("""COMPUTED_VALUE"""),1.0)</f>
        <v>1</v>
      </c>
      <c r="E185" t="str">
        <f>IFERROR(__xludf.DUMMYFUNCTION("""COMPUTED_VALUE"""),"wish")</f>
        <v>wish</v>
      </c>
      <c r="F185">
        <f>IFERROR(__xludf.DUMMYFUNCTION("""COMPUTED_VALUE"""),1.0)</f>
        <v>1</v>
      </c>
    </row>
    <row r="186">
      <c r="A186" t="str">
        <f>IFERROR(__xludf.DUMMYFUNCTION("""COMPUTED_VALUE"""),"the_real_real")</f>
        <v>the_real_real</v>
      </c>
      <c r="B186">
        <f>IFERROR(__xludf.DUMMYFUNCTION("""COMPUTED_VALUE"""),1.0)</f>
        <v>1</v>
      </c>
      <c r="E186" t="str">
        <f>IFERROR(__xludf.DUMMYFUNCTION("""COMPUTED_VALUE"""),"wyze")</f>
        <v>wyze</v>
      </c>
      <c r="F186">
        <f>IFERROR(__xludf.DUMMYFUNCTION("""COMPUTED_VALUE"""),1.0)</f>
        <v>1</v>
      </c>
    </row>
    <row r="187">
      <c r="A187" t="str">
        <f>IFERROR(__xludf.DUMMYFUNCTION("""COMPUTED_VALUE"""),"thingiverse")</f>
        <v>thingiverse</v>
      </c>
      <c r="B187">
        <f>IFERROR(__xludf.DUMMYFUNCTION("""COMPUTED_VALUE"""),1.0)</f>
        <v>1</v>
      </c>
      <c r="E187" t="str">
        <f>IFERROR(__xludf.DUMMYFUNCTION("""COMPUTED_VALUE"""),"yellow_pages")</f>
        <v>yellow_pages</v>
      </c>
      <c r="F187">
        <f>IFERROR(__xludf.DUMMYFUNCTION("""COMPUTED_VALUE"""),1.0)</f>
        <v>1</v>
      </c>
    </row>
    <row r="188">
      <c r="A188" t="str">
        <f>IFERROR(__xludf.DUMMYFUNCTION("""COMPUTED_VALUE"""),"this_survey")</f>
        <v>this_survey</v>
      </c>
      <c r="B188">
        <f>IFERROR(__xludf.DUMMYFUNCTION("""COMPUTED_VALUE"""),4.0)</f>
        <v>4</v>
      </c>
      <c r="E188" t="str">
        <f>IFERROR(__xludf.DUMMYFUNCTION("""COMPUTED_VALUE"""),"you_need_a_budget")</f>
        <v>you_need_a_budget</v>
      </c>
      <c r="F188">
        <f>IFERROR(__xludf.DUMMYFUNCTION("""COMPUTED_VALUE"""),1.0)</f>
        <v>1</v>
      </c>
    </row>
    <row r="189">
      <c r="A189" t="str">
        <f>IFERROR(__xludf.DUMMYFUNCTION("""COMPUTED_VALUE"""),"thredup")</f>
        <v>thredup</v>
      </c>
      <c r="B189">
        <f>IFERROR(__xludf.DUMMYFUNCTION("""COMPUTED_VALUE"""),1.0)</f>
        <v>1</v>
      </c>
      <c r="E189" t="str">
        <f>IFERROR(__xludf.DUMMYFUNCTION("""COMPUTED_VALUE"""),"zearn")</f>
        <v>zearn</v>
      </c>
      <c r="F189">
        <f>IFERROR(__xludf.DUMMYFUNCTION("""COMPUTED_VALUE"""),1.0)</f>
        <v>1</v>
      </c>
    </row>
    <row r="190">
      <c r="A190" t="str">
        <f>IFERROR(__xludf.DUMMYFUNCTION("""COMPUTED_VALUE"""),"tiktok")</f>
        <v>tiktok</v>
      </c>
      <c r="B190">
        <f>IFERROR(__xludf.DUMMYFUNCTION("""COMPUTED_VALUE"""),1.0)</f>
        <v>1</v>
      </c>
    </row>
    <row r="191">
      <c r="A191" t="str">
        <f>IFERROR(__xludf.DUMMYFUNCTION("""COMPUTED_VALUE"""),"tinder")</f>
        <v>tinder</v>
      </c>
      <c r="B191">
        <f>IFERROR(__xludf.DUMMYFUNCTION("""COMPUTED_VALUE"""),1.0)</f>
        <v>1</v>
      </c>
    </row>
    <row r="192">
      <c r="A192" t="str">
        <f>IFERROR(__xludf.DUMMYFUNCTION("""COMPUTED_VALUE"""),"twitter")</f>
        <v>twitter</v>
      </c>
      <c r="B192">
        <f>IFERROR(__xludf.DUMMYFUNCTION("""COMPUTED_VALUE"""),4.0)</f>
        <v>4</v>
      </c>
    </row>
    <row r="193">
      <c r="A193" t="str">
        <f>IFERROR(__xludf.DUMMYFUNCTION("""COMPUTED_VALUE"""),"tynker")</f>
        <v>tynker</v>
      </c>
      <c r="B193">
        <f>IFERROR(__xludf.DUMMYFUNCTION("""COMPUTED_VALUE"""),1.0)</f>
        <v>1</v>
      </c>
    </row>
    <row r="194">
      <c r="A194" t="str">
        <f>IFERROR(__xludf.DUMMYFUNCTION("""COMPUTED_VALUE"""),"uber")</f>
        <v>uber</v>
      </c>
      <c r="B194">
        <f>IFERROR(__xludf.DUMMYFUNCTION("""COMPUTED_VALUE"""),1.0)</f>
        <v>1</v>
      </c>
    </row>
    <row r="195">
      <c r="A195" t="str">
        <f>IFERROR(__xludf.DUMMYFUNCTION("""COMPUTED_VALUE"""),"uber_eats")</f>
        <v>uber_eats</v>
      </c>
      <c r="B195">
        <f>IFERROR(__xludf.DUMMYFUNCTION("""COMPUTED_VALUE"""),2.0)</f>
        <v>2</v>
      </c>
    </row>
    <row r="196">
      <c r="A196" t="str">
        <f>IFERROR(__xludf.DUMMYFUNCTION("""COMPUTED_VALUE"""),"upvoice")</f>
        <v>upvoice</v>
      </c>
      <c r="B196">
        <f>IFERROR(__xludf.DUMMYFUNCTION("""COMPUTED_VALUE"""),1.0)</f>
        <v>1</v>
      </c>
    </row>
    <row r="197">
      <c r="A197" t="str">
        <f>IFERROR(__xludf.DUMMYFUNCTION("""COMPUTED_VALUE"""),"vagaro")</f>
        <v>vagaro</v>
      </c>
      <c r="B197">
        <f>IFERROR(__xludf.DUMMYFUNCTION("""COMPUTED_VALUE"""),1.0)</f>
        <v>1</v>
      </c>
    </row>
    <row r="198">
      <c r="A198" t="str">
        <f>IFERROR(__xludf.DUMMYFUNCTION("""COMPUTED_VALUE"""),"valorant")</f>
        <v>valorant</v>
      </c>
      <c r="B198">
        <f>IFERROR(__xludf.DUMMYFUNCTION("""COMPUTED_VALUE"""),1.0)</f>
        <v>1</v>
      </c>
    </row>
    <row r="199">
      <c r="A199" t="str">
        <f>IFERROR(__xludf.DUMMYFUNCTION("""COMPUTED_VALUE"""),"visa_fast_pay")</f>
        <v>visa_fast_pay</v>
      </c>
      <c r="B199">
        <f>IFERROR(__xludf.DUMMYFUNCTION("""COMPUTED_VALUE"""),1.0)</f>
        <v>1</v>
      </c>
    </row>
    <row r="200">
      <c r="A200" t="str">
        <f>IFERROR(__xludf.DUMMYFUNCTION("""COMPUTED_VALUE"""),"wall_street_journal")</f>
        <v>wall_street_journal</v>
      </c>
      <c r="B200">
        <f>IFERROR(__xludf.DUMMYFUNCTION("""COMPUTED_VALUE"""),1.0)</f>
        <v>1</v>
      </c>
    </row>
    <row r="201">
      <c r="A201" t="str">
        <f>IFERROR(__xludf.DUMMYFUNCTION("""COMPUTED_VALUE"""),"wax_io")</f>
        <v>wax_io</v>
      </c>
      <c r="B201">
        <f>IFERROR(__xludf.DUMMYFUNCTION("""COMPUTED_VALUE"""),1.0)</f>
        <v>1</v>
      </c>
    </row>
    <row r="202">
      <c r="A202" t="str">
        <f>IFERROR(__xludf.DUMMYFUNCTION("""COMPUTED_VALUE"""),"webex")</f>
        <v>webex</v>
      </c>
      <c r="B202">
        <f>IFERROR(__xludf.DUMMYFUNCTION("""COMPUTED_VALUE"""),1.0)</f>
        <v>1</v>
      </c>
    </row>
    <row r="203">
      <c r="A203" t="str">
        <f>IFERROR(__xludf.DUMMYFUNCTION("""COMPUTED_VALUE"""),"wirecutter")</f>
        <v>wirecutter</v>
      </c>
      <c r="B203">
        <f>IFERROR(__xludf.DUMMYFUNCTION("""COMPUTED_VALUE"""),1.0)</f>
        <v>1</v>
      </c>
    </row>
    <row r="204">
      <c r="A204" t="str">
        <f>IFERROR(__xludf.DUMMYFUNCTION("""COMPUTED_VALUE"""),"wish")</f>
        <v>wish</v>
      </c>
      <c r="B204">
        <f>IFERROR(__xludf.DUMMYFUNCTION("""COMPUTED_VALUE"""),1.0)</f>
        <v>1</v>
      </c>
    </row>
    <row r="205">
      <c r="A205" t="str">
        <f>IFERROR(__xludf.DUMMYFUNCTION("""COMPUTED_VALUE"""),"wyze")</f>
        <v>wyze</v>
      </c>
      <c r="B205">
        <f>IFERROR(__xludf.DUMMYFUNCTION("""COMPUTED_VALUE"""),1.0)</f>
        <v>1</v>
      </c>
    </row>
    <row r="206">
      <c r="A206" t="str">
        <f>IFERROR(__xludf.DUMMYFUNCTION("""COMPUTED_VALUE"""),"yellow_pages")</f>
        <v>yellow_pages</v>
      </c>
      <c r="B206">
        <f>IFERROR(__xludf.DUMMYFUNCTION("""COMPUTED_VALUE"""),1.0)</f>
        <v>1</v>
      </c>
    </row>
    <row r="207">
      <c r="A207" t="str">
        <f>IFERROR(__xludf.DUMMYFUNCTION("""COMPUTED_VALUE"""),"yelp")</f>
        <v>yelp</v>
      </c>
      <c r="B207">
        <f>IFERROR(__xludf.DUMMYFUNCTION("""COMPUTED_VALUE"""),5.0)</f>
        <v>5</v>
      </c>
    </row>
    <row r="208">
      <c r="A208" t="str">
        <f>IFERROR(__xludf.DUMMYFUNCTION("""COMPUTED_VALUE"""),"you_need_a_budget")</f>
        <v>you_need_a_budget</v>
      </c>
      <c r="B208">
        <f>IFERROR(__xludf.DUMMYFUNCTION("""COMPUTED_VALUE"""),1.0)</f>
        <v>1</v>
      </c>
    </row>
    <row r="209">
      <c r="A209" t="str">
        <f>IFERROR(__xludf.DUMMYFUNCTION("""COMPUTED_VALUE"""),"youtube")</f>
        <v>youtube</v>
      </c>
      <c r="B209">
        <f>IFERROR(__xludf.DUMMYFUNCTION("""COMPUTED_VALUE"""),11.0)</f>
        <v>11</v>
      </c>
    </row>
    <row r="210">
      <c r="A210" t="str">
        <f>IFERROR(__xludf.DUMMYFUNCTION("""COMPUTED_VALUE"""),"zearn")</f>
        <v>zearn</v>
      </c>
      <c r="B210">
        <f>IFERROR(__xludf.DUMMYFUNCTION("""COMPUTED_VALUE"""),1.0)</f>
        <v>1</v>
      </c>
    </row>
    <row r="211">
      <c r="A211" t="str">
        <f>IFERROR(__xludf.DUMMYFUNCTION("""COMPUTED_VALUE"""),"zillow")</f>
        <v>zillow</v>
      </c>
      <c r="B211">
        <f>IFERROR(__xludf.DUMMYFUNCTION("""COMPUTED_VALUE"""),6.0)</f>
        <v>6</v>
      </c>
    </row>
    <row r="212">
      <c r="A212" t="str">
        <f>IFERROR(__xludf.DUMMYFUNCTION("""COMPUTED_VALUE"""),"zoom")</f>
        <v>zoom</v>
      </c>
      <c r="B212">
        <f>IFERROR(__xludf.DUMMYFUNCTION("""COMPUTED_VALUE"""),6.0)</f>
        <v>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5.43"/>
    <col customWidth="1" min="2" max="2" width="48.14"/>
    <col customWidth="1" min="3" max="10" width="30.29"/>
  </cols>
  <sheetData>
    <row r="1">
      <c r="A1" s="16" t="str">
        <f>IFERROR(__xludf.DUMMYFUNCTION("QUERY('All Responses'!2:998,""select A,B"")"),"Response ID")</f>
        <v>Response ID</v>
      </c>
      <c r="B1" s="17" t="str">
        <f>IFERROR(__xludf.DUMMYFUNCTION("""COMPUTED_VALUE"""),"google_recall_sso_yes_app")</f>
        <v>google_recall_sso_yes_app</v>
      </c>
      <c r="C1" s="17" t="s">
        <v>1399</v>
      </c>
      <c r="D1" s="17" t="s">
        <v>1400</v>
      </c>
      <c r="E1" s="17" t="s">
        <v>1401</v>
      </c>
      <c r="F1" s="17" t="s">
        <v>1402</v>
      </c>
      <c r="G1" s="17" t="s">
        <v>1403</v>
      </c>
      <c r="H1" s="17" t="s">
        <v>1404</v>
      </c>
      <c r="I1" s="17" t="s">
        <v>1405</v>
      </c>
      <c r="J1" s="17" t="s">
        <v>1406</v>
      </c>
    </row>
    <row r="2">
      <c r="A2">
        <f>IFERROR(__xludf.DUMMYFUNCTION("""COMPUTED_VALUE"""),1.0)</f>
        <v>1</v>
      </c>
      <c r="B2" s="12"/>
      <c r="C2" s="3"/>
      <c r="D2" s="3"/>
      <c r="E2" s="12"/>
      <c r="F2" s="12"/>
      <c r="G2" s="12"/>
      <c r="H2" s="12"/>
      <c r="I2" s="12"/>
      <c r="J2" s="12"/>
    </row>
    <row r="3">
      <c r="A3">
        <f>IFERROR(__xludf.DUMMYFUNCTION("""COMPUTED_VALUE"""),2.0)</f>
        <v>2</v>
      </c>
      <c r="B3" s="12" t="str">
        <f>IFERROR(__xludf.DUMMYFUNCTION("""COMPUTED_VALUE"""),"shop")</f>
        <v>shop</v>
      </c>
      <c r="C3" s="3"/>
      <c r="D3" s="35"/>
      <c r="E3" s="3"/>
      <c r="F3" s="3"/>
      <c r="G3" s="12"/>
      <c r="H3" s="12"/>
      <c r="I3" s="12"/>
      <c r="J3" s="12"/>
    </row>
    <row r="4">
      <c r="A4">
        <f>IFERROR(__xludf.DUMMYFUNCTION("""COMPUTED_VALUE"""),3.0)</f>
        <v>3</v>
      </c>
      <c r="B4" s="12"/>
      <c r="C4" s="35"/>
      <c r="D4" s="35"/>
      <c r="E4" s="3"/>
      <c r="F4" s="3"/>
      <c r="G4" s="12"/>
      <c r="H4" s="12"/>
      <c r="I4" s="12"/>
      <c r="J4" s="12"/>
    </row>
    <row r="5">
      <c r="A5">
        <f>IFERROR(__xludf.DUMMYFUNCTION("""COMPUTED_VALUE"""),4.0)</f>
        <v>4</v>
      </c>
      <c r="B5" s="12" t="str">
        <f>IFERROR(__xludf.DUMMYFUNCTION("""COMPUTED_VALUE"""),"Misc websites that I didn't want to make an account for")</f>
        <v>Misc websites that I didn't want to make an account for</v>
      </c>
      <c r="C5" s="3"/>
      <c r="D5" s="3"/>
      <c r="E5" s="3"/>
      <c r="F5" s="3"/>
      <c r="G5" s="3"/>
      <c r="H5" s="12"/>
      <c r="I5" s="12"/>
      <c r="J5" s="12"/>
    </row>
    <row r="6">
      <c r="A6">
        <f>IFERROR(__xludf.DUMMYFUNCTION("""COMPUTED_VALUE"""),5.0)</f>
        <v>5</v>
      </c>
      <c r="B6" s="12"/>
      <c r="C6" s="3"/>
      <c r="D6" s="3"/>
      <c r="E6" s="3"/>
      <c r="F6" s="12"/>
      <c r="G6" s="12"/>
      <c r="H6" s="12"/>
      <c r="I6" s="12"/>
      <c r="J6" s="12"/>
    </row>
    <row r="7">
      <c r="A7">
        <f>IFERROR(__xludf.DUMMYFUNCTION("""COMPUTED_VALUE"""),10.0)</f>
        <v>10</v>
      </c>
      <c r="B7" s="31" t="str">
        <f>IFERROR(__xludf.DUMMYFUNCTION("""COMPUTED_VALUE"""),"Shein.com")</f>
        <v>Shein.com</v>
      </c>
      <c r="C7" s="3"/>
      <c r="D7" s="3"/>
      <c r="E7" s="3"/>
      <c r="F7" s="3"/>
      <c r="G7" s="3"/>
      <c r="H7" s="3"/>
      <c r="I7" s="12"/>
      <c r="J7" s="12"/>
    </row>
    <row r="8">
      <c r="A8">
        <f>IFERROR(__xludf.DUMMYFUNCTION("""COMPUTED_VALUE"""),12.0)</f>
        <v>12</v>
      </c>
      <c r="B8" s="12"/>
      <c r="C8" s="3"/>
      <c r="D8" s="3"/>
      <c r="E8" s="12"/>
      <c r="F8" s="12"/>
      <c r="G8" s="12"/>
      <c r="H8" s="12"/>
      <c r="I8" s="12"/>
      <c r="J8" s="12"/>
    </row>
    <row r="9">
      <c r="A9">
        <f>IFERROR(__xludf.DUMMYFUNCTION("""COMPUTED_VALUE"""),13.0)</f>
        <v>13</v>
      </c>
      <c r="B9" s="12" t="str">
        <f>IFERROR(__xludf.DUMMYFUNCTION("""COMPUTED_VALUE"""),"Reddit")</f>
        <v>Reddit</v>
      </c>
      <c r="C9" s="3"/>
      <c r="D9" s="3"/>
      <c r="E9" s="3"/>
      <c r="F9" s="3"/>
      <c r="G9" s="3"/>
      <c r="H9" s="12"/>
      <c r="I9" s="12"/>
      <c r="J9" s="12"/>
    </row>
    <row r="10">
      <c r="A10">
        <f>IFERROR(__xludf.DUMMYFUNCTION("""COMPUTED_VALUE"""),14.0)</f>
        <v>14</v>
      </c>
      <c r="B10" s="12" t="str">
        <f>IFERROR(__xludf.DUMMYFUNCTION("""COMPUTED_VALUE"""),"today, Nest security cams")</f>
        <v>today, Nest security cams</v>
      </c>
      <c r="C10" s="3"/>
      <c r="D10" s="3"/>
      <c r="E10" s="3"/>
      <c r="G10" s="12"/>
      <c r="H10" s="12"/>
      <c r="I10" s="12"/>
      <c r="J10" s="12"/>
    </row>
    <row r="11">
      <c r="A11">
        <f>IFERROR(__xludf.DUMMYFUNCTION("""COMPUTED_VALUE"""),16.0)</f>
        <v>16</v>
      </c>
      <c r="B11" s="12" t="str">
        <f>IFERROR(__xludf.DUMMYFUNCTION("""COMPUTED_VALUE"""),"Twitter")</f>
        <v>Twitter</v>
      </c>
      <c r="C11" s="3"/>
      <c r="D11" s="23"/>
      <c r="E11" s="23"/>
      <c r="F11" s="23"/>
      <c r="G11" s="23"/>
      <c r="H11" s="23"/>
      <c r="I11" s="23"/>
      <c r="J11" s="12"/>
    </row>
    <row r="12">
      <c r="A12">
        <f>IFERROR(__xludf.DUMMYFUNCTION("""COMPUTED_VALUE"""),19.0)</f>
        <v>19</v>
      </c>
      <c r="B12" s="12" t="str">
        <f>IFERROR(__xludf.DUMMYFUNCTION("""COMPUTED_VALUE"""),"PayPal")</f>
        <v>PayPal</v>
      </c>
      <c r="C12" s="3"/>
      <c r="D12" s="3"/>
      <c r="E12" s="3"/>
      <c r="F12" s="12"/>
      <c r="G12" s="12"/>
      <c r="H12" s="12"/>
      <c r="I12" s="12"/>
      <c r="J12" s="12"/>
    </row>
    <row r="13">
      <c r="A13">
        <f>IFERROR(__xludf.DUMMYFUNCTION("""COMPUTED_VALUE"""),21.0)</f>
        <v>21</v>
      </c>
      <c r="B13" s="12" t="str">
        <f>IFERROR(__xludf.DUMMYFUNCTION("""COMPUTED_VALUE"""),"Web ex")</f>
        <v>Web ex</v>
      </c>
      <c r="C13" s="3"/>
      <c r="D13" s="3"/>
      <c r="E13" s="3"/>
      <c r="F13" s="12"/>
      <c r="G13" s="12"/>
      <c r="H13" s="12"/>
      <c r="I13" s="12"/>
      <c r="J13" s="12"/>
    </row>
    <row r="14">
      <c r="A14">
        <f>IFERROR(__xludf.DUMMYFUNCTION("""COMPUTED_VALUE"""),22.0)</f>
        <v>22</v>
      </c>
      <c r="B14" s="12" t="str">
        <f>IFERROR(__xludf.DUMMYFUNCTION("""COMPUTED_VALUE"""),"amazon")</f>
        <v>amazon</v>
      </c>
      <c r="C14" s="3"/>
      <c r="D14" s="3"/>
      <c r="E14" s="3"/>
      <c r="F14" s="12"/>
      <c r="G14" s="12"/>
      <c r="H14" s="12"/>
      <c r="I14" s="12"/>
      <c r="J14" s="12"/>
    </row>
    <row r="15">
      <c r="A15">
        <f>IFERROR(__xludf.DUMMYFUNCTION("""COMPUTED_VALUE"""),24.0)</f>
        <v>24</v>
      </c>
      <c r="B15" s="31" t="str">
        <f>IFERROR(__xludf.DUMMYFUNCTION("""COMPUTED_VALUE"""),"realtor.com")</f>
        <v>realtor.com</v>
      </c>
      <c r="C15" s="3"/>
      <c r="D15" s="3"/>
      <c r="E15" s="3"/>
      <c r="F15" s="3"/>
      <c r="G15" s="12"/>
      <c r="H15" s="12"/>
      <c r="I15" s="12"/>
      <c r="J15" s="12"/>
    </row>
    <row r="16">
      <c r="A16">
        <f>IFERROR(__xludf.DUMMYFUNCTION("""COMPUTED_VALUE"""),25.0)</f>
        <v>25</v>
      </c>
      <c r="B16" s="12" t="str">
        <f>IFERROR(__xludf.DUMMYFUNCTION("""COMPUTED_VALUE"""),"Medium")</f>
        <v>Medium</v>
      </c>
      <c r="C16" s="3"/>
      <c r="D16" s="3"/>
      <c r="E16" s="3"/>
      <c r="F16" s="12"/>
      <c r="G16" s="12"/>
      <c r="H16" s="12"/>
      <c r="I16" s="12"/>
      <c r="J16" s="12"/>
    </row>
    <row r="17">
      <c r="A17">
        <f>IFERROR(__xludf.DUMMYFUNCTION("""COMPUTED_VALUE"""),26.0)</f>
        <v>26</v>
      </c>
      <c r="B17" s="12" t="str">
        <f>IFERROR(__xludf.DUMMYFUNCTION("""COMPUTED_VALUE"""),"Seesaw")</f>
        <v>Seesaw</v>
      </c>
      <c r="C17" s="3"/>
      <c r="D17" s="26"/>
      <c r="E17" s="26"/>
      <c r="F17" s="12"/>
      <c r="G17" s="12"/>
      <c r="H17" s="12"/>
      <c r="I17" s="12"/>
      <c r="J17" s="12"/>
    </row>
    <row r="18">
      <c r="A18">
        <f>IFERROR(__xludf.DUMMYFUNCTION("""COMPUTED_VALUE"""),28.0)</f>
        <v>28</v>
      </c>
      <c r="B18" s="12"/>
      <c r="C18" s="3"/>
      <c r="D18" s="3"/>
      <c r="E18" s="3"/>
      <c r="F18" s="12"/>
      <c r="G18" s="12"/>
      <c r="H18" s="12"/>
      <c r="I18" s="12"/>
      <c r="J18" s="12"/>
    </row>
    <row r="19">
      <c r="A19">
        <f>IFERROR(__xludf.DUMMYFUNCTION("""COMPUTED_VALUE"""),29.0)</f>
        <v>29</v>
      </c>
      <c r="B19" s="12" t="str">
        <f>IFERROR(__xludf.DUMMYFUNCTION("""COMPUTED_VALUE"""),"yellow pages app")</f>
        <v>yellow pages app</v>
      </c>
      <c r="C19" s="3"/>
      <c r="D19" s="3"/>
      <c r="E19" s="3"/>
      <c r="F19" s="3"/>
      <c r="G19" s="12"/>
      <c r="H19" s="12"/>
      <c r="I19" s="12"/>
      <c r="J19" s="12"/>
    </row>
    <row r="20">
      <c r="A20">
        <f>IFERROR(__xludf.DUMMYFUNCTION("""COMPUTED_VALUE"""),30.0)</f>
        <v>30</v>
      </c>
      <c r="B20" s="12" t="str">
        <f>IFERROR(__xludf.DUMMYFUNCTION("""COMPUTED_VALUE"""),"Indeed job search let me log in with my Google account.")</f>
        <v>Indeed job search let me log in with my Google account.</v>
      </c>
      <c r="C20" s="3"/>
      <c r="D20" s="3"/>
      <c r="E20" s="3"/>
      <c r="F20" s="12"/>
      <c r="G20" s="12"/>
      <c r="H20" s="12"/>
      <c r="I20" s="12"/>
      <c r="J20" s="12"/>
    </row>
    <row r="21">
      <c r="A21">
        <f>IFERROR(__xludf.DUMMYFUNCTION("""COMPUTED_VALUE"""),31.0)</f>
        <v>31</v>
      </c>
      <c r="B21" s="12" t="str">
        <f>IFERROR(__xludf.DUMMYFUNCTION("""COMPUTED_VALUE"""),"Schoology")</f>
        <v>Schoology</v>
      </c>
      <c r="C21" s="3"/>
      <c r="D21" s="3"/>
      <c r="E21" s="12"/>
      <c r="F21" s="12"/>
      <c r="G21" s="12"/>
      <c r="H21" s="12"/>
      <c r="I21" s="12"/>
      <c r="J21" s="12"/>
    </row>
    <row r="22">
      <c r="A22">
        <f>IFERROR(__xludf.DUMMYFUNCTION("""COMPUTED_VALUE"""),32.0)</f>
        <v>32</v>
      </c>
      <c r="B22" s="12" t="str">
        <f>IFERROR(__xludf.DUMMYFUNCTION("""COMPUTED_VALUE"""),"I think it was DoorDash or another food account.")</f>
        <v>I think it was DoorDash or another food account.</v>
      </c>
      <c r="C22" s="3"/>
      <c r="D22" s="26"/>
      <c r="E22" s="3"/>
      <c r="F22" s="3"/>
      <c r="G22" s="12"/>
      <c r="H22" s="12"/>
      <c r="I22" s="12"/>
      <c r="J22" s="12"/>
    </row>
    <row r="23">
      <c r="A23">
        <f>IFERROR(__xludf.DUMMYFUNCTION("""COMPUTED_VALUE"""),35.0)</f>
        <v>35</v>
      </c>
      <c r="B23" s="12" t="str">
        <f>IFERROR(__xludf.DUMMYFUNCTION("""COMPUTED_VALUE"""),"I don't remember")</f>
        <v>I don't remember</v>
      </c>
      <c r="C23" s="3"/>
      <c r="D23" s="3"/>
      <c r="E23" s="3"/>
      <c r="F23" s="12"/>
      <c r="G23" s="12"/>
      <c r="H23" s="12"/>
      <c r="I23" s="12"/>
      <c r="J23" s="12"/>
    </row>
    <row r="24">
      <c r="A24">
        <f>IFERROR(__xludf.DUMMYFUNCTION("""COMPUTED_VALUE"""),36.0)</f>
        <v>36</v>
      </c>
      <c r="B24" s="12" t="str">
        <f>IFERROR(__xludf.DUMMYFUNCTION("""COMPUTED_VALUE"""),"Yesterday, to a website called pomofocus.io, which offers a pomodoro-style timer")</f>
        <v>Yesterday, to a website called pomofocus.io, which offers a pomodoro-style timer</v>
      </c>
      <c r="C24" s="3"/>
      <c r="D24" s="3"/>
      <c r="E24" s="12"/>
      <c r="F24" s="12"/>
      <c r="G24" s="12"/>
      <c r="H24" s="12"/>
      <c r="I24" s="12"/>
      <c r="J24" s="12"/>
    </row>
    <row r="25">
      <c r="A25">
        <f>IFERROR(__xludf.DUMMYFUNCTION("""COMPUTED_VALUE"""),39.0)</f>
        <v>39</v>
      </c>
      <c r="B25" s="12" t="str">
        <f>IFERROR(__xludf.DUMMYFUNCTION("""COMPUTED_VALUE"""),"Khan Academy")</f>
        <v>Khan Academy</v>
      </c>
      <c r="D25" s="3"/>
      <c r="E25" s="3"/>
      <c r="F25" s="12"/>
      <c r="G25" s="12"/>
      <c r="H25" s="12"/>
      <c r="I25" s="12"/>
      <c r="J25" s="12"/>
    </row>
    <row r="26">
      <c r="A26">
        <f>IFERROR(__xludf.DUMMYFUNCTION("""COMPUTED_VALUE"""),40.0)</f>
        <v>40</v>
      </c>
      <c r="B26" s="12" t="str">
        <f>IFERROR(__xludf.DUMMYFUNCTION("""COMPUTED_VALUE"""),"Probably Clash of Clans - app")</f>
        <v>Probably Clash of Clans - app</v>
      </c>
      <c r="C26" s="26"/>
      <c r="D26" s="3"/>
      <c r="E26" s="3"/>
      <c r="F26" s="12"/>
      <c r="G26" s="12"/>
      <c r="H26" s="12"/>
      <c r="I26" s="12"/>
      <c r="J26" s="12"/>
    </row>
    <row r="27">
      <c r="A27">
        <f>IFERROR(__xludf.DUMMYFUNCTION("""COMPUTED_VALUE"""),42.0)</f>
        <v>42</v>
      </c>
      <c r="B27" s="12" t="str">
        <f>IFERROR(__xludf.DUMMYFUNCTION("""COMPUTED_VALUE"""),"Stitch Fix")</f>
        <v>Stitch Fix</v>
      </c>
      <c r="C27" s="3"/>
      <c r="D27" s="3"/>
      <c r="E27" s="12"/>
      <c r="F27" s="12"/>
      <c r="G27" s="12"/>
      <c r="H27" s="12"/>
      <c r="I27" s="12"/>
      <c r="J27" s="12"/>
    </row>
    <row r="28">
      <c r="A28">
        <f>IFERROR(__xludf.DUMMYFUNCTION("""COMPUTED_VALUE"""),46.0)</f>
        <v>46</v>
      </c>
      <c r="B28" s="12" t="str">
        <f>IFERROR(__xludf.DUMMYFUNCTION("""COMPUTED_VALUE"""),"LinkedIn.")</f>
        <v>LinkedIn.</v>
      </c>
      <c r="C28" s="3"/>
      <c r="D28" s="3"/>
      <c r="E28" s="26"/>
      <c r="F28" s="26"/>
      <c r="G28" s="12"/>
      <c r="H28" s="12"/>
      <c r="I28" s="12"/>
      <c r="J28" s="12"/>
    </row>
    <row r="29">
      <c r="A29">
        <f>IFERROR(__xludf.DUMMYFUNCTION("""COMPUTED_VALUE"""),47.0)</f>
        <v>47</v>
      </c>
      <c r="B29" s="12" t="str">
        <f>IFERROR(__xludf.DUMMYFUNCTION("""COMPUTED_VALUE"""),"Goodreads")</f>
        <v>Goodreads</v>
      </c>
      <c r="C29" s="3"/>
      <c r="D29" s="3"/>
      <c r="E29" s="26"/>
      <c r="F29" s="26"/>
      <c r="G29" s="12"/>
      <c r="H29" s="12"/>
      <c r="I29" s="12"/>
      <c r="J29" s="12"/>
    </row>
    <row r="30">
      <c r="A30">
        <f>IFERROR(__xludf.DUMMYFUNCTION("""COMPUTED_VALUE"""),50.0)</f>
        <v>50</v>
      </c>
      <c r="B30" s="12" t="str">
        <f>IFERROR(__xludf.DUMMYFUNCTION("""COMPUTED_VALUE"""),"fitbit")</f>
        <v>fitbit</v>
      </c>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t="str">
        <f>IFERROR(__xludf.DUMMYFUNCTION("""COMPUTED_VALUE"""),"Youtube")</f>
        <v>Youtube</v>
      </c>
      <c r="C32" s="3"/>
      <c r="D32" s="3"/>
      <c r="E32" s="12"/>
      <c r="F32" s="12"/>
      <c r="G32" s="12"/>
      <c r="H32" s="12"/>
      <c r="I32" s="12"/>
      <c r="J32" s="12"/>
    </row>
    <row r="33">
      <c r="A33">
        <f>IFERROR(__xludf.DUMMYFUNCTION("""COMPUTED_VALUE"""),53.0)</f>
        <v>53</v>
      </c>
      <c r="B33" s="12" t="str">
        <f>IFERROR(__xludf.DUMMYFUNCTION("""COMPUTED_VALUE"""),"BoredPanda")</f>
        <v>BoredPanda</v>
      </c>
      <c r="C33" s="3"/>
      <c r="D33" s="3"/>
      <c r="E33" s="12"/>
      <c r="F33" s="12"/>
      <c r="G33" s="12"/>
      <c r="H33" s="12"/>
      <c r="I33" s="12"/>
      <c r="J33" s="12"/>
    </row>
    <row r="34">
      <c r="A34">
        <f>IFERROR(__xludf.DUMMYFUNCTION("""COMPUTED_VALUE"""),55.0)</f>
        <v>55</v>
      </c>
      <c r="B34" s="12" t="str">
        <f>IFERROR(__xludf.DUMMYFUNCTION("""COMPUTED_VALUE"""),"I can't recall the app/service I do however recall signing to apps with Google")</f>
        <v>I can't recall the app/service I do however recall signing to apps with Google</v>
      </c>
      <c r="C34" s="3"/>
      <c r="D34" s="3"/>
      <c r="E34" s="12"/>
      <c r="F34" s="12"/>
      <c r="G34" s="12"/>
      <c r="H34" s="12"/>
      <c r="I34" s="12"/>
      <c r="J34" s="12"/>
    </row>
    <row r="35">
      <c r="A35">
        <f>IFERROR(__xludf.DUMMYFUNCTION("""COMPUTED_VALUE"""),56.0)</f>
        <v>56</v>
      </c>
      <c r="B35" s="12" t="str">
        <f>IFERROR(__xludf.DUMMYFUNCTION("""COMPUTED_VALUE"""),"Amazon Prime")</f>
        <v>Amazon Prime</v>
      </c>
      <c r="C35" s="3"/>
      <c r="D35" s="12"/>
      <c r="E35" s="12"/>
      <c r="F35" s="12"/>
      <c r="G35" s="12"/>
      <c r="H35" s="12"/>
      <c r="I35" s="12"/>
      <c r="J35" s="12"/>
    </row>
    <row r="36">
      <c r="A36">
        <f>IFERROR(__xludf.DUMMYFUNCTION("""COMPUTED_VALUE"""),58.0)</f>
        <v>58</v>
      </c>
      <c r="B36" s="12" t="str">
        <f>IFERROR(__xludf.DUMMYFUNCTION("""COMPUTED_VALUE"""),"Pixiv")</f>
        <v>Pixiv</v>
      </c>
      <c r="C36" s="3"/>
      <c r="D36" s="3"/>
      <c r="E36" s="12"/>
      <c r="F36" s="12"/>
      <c r="G36" s="12"/>
      <c r="H36" s="12"/>
      <c r="I36" s="12"/>
      <c r="J36" s="12"/>
    </row>
    <row r="37">
      <c r="A37">
        <f>IFERROR(__xludf.DUMMYFUNCTION("""COMPUTED_VALUE"""),59.0)</f>
        <v>59</v>
      </c>
      <c r="B37" s="12" t="str">
        <f>IFERROR(__xludf.DUMMYFUNCTION("""COMPUTED_VALUE"""),"Offerup")</f>
        <v>Offerup</v>
      </c>
      <c r="C37" s="3"/>
      <c r="D37" s="3"/>
      <c r="E37" s="3"/>
      <c r="F37" s="3"/>
      <c r="G37" s="3"/>
      <c r="H37" s="12"/>
      <c r="I37" s="12"/>
      <c r="J37" s="12"/>
    </row>
    <row r="38">
      <c r="A38">
        <f>IFERROR(__xludf.DUMMYFUNCTION("""COMPUTED_VALUE"""),60.0)</f>
        <v>60</v>
      </c>
      <c r="B38" s="12" t="str">
        <f>IFERROR(__xludf.DUMMYFUNCTION("""COMPUTED_VALUE"""),"zillow")</f>
        <v>zillow</v>
      </c>
      <c r="C38" s="3"/>
      <c r="D38" s="12"/>
      <c r="E38" s="12"/>
      <c r="F38" s="12"/>
      <c r="G38" s="12"/>
      <c r="H38" s="12"/>
      <c r="I38" s="12"/>
      <c r="J38" s="12"/>
    </row>
    <row r="39">
      <c r="A39">
        <f>IFERROR(__xludf.DUMMYFUNCTION("""COMPUTED_VALUE"""),61.0)</f>
        <v>61</v>
      </c>
      <c r="B39" s="12" t="str">
        <f>IFERROR(__xludf.DUMMYFUNCTION("""COMPUTED_VALUE"""),"A clothing website")</f>
        <v>A clothing website</v>
      </c>
      <c r="C39" s="3"/>
      <c r="D39" s="26"/>
      <c r="E39" s="12"/>
      <c r="F39" s="12"/>
      <c r="G39" s="12"/>
      <c r="H39" s="12"/>
      <c r="I39" s="12"/>
      <c r="J39" s="12"/>
    </row>
    <row r="40">
      <c r="A40">
        <f>IFERROR(__xludf.DUMMYFUNCTION("""COMPUTED_VALUE"""),62.0)</f>
        <v>62</v>
      </c>
      <c r="B40" s="12" t="str">
        <f>IFERROR(__xludf.DUMMYFUNCTION("""COMPUTED_VALUE"""),"The most recent is a game through the Epic Games Client called Auto Chess. I had a mobile account for them first, and then associated it with my Google login so that I could switch when the PC platform launched.")</f>
        <v>The most recent is a game through the Epic Games Client called Auto Chess. I had a mobile account for them first, and then associated it with my Google login so that I could switch when the PC platform launched.</v>
      </c>
      <c r="C40" s="3"/>
      <c r="D40" s="3"/>
      <c r="E40" s="3"/>
      <c r="F40" s="12"/>
      <c r="G40" s="12"/>
      <c r="H40" s="12"/>
      <c r="I40" s="12"/>
      <c r="J40" s="12"/>
    </row>
    <row r="41">
      <c r="A41">
        <f>IFERROR(__xludf.DUMMYFUNCTION("""COMPUTED_VALUE"""),64.0)</f>
        <v>64</v>
      </c>
      <c r="B41" s="12" t="str">
        <f>IFERROR(__xludf.DUMMYFUNCTION("""COMPUTED_VALUE"""),"Free Code Camp")</f>
        <v>Free Code Camp</v>
      </c>
      <c r="C41" s="26"/>
      <c r="D41" s="3"/>
      <c r="E41" s="12"/>
      <c r="F41" s="12"/>
      <c r="G41" s="12"/>
      <c r="H41" s="12"/>
      <c r="I41" s="12"/>
      <c r="J41" s="12"/>
    </row>
    <row r="42">
      <c r="A42">
        <f>IFERROR(__xludf.DUMMYFUNCTION("""COMPUTED_VALUE"""),66.0)</f>
        <v>66</v>
      </c>
      <c r="B42" s="12" t="str">
        <f>IFERROR(__xludf.DUMMYFUNCTION("""COMPUTED_VALUE"""),"Facebook")</f>
        <v>Facebook</v>
      </c>
      <c r="C42" s="3"/>
      <c r="D42" s="12"/>
      <c r="E42" s="12"/>
      <c r="F42" s="12"/>
      <c r="G42" s="12"/>
      <c r="H42" s="12"/>
      <c r="I42" s="12"/>
      <c r="J42" s="12"/>
    </row>
    <row r="43">
      <c r="A43">
        <f>IFERROR(__xludf.DUMMYFUNCTION("""COMPUTED_VALUE"""),67.0)</f>
        <v>67</v>
      </c>
      <c r="B43" s="12" t="str">
        <f>IFERROR(__xludf.DUMMYFUNCTION("""COMPUTED_VALUE"""),"Beyondmenu.com 
 It's a food delivery service.")</f>
        <v>Beyondmenu.com 
 It's a food delivery service.</v>
      </c>
      <c r="C43" s="3"/>
      <c r="D43" s="3"/>
      <c r="F43" s="3"/>
      <c r="G43" s="3"/>
      <c r="H43" s="3"/>
      <c r="I43" s="12"/>
      <c r="J43" s="12"/>
    </row>
    <row r="44">
      <c r="A44">
        <f>IFERROR(__xludf.DUMMYFUNCTION("""COMPUTED_VALUE"""),69.0)</f>
        <v>69</v>
      </c>
      <c r="B44" s="12" t="str">
        <f>IFERROR(__xludf.DUMMYFUNCTION("""COMPUTED_VALUE"""),"It was a forum that asked for it")</f>
        <v>It was a forum that asked for it</v>
      </c>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t="str">
        <f>IFERROR(__xludf.DUMMYFUNCTION("""COMPUTED_VALUE"""),"I signed into reddit using my google account.")</f>
        <v>I signed into reddit using my google account.</v>
      </c>
      <c r="C46" s="3"/>
      <c r="D46" s="3"/>
      <c r="E46" s="12"/>
      <c r="F46" s="12"/>
      <c r="G46" s="12"/>
      <c r="H46" s="12"/>
      <c r="I46" s="12"/>
      <c r="J46" s="12"/>
    </row>
    <row r="47">
      <c r="A47">
        <f>IFERROR(__xludf.DUMMYFUNCTION("""COMPUTED_VALUE"""),73.0)</f>
        <v>73</v>
      </c>
      <c r="B47" s="12" t="str">
        <f>IFERROR(__xludf.DUMMYFUNCTION("""COMPUTED_VALUE"""),"Hideout")</f>
        <v>Hideout</v>
      </c>
      <c r="C47" s="3"/>
      <c r="D47" s="3"/>
      <c r="E47" s="3"/>
      <c r="F47" s="12"/>
      <c r="G47" s="12"/>
      <c r="H47" s="12"/>
      <c r="I47" s="12"/>
      <c r="J47" s="12"/>
    </row>
    <row r="48">
      <c r="A48">
        <f>IFERROR(__xludf.DUMMYFUNCTION("""COMPUTED_VALUE"""),74.0)</f>
        <v>74</v>
      </c>
      <c r="B48" s="12" t="str">
        <f>IFERROR(__xludf.DUMMYFUNCTION("""COMPUTED_VALUE"""),"quora")</f>
        <v>quora</v>
      </c>
      <c r="C48" s="3"/>
      <c r="D48" s="3"/>
      <c r="E48" s="12"/>
      <c r="F48" s="12"/>
      <c r="G48" s="12"/>
      <c r="H48" s="12"/>
      <c r="I48" s="12"/>
      <c r="J48" s="12"/>
    </row>
    <row r="49">
      <c r="A49">
        <f>IFERROR(__xludf.DUMMYFUNCTION("""COMPUTED_VALUE"""),75.0)</f>
        <v>75</v>
      </c>
      <c r="B49" s="12" t="str">
        <f>IFERROR(__xludf.DUMMYFUNCTION("""COMPUTED_VALUE"""),"Logged in to place order at a local restaurant chain")</f>
        <v>Logged in to place order at a local restaurant chain</v>
      </c>
      <c r="C49" s="3"/>
      <c r="D49" s="3"/>
      <c r="E49" s="12"/>
      <c r="F49" s="12"/>
      <c r="G49" s="12"/>
      <c r="H49" s="12"/>
      <c r="I49" s="12"/>
      <c r="J49" s="12"/>
    </row>
    <row r="50">
      <c r="A50">
        <f>IFERROR(__xludf.DUMMYFUNCTION("""COMPUTED_VALUE"""),78.0)</f>
        <v>78</v>
      </c>
      <c r="B50" s="12" t="str">
        <f>IFERROR(__xludf.DUMMYFUNCTION("""COMPUTED_VALUE"""),"Facebook")</f>
        <v>Facebook</v>
      </c>
      <c r="C50" s="3"/>
      <c r="D50" s="12"/>
      <c r="E50" s="12"/>
      <c r="F50" s="12"/>
      <c r="G50" s="12"/>
      <c r="H50" s="12"/>
      <c r="I50" s="12"/>
      <c r="J50" s="12"/>
    </row>
    <row r="51">
      <c r="A51">
        <f>IFERROR(__xludf.DUMMYFUNCTION("""COMPUTED_VALUE"""),80.0)</f>
        <v>80</v>
      </c>
      <c r="B51" s="12" t="str">
        <f>IFERROR(__xludf.DUMMYFUNCTION("""COMPUTED_VALUE"""),"facebook")</f>
        <v>facebook</v>
      </c>
      <c r="C51" s="3"/>
      <c r="D51" s="3"/>
      <c r="E51" s="3"/>
      <c r="F51" s="12"/>
      <c r="G51" s="12"/>
      <c r="H51" s="12"/>
      <c r="I51" s="12"/>
      <c r="J51" s="12"/>
    </row>
    <row r="52">
      <c r="A52">
        <f>IFERROR(__xludf.DUMMYFUNCTION("""COMPUTED_VALUE"""),81.0)</f>
        <v>81</v>
      </c>
      <c r="B52" s="12" t="str">
        <f>IFERROR(__xludf.DUMMYFUNCTION("""COMPUTED_VALUE"""),"I last did so to sign into Humble Bundle.")</f>
        <v>I last did so to sign into Humble Bundle.</v>
      </c>
      <c r="C52" s="3"/>
      <c r="D52" s="3"/>
      <c r="E52" s="12"/>
      <c r="F52" s="12"/>
      <c r="G52" s="12"/>
      <c r="H52" s="12"/>
      <c r="I52" s="12"/>
      <c r="J52" s="12"/>
    </row>
    <row r="53">
      <c r="A53">
        <f>IFERROR(__xludf.DUMMYFUNCTION("""COMPUTED_VALUE"""),84.0)</f>
        <v>84</v>
      </c>
      <c r="B53" s="12" t="str">
        <f>IFERROR(__xludf.DUMMYFUNCTION("""COMPUTED_VALUE"""),"Wirecutter")</f>
        <v>Wirecutter</v>
      </c>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t="str">
        <f>IFERROR(__xludf.DUMMYFUNCTION("""COMPUTED_VALUE"""),"Most recently, I think connected my Google Account with the McDonalds app.")</f>
        <v>Most recently, I think connected my Google Account with the McDonalds app.</v>
      </c>
      <c r="C55" s="3"/>
      <c r="D55" s="3"/>
      <c r="E55" s="12"/>
      <c r="F55" s="12"/>
      <c r="G55" s="12"/>
      <c r="H55" s="12"/>
      <c r="I55" s="12"/>
      <c r="J55" s="12"/>
    </row>
    <row r="56">
      <c r="A56">
        <f>IFERROR(__xludf.DUMMYFUNCTION("""COMPUTED_VALUE"""),88.0)</f>
        <v>88</v>
      </c>
      <c r="B56" s="12" t="str">
        <f>IFERROR(__xludf.DUMMYFUNCTION("""COMPUTED_VALUE"""),"DoSomething.org was the last time I used Google to sign-in to a third-party app or service (about a week ago)")</f>
        <v>DoSomething.org was the last time I used Google to sign-in to a third-party app or service (about a week ago)</v>
      </c>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t="str">
        <f>IFERROR(__xludf.DUMMYFUNCTION("""COMPUTED_VALUE"""),"GasBuddy")</f>
        <v>GasBuddy</v>
      </c>
      <c r="C58" s="3"/>
      <c r="D58" s="3"/>
      <c r="E58" s="3"/>
      <c r="F58" s="12"/>
      <c r="G58" s="12"/>
      <c r="H58" s="12"/>
      <c r="I58" s="12"/>
      <c r="J58" s="12"/>
    </row>
    <row r="59">
      <c r="A59">
        <f>IFERROR(__xludf.DUMMYFUNCTION("""COMPUTED_VALUE"""),93.0)</f>
        <v>93</v>
      </c>
      <c r="B59" s="12" t="str">
        <f>IFERROR(__xludf.DUMMYFUNCTION("""COMPUTED_VALUE"""),"Zoom")</f>
        <v>Zoom</v>
      </c>
      <c r="C59" s="3"/>
      <c r="D59" s="3"/>
      <c r="E59" s="12"/>
      <c r="F59" s="12"/>
      <c r="G59" s="12"/>
      <c r="H59" s="12"/>
      <c r="I59" s="12"/>
      <c r="J59" s="12"/>
    </row>
    <row r="60">
      <c r="A60">
        <f>IFERROR(__xludf.DUMMYFUNCTION("""COMPUTED_VALUE"""),95.0)</f>
        <v>95</v>
      </c>
      <c r="B60" s="31" t="str">
        <f>IFERROR(__xludf.DUMMYFUNCTION("""COMPUTED_VALUE"""),"tapas.io")</f>
        <v>tapas.io</v>
      </c>
      <c r="C60" s="3"/>
      <c r="D60" s="3"/>
      <c r="E60" s="3"/>
      <c r="F60" s="3"/>
      <c r="G60" s="3"/>
      <c r="H60" s="12"/>
      <c r="I60" s="12"/>
      <c r="J60" s="12"/>
    </row>
    <row r="61">
      <c r="A61">
        <f>IFERROR(__xludf.DUMMYFUNCTION("""COMPUTED_VALUE"""),97.0)</f>
        <v>97</v>
      </c>
      <c r="B61" s="12" t="str">
        <f>IFERROR(__xludf.DUMMYFUNCTION("""COMPUTED_VALUE"""),"I think I used it for signing into a site that I didn't want to have to create a separate account for, like a single use type thing.")</f>
        <v>I think I used it for signing into a site that I didn't want to have to create a separate account for, like a single use type thing.</v>
      </c>
      <c r="C61" s="26"/>
      <c r="D61" s="12"/>
      <c r="E61" s="12"/>
      <c r="F61" s="12"/>
      <c r="G61" s="12"/>
      <c r="H61" s="12"/>
      <c r="I61" s="12"/>
      <c r="J61" s="12"/>
    </row>
    <row r="62">
      <c r="A62">
        <f>IFERROR(__xludf.DUMMYFUNCTION("""COMPUTED_VALUE"""),98.0)</f>
        <v>98</v>
      </c>
      <c r="B62" s="12" t="str">
        <f>IFERROR(__xludf.DUMMYFUNCTION("""COMPUTED_VALUE"""),"I believe it amazon and/or facebook")</f>
        <v>I believe it amazon and/or facebook</v>
      </c>
      <c r="C62" s="3"/>
      <c r="D62" s="3"/>
      <c r="E62" s="12"/>
      <c r="F62" s="12"/>
      <c r="G62" s="12"/>
      <c r="H62" s="12"/>
      <c r="I62" s="12"/>
      <c r="J62" s="12"/>
    </row>
    <row r="63">
      <c r="A63">
        <f>IFERROR(__xludf.DUMMYFUNCTION("""COMPUTED_VALUE"""),99.0)</f>
        <v>99</v>
      </c>
      <c r="B63" s="12" t="str">
        <f>IFERROR(__xludf.DUMMYFUNCTION("""COMPUTED_VALUE"""),"Phemex")</f>
        <v>Phemex</v>
      </c>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t="str">
        <f>IFERROR(__xludf.DUMMYFUNCTION("""COMPUTED_VALUE"""),"A gaming app.")</f>
        <v>A gaming app.</v>
      </c>
      <c r="C65" s="3"/>
      <c r="D65" s="3"/>
      <c r="E65" s="3"/>
      <c r="F65" s="3"/>
      <c r="G65" s="26"/>
      <c r="H65" s="12"/>
      <c r="I65" s="12"/>
      <c r="J65" s="12"/>
    </row>
    <row r="66">
      <c r="A66">
        <f>IFERROR(__xludf.DUMMYFUNCTION("""COMPUTED_VALUE"""),103.0)</f>
        <v>103</v>
      </c>
      <c r="B66" s="12" t="str">
        <f>IFERROR(__xludf.DUMMYFUNCTION("""COMPUTED_VALUE"""),"Pinterest")</f>
        <v>Pinterest</v>
      </c>
      <c r="C66" s="3"/>
      <c r="D66" s="3"/>
      <c r="F66" s="12"/>
      <c r="G66" s="12"/>
      <c r="H66" s="12"/>
      <c r="I66" s="12"/>
      <c r="J66" s="12"/>
    </row>
    <row r="67">
      <c r="A67">
        <f>IFERROR(__xludf.DUMMYFUNCTION("""COMPUTED_VALUE"""),104.0)</f>
        <v>104</v>
      </c>
      <c r="B67" s="12" t="str">
        <f>IFERROR(__xludf.DUMMYFUNCTION("""COMPUTED_VALUE"""),"joinhoney.com. (a rabat site).")</f>
        <v>joinhoney.com. (a rabat site).</v>
      </c>
      <c r="C67" s="3"/>
      <c r="D67" s="3"/>
      <c r="E67" s="26"/>
      <c r="F67" s="26"/>
      <c r="G67" s="3"/>
      <c r="H67" s="3"/>
      <c r="J67" s="12"/>
    </row>
    <row r="68">
      <c r="A68">
        <f>IFERROR(__xludf.DUMMYFUNCTION("""COMPUTED_VALUE"""),105.0)</f>
        <v>105</v>
      </c>
      <c r="B68" s="12" t="str">
        <f>IFERROR(__xludf.DUMMYFUNCTION("""COMPUTED_VALUE"""),"Microsoft job application")</f>
        <v>Microsoft job application</v>
      </c>
      <c r="C68" s="3"/>
      <c r="D68" s="3"/>
      <c r="E68" s="12"/>
      <c r="F68" s="12"/>
      <c r="G68" s="12"/>
      <c r="J68" s="12"/>
    </row>
    <row r="69">
      <c r="A69">
        <f>IFERROR(__xludf.DUMMYFUNCTION("""COMPUTED_VALUE"""),107.0)</f>
        <v>107</v>
      </c>
      <c r="B69" s="12" t="str">
        <f>IFERROR(__xludf.DUMMYFUNCTION("""COMPUTED_VALUE"""),"Netflix and amazon")</f>
        <v>Netflix and amazon</v>
      </c>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t="str">
        <f>IFERROR(__xludf.DUMMYFUNCTION("""COMPUTED_VALUE"""),"Zoom")</f>
        <v>Zoom</v>
      </c>
      <c r="C71" s="3"/>
      <c r="D71" s="3"/>
      <c r="E71" s="3"/>
      <c r="F71" s="3"/>
      <c r="G71" s="3"/>
      <c r="H71" s="3"/>
      <c r="I71" s="3"/>
      <c r="J71" s="12"/>
    </row>
    <row r="72">
      <c r="A72">
        <f>IFERROR(__xludf.DUMMYFUNCTION("""COMPUTED_VALUE"""),111.0)</f>
        <v>111</v>
      </c>
      <c r="B72" s="12" t="str">
        <f>IFERROR(__xludf.DUMMYFUNCTION("""COMPUTED_VALUE"""),"Probably YouTube or linking it to my Xbox account")</f>
        <v>Probably YouTube or linking it to my Xbox account</v>
      </c>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t="str">
        <f>IFERROR(__xludf.DUMMYFUNCTION("""COMPUTED_VALUE"""),"This survey")</f>
        <v>This survey</v>
      </c>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IFERROR(__xludf.DUMMYFUNCTION("""COMPUTED_VALUE"""),"I used it to play a mobile game. Was too lazy to make a separate account not based on google.")</f>
        <v>I used it to play a mobile game. Was too lazy to make a separate account not based on google.</v>
      </c>
      <c r="C76" s="3"/>
      <c r="D76" s="3"/>
      <c r="E76" s="3"/>
      <c r="F76" s="12"/>
      <c r="G76" s="12"/>
      <c r="H76" s="12"/>
      <c r="I76" s="12"/>
      <c r="J76" s="12"/>
    </row>
    <row r="77">
      <c r="A77">
        <f>IFERROR(__xludf.DUMMYFUNCTION("""COMPUTED_VALUE"""),117.0)</f>
        <v>117</v>
      </c>
      <c r="B77" s="12" t="str">
        <f>IFERROR(__xludf.DUMMYFUNCTION("""COMPUTED_VALUE"""),"I honestly don't remember, but it happens often-ish, like once or twice a month.")</f>
        <v>I honestly don't remember, but it happens often-ish, like once or twice a month.</v>
      </c>
      <c r="C77" s="3"/>
      <c r="D77" s="3"/>
      <c r="E77" s="3"/>
      <c r="F77" s="12"/>
      <c r="G77" s="12"/>
      <c r="H77" s="12"/>
      <c r="I77" s="12"/>
      <c r="J77" s="12"/>
    </row>
    <row r="78">
      <c r="A78">
        <f>IFERROR(__xludf.DUMMYFUNCTION("""COMPUTED_VALUE"""),122.0)</f>
        <v>122</v>
      </c>
      <c r="B78" s="12" t="str">
        <f>IFERROR(__xludf.DUMMYFUNCTION("""COMPUTED_VALUE"""),"I think it was a food delivery app (Doordash,Ubereats etc.)")</f>
        <v>I think it was a food delivery app (Doordash,Ubereats etc.)</v>
      </c>
      <c r="C78" s="3"/>
      <c r="D78" s="3"/>
      <c r="E78" s="12"/>
      <c r="F78" s="12"/>
      <c r="G78" s="12"/>
      <c r="H78" s="12"/>
      <c r="I78" s="12"/>
      <c r="J78" s="12"/>
    </row>
    <row r="79">
      <c r="A79">
        <f>IFERROR(__xludf.DUMMYFUNCTION("""COMPUTED_VALUE"""),123.0)</f>
        <v>123</v>
      </c>
      <c r="B79" s="12" t="str">
        <f>IFERROR(__xludf.DUMMYFUNCTION("""COMPUTED_VALUE"""),"I don't remember.")</f>
        <v>I don't remember.</v>
      </c>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t="str">
        <f>IFERROR(__xludf.DUMMYFUNCTION("""COMPUTED_VALUE"""),"Reddit")</f>
        <v>Reddit</v>
      </c>
      <c r="C81" s="3"/>
      <c r="D81" s="3"/>
      <c r="E81" s="3"/>
      <c r="F81" s="3"/>
      <c r="G81" s="12"/>
      <c r="H81" s="12"/>
      <c r="I81" s="12"/>
      <c r="J81" s="12"/>
    </row>
    <row r="82">
      <c r="A82">
        <f>IFERROR(__xludf.DUMMYFUNCTION("""COMPUTED_VALUE"""),126.0)</f>
        <v>126</v>
      </c>
      <c r="B82" s="12" t="str">
        <f>IFERROR(__xludf.DUMMYFUNCTION("""COMPUTED_VALUE"""),"Reddit")</f>
        <v>Reddit</v>
      </c>
      <c r="C82" s="3"/>
      <c r="D82" s="3"/>
      <c r="E82" s="12"/>
      <c r="F82" s="12"/>
      <c r="G82" s="12"/>
      <c r="H82" s="12"/>
      <c r="I82" s="12"/>
      <c r="J82" s="12"/>
    </row>
    <row r="83">
      <c r="A83">
        <f>IFERROR(__xludf.DUMMYFUNCTION("""COMPUTED_VALUE"""),127.0)</f>
        <v>127</v>
      </c>
      <c r="B83" s="12" t="str">
        <f>IFERROR(__xludf.DUMMYFUNCTION("""COMPUTED_VALUE"""),"I used it to sign up for an online newspaper subscription. It was for the WSJ.")</f>
        <v>I used it to sign up for an online newspaper subscription. It was for the WSJ.</v>
      </c>
      <c r="C83" s="3"/>
      <c r="D83" s="3"/>
      <c r="E83" s="3"/>
      <c r="F83" s="3"/>
      <c r="G83" s="12"/>
      <c r="H83" s="12"/>
      <c r="I83" s="12"/>
      <c r="J83" s="12"/>
    </row>
    <row r="84">
      <c r="A84">
        <f>IFERROR(__xludf.DUMMYFUNCTION("""COMPUTED_VALUE"""),128.0)</f>
        <v>128</v>
      </c>
      <c r="B84" s="12" t="str">
        <f>IFERROR(__xludf.DUMMYFUNCTION("""COMPUTED_VALUE"""),"I don't remember")</f>
        <v>I don't remember</v>
      </c>
      <c r="C84" s="3"/>
      <c r="D84" s="3"/>
      <c r="E84" s="3"/>
      <c r="F84" s="3"/>
      <c r="G84" s="3"/>
      <c r="H84" s="12"/>
      <c r="I84" s="12"/>
      <c r="J84" s="12"/>
    </row>
    <row r="85">
      <c r="A85">
        <f>IFERROR(__xludf.DUMMYFUNCTION("""COMPUTED_VALUE"""),129.0)</f>
        <v>129</v>
      </c>
      <c r="B85" s="12" t="str">
        <f>IFERROR(__xludf.DUMMYFUNCTION("""COMPUTED_VALUE"""),"The last time i did was when i was trying to log into my Fantasy premier league account")</f>
        <v>The last time i did was when i was trying to log into my Fantasy premier league account</v>
      </c>
      <c r="C85" s="3"/>
      <c r="D85" s="3"/>
      <c r="E85" s="3"/>
      <c r="F85" s="12"/>
      <c r="G85" s="12"/>
      <c r="H85" s="12"/>
      <c r="I85" s="12"/>
      <c r="J85" s="12"/>
    </row>
    <row r="86">
      <c r="A86">
        <f>IFERROR(__xludf.DUMMYFUNCTION("""COMPUTED_VALUE"""),130.0)</f>
        <v>130</v>
      </c>
      <c r="B86" s="12" t="str">
        <f>IFERROR(__xludf.DUMMYFUNCTION("""COMPUTED_VALUE"""),"I mostly use it to sign into third party social media apps, such as Reddit.")</f>
        <v>I mostly use it to sign into third party social media apps, such as Reddit.</v>
      </c>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t="str">
        <f>IFERROR(__xludf.DUMMYFUNCTION("""COMPUTED_VALUE"""),"infinix hot 8")</f>
        <v>infinix hot 8</v>
      </c>
      <c r="C88" s="3"/>
      <c r="D88" s="3"/>
      <c r="E88" s="12"/>
      <c r="F88" s="12"/>
      <c r="G88" s="12"/>
      <c r="H88" s="12"/>
      <c r="I88" s="12"/>
      <c r="J88" s="12"/>
    </row>
    <row r="89">
      <c r="A89">
        <f>IFERROR(__xludf.DUMMYFUNCTION("""COMPUTED_VALUE"""),137.0)</f>
        <v>137</v>
      </c>
      <c r="B89" s="31" t="str">
        <f>IFERROR(__xludf.DUMMYFUNCTION("""COMPUTED_VALUE"""),"Indeed.com")</f>
        <v>Indeed.com</v>
      </c>
      <c r="C89" s="3"/>
      <c r="D89" s="3"/>
      <c r="E89" s="3"/>
      <c r="F89" s="3"/>
      <c r="G89" s="12"/>
      <c r="H89" s="12"/>
      <c r="I89" s="12"/>
      <c r="J89" s="12"/>
    </row>
    <row r="90">
      <c r="A90">
        <f>IFERROR(__xludf.DUMMYFUNCTION("""COMPUTED_VALUE"""),138.0)</f>
        <v>138</v>
      </c>
      <c r="B90" s="12" t="str">
        <f>IFERROR(__xludf.DUMMYFUNCTION("""COMPUTED_VALUE"""),"Mcdonalds app to get free fries.")</f>
        <v>Mcdonalds app to get free fries.</v>
      </c>
      <c r="C90" s="3"/>
      <c r="D90" s="3"/>
      <c r="E90" s="12"/>
      <c r="F90" s="12"/>
      <c r="G90" s="12"/>
      <c r="H90" s="12"/>
      <c r="I90" s="12"/>
      <c r="J90" s="12"/>
    </row>
    <row r="91">
      <c r="A91">
        <f>IFERROR(__xludf.DUMMYFUNCTION("""COMPUTED_VALUE"""),140.0)</f>
        <v>140</v>
      </c>
      <c r="B91" s="12" t="str">
        <f>IFERROR(__xludf.DUMMYFUNCTION("""COMPUTED_VALUE"""),"It was Facebook")</f>
        <v>It was Facebook</v>
      </c>
      <c r="C91" s="3"/>
      <c r="D91" s="3"/>
      <c r="E91" s="3"/>
      <c r="F91" s="12"/>
      <c r="G91" s="12"/>
      <c r="H91" s="12"/>
      <c r="I91" s="12"/>
      <c r="J91" s="12"/>
    </row>
    <row r="92">
      <c r="A92">
        <f>IFERROR(__xludf.DUMMYFUNCTION("""COMPUTED_VALUE"""),141.0)</f>
        <v>141</v>
      </c>
      <c r="B92" s="12" t="str">
        <f>IFERROR(__xludf.DUMMYFUNCTION("""COMPUTED_VALUE"""),"I was using a website called hideout.tv and used google to sign in.")</f>
        <v>I was using a website called hideout.tv and used google to sign in.</v>
      </c>
      <c r="C92" s="3"/>
      <c r="D92" s="3"/>
      <c r="E92" s="3"/>
      <c r="F92" s="12"/>
      <c r="G92" s="12"/>
      <c r="H92" s="12"/>
      <c r="I92" s="12"/>
      <c r="J92" s="12"/>
    </row>
    <row r="93">
      <c r="A93">
        <f>IFERROR(__xludf.DUMMYFUNCTION("""COMPUTED_VALUE"""),142.0)</f>
        <v>142</v>
      </c>
      <c r="B93" s="12" t="str">
        <f>IFERROR(__xludf.DUMMYFUNCTION("""COMPUTED_VALUE"""),"Handshake")</f>
        <v>Handshake</v>
      </c>
      <c r="C93" s="3"/>
      <c r="D93" s="3"/>
      <c r="E93" s="12"/>
      <c r="F93" s="12"/>
      <c r="G93" s="12"/>
      <c r="H93" s="12"/>
      <c r="I93" s="12"/>
      <c r="J93" s="12"/>
    </row>
    <row r="94">
      <c r="A94">
        <f>IFERROR(__xludf.DUMMYFUNCTION("""COMPUTED_VALUE"""),143.0)</f>
        <v>143</v>
      </c>
      <c r="B94" s="12" t="str">
        <f>IFERROR(__xludf.DUMMYFUNCTION("""COMPUTED_VALUE"""),"Instacart")</f>
        <v>Instacart</v>
      </c>
      <c r="C94" s="3"/>
      <c r="D94" s="3"/>
      <c r="E94" s="12"/>
      <c r="F94" s="12"/>
      <c r="G94" s="12"/>
      <c r="H94" s="12"/>
      <c r="I94" s="12"/>
      <c r="J94" s="12"/>
    </row>
    <row r="95">
      <c r="A95">
        <f>IFERROR(__xludf.DUMMYFUNCTION("""COMPUTED_VALUE"""),146.0)</f>
        <v>146</v>
      </c>
      <c r="B95" s="12" t="str">
        <f>IFERROR(__xludf.DUMMYFUNCTION("""COMPUTED_VALUE"""),"A protein bar shopping website.")</f>
        <v>A protein bar shopping website.</v>
      </c>
      <c r="C95" s="3"/>
      <c r="D95" s="3"/>
      <c r="E95" s="12"/>
      <c r="F95" s="12"/>
      <c r="G95" s="12"/>
      <c r="H95" s="12"/>
      <c r="I95" s="12"/>
      <c r="J95" s="12"/>
    </row>
    <row r="96">
      <c r="A96">
        <f>IFERROR(__xludf.DUMMYFUNCTION("""COMPUTED_VALUE"""),147.0)</f>
        <v>147</v>
      </c>
      <c r="B96" s="12" t="str">
        <f>IFERROR(__xludf.DUMMYFUNCTION("""COMPUTED_VALUE"""),"Clash Royale")</f>
        <v>Clash Royale</v>
      </c>
      <c r="C96" s="3"/>
      <c r="D96" s="3"/>
      <c r="E96" s="3"/>
      <c r="F96" s="12"/>
      <c r="G96" s="12"/>
      <c r="H96" s="12"/>
      <c r="I96" s="12"/>
      <c r="J96" s="12"/>
    </row>
    <row r="97">
      <c r="A97">
        <f>IFERROR(__xludf.DUMMYFUNCTION("""COMPUTED_VALUE"""),148.0)</f>
        <v>148</v>
      </c>
      <c r="B97" s="12" t="str">
        <f>IFERROR(__xludf.DUMMYFUNCTION("""COMPUTED_VALUE"""),"Class Link")</f>
        <v>Class Link</v>
      </c>
      <c r="C97" s="3"/>
      <c r="D97" s="3"/>
      <c r="E97" s="12"/>
      <c r="F97" s="12"/>
      <c r="G97" s="12"/>
      <c r="H97" s="12"/>
      <c r="I97" s="12"/>
      <c r="J97" s="12"/>
    </row>
    <row r="98">
      <c r="A98">
        <f>IFERROR(__xludf.DUMMYFUNCTION("""COMPUTED_VALUE"""),149.0)</f>
        <v>149</v>
      </c>
      <c r="B98" s="31" t="str">
        <f>IFERROR(__xludf.DUMMYFUNCTION("""COMPUTED_VALUE"""),"youtube.com")</f>
        <v>youtube.com</v>
      </c>
      <c r="C98" s="3"/>
      <c r="D98" s="3"/>
      <c r="E98" s="3"/>
      <c r="F98" s="3"/>
      <c r="G98" s="12"/>
      <c r="H98" s="12"/>
      <c r="I98" s="12"/>
      <c r="J98" s="12"/>
    </row>
    <row r="99">
      <c r="A99">
        <f>IFERROR(__xludf.DUMMYFUNCTION("""COMPUTED_VALUE"""),150.0)</f>
        <v>150</v>
      </c>
      <c r="B99" s="12" t="str">
        <f>IFERROR(__xludf.DUMMYFUNCTION("""COMPUTED_VALUE"""),"I used another (work) google account to sign into various software accounts at work. Most often, the Amplify ELA program and Zearn math program.")</f>
        <v>I used another (work) google account to sign into various software accounts at work. Most often, the Amplify ELA program and Zearn math program.</v>
      </c>
      <c r="C99" s="3"/>
      <c r="D99" s="12"/>
      <c r="E99" s="12"/>
      <c r="F99" s="12"/>
      <c r="G99" s="12"/>
      <c r="H99" s="12"/>
      <c r="I99" s="12"/>
      <c r="J99" s="12"/>
    </row>
    <row r="100">
      <c r="A100">
        <f>IFERROR(__xludf.DUMMYFUNCTION("""COMPUTED_VALUE"""),151.0)</f>
        <v>151</v>
      </c>
      <c r="B100" s="12" t="str">
        <f>IFERROR(__xludf.DUMMYFUNCTION("""COMPUTED_VALUE"""),"Do not remember. I use this so frequently because it is very convenient")</f>
        <v>Do not remember. I use this so frequently because it is very convenient</v>
      </c>
      <c r="C100" s="3"/>
      <c r="D100" s="12"/>
      <c r="E100" s="12"/>
      <c r="F100" s="12"/>
      <c r="G100" s="12"/>
      <c r="H100" s="12"/>
      <c r="I100" s="12"/>
      <c r="J100" s="12"/>
    </row>
    <row r="101">
      <c r="A101">
        <f>IFERROR(__xludf.DUMMYFUNCTION("""COMPUTED_VALUE"""),152.0)</f>
        <v>152</v>
      </c>
      <c r="B101" s="12" t="str">
        <f>IFERROR(__xludf.DUMMYFUNCTION("""COMPUTED_VALUE"""),"I use Google Account sign in on most platforms that make it available. It's hard to remember which ones I use it on specifically (such as the last time I used it), because it is so ubiquitous.")</f>
        <v>I use Google Account sign in on most platforms that make it available. It's hard to remember which ones I use it on specifically (such as the last time I used it), because it is so ubiquitous.</v>
      </c>
      <c r="C101" s="3"/>
      <c r="D101" s="3"/>
      <c r="E101" s="3"/>
      <c r="F101" s="12"/>
      <c r="G101" s="12"/>
      <c r="H101" s="12"/>
      <c r="I101" s="12"/>
      <c r="J101" s="12"/>
    </row>
    <row r="102">
      <c r="A102">
        <f>IFERROR(__xludf.DUMMYFUNCTION("""COMPUTED_VALUE"""),154.0)</f>
        <v>154</v>
      </c>
      <c r="B102" s="12" t="str">
        <f>IFERROR(__xludf.DUMMYFUNCTION("""COMPUTED_VALUE"""),"Canva")</f>
        <v>Canva</v>
      </c>
      <c r="C102" s="3"/>
      <c r="D102" s="3"/>
      <c r="E102" s="3"/>
      <c r="F102" s="12"/>
      <c r="G102" s="12"/>
      <c r="H102" s="12"/>
      <c r="I102" s="12"/>
      <c r="J102" s="12"/>
    </row>
    <row r="103">
      <c r="A103">
        <f>IFERROR(__xludf.DUMMYFUNCTION("""COMPUTED_VALUE"""),155.0)</f>
        <v>155</v>
      </c>
      <c r="B103" s="12" t="str">
        <f>IFERROR(__xludf.DUMMYFUNCTION("""COMPUTED_VALUE"""),"I was registering on a website to buy some lawn mower parts. I don't remember the exact website name.")</f>
        <v>I was registering on a website to buy some lawn mower parts. I don't remember the exact website name.</v>
      </c>
      <c r="C103" s="3"/>
      <c r="D103" s="3"/>
      <c r="E103" s="12"/>
      <c r="F103" s="12"/>
      <c r="G103" s="12"/>
      <c r="H103" s="12"/>
      <c r="I103" s="12"/>
      <c r="J103" s="12"/>
    </row>
    <row r="104">
      <c r="A104">
        <f>IFERROR(__xludf.DUMMYFUNCTION("""COMPUTED_VALUE"""),156.0)</f>
        <v>156</v>
      </c>
      <c r="B104" s="12" t="str">
        <f>IFERROR(__xludf.DUMMYFUNCTION("""COMPUTED_VALUE"""),"I think it was some sort of online service, I don't remember exactly for what though.")</f>
        <v>I think it was some sort of online service, I don't remember exactly for what though.</v>
      </c>
      <c r="C104" s="3"/>
      <c r="D104" s="3"/>
      <c r="E104" s="12"/>
      <c r="F104" s="12"/>
      <c r="G104" s="12"/>
      <c r="H104" s="12"/>
      <c r="I104" s="12"/>
      <c r="J104" s="12"/>
    </row>
    <row r="105">
      <c r="A105">
        <f>IFERROR(__xludf.DUMMYFUNCTION("""COMPUTED_VALUE"""),157.0)</f>
        <v>157</v>
      </c>
      <c r="B105" s="12" t="str">
        <f>IFERROR(__xludf.DUMMYFUNCTION("""COMPUTED_VALUE"""),"Instagram")</f>
        <v>Instagram</v>
      </c>
      <c r="C105" s="3"/>
      <c r="D105" s="3"/>
      <c r="E105" s="3"/>
      <c r="F105" s="3"/>
      <c r="G105" s="12"/>
      <c r="H105" s="12"/>
      <c r="I105" s="12"/>
      <c r="J105" s="12"/>
    </row>
    <row r="106">
      <c r="A106">
        <f>IFERROR(__xludf.DUMMYFUNCTION("""COMPUTED_VALUE"""),158.0)</f>
        <v>158</v>
      </c>
      <c r="B106" s="12" t="str">
        <f>IFERROR(__xludf.DUMMYFUNCTION("""COMPUTED_VALUE"""),"I think it was some shopping app, possibly Poskmark?")</f>
        <v>I think it was some shopping app, possibly Poskmark?</v>
      </c>
      <c r="C106" s="3"/>
      <c r="D106" s="3"/>
      <c r="E106" s="12"/>
      <c r="F106" s="12"/>
      <c r="G106" s="12"/>
      <c r="H106" s="12"/>
      <c r="I106" s="12"/>
      <c r="J106" s="12"/>
    </row>
    <row r="107">
      <c r="A107">
        <f>IFERROR(__xludf.DUMMYFUNCTION("""COMPUTED_VALUE"""),159.0)</f>
        <v>159</v>
      </c>
      <c r="B107" s="12" t="str">
        <f>IFERROR(__xludf.DUMMYFUNCTION("""COMPUTED_VALUE"""),"A restaurant...But I can't remember which one it was.")</f>
        <v>A restaurant...But I can't remember which one it was.</v>
      </c>
      <c r="C107" s="3"/>
      <c r="D107" s="3"/>
      <c r="E107" s="3"/>
      <c r="F107" s="3"/>
      <c r="G107" s="12"/>
      <c r="H107" s="12"/>
      <c r="I107" s="12"/>
      <c r="J107" s="12"/>
    </row>
    <row r="108">
      <c r="A108">
        <f>IFERROR(__xludf.DUMMYFUNCTION("""COMPUTED_VALUE"""),160.0)</f>
        <v>160</v>
      </c>
      <c r="B108" s="12" t="str">
        <f>IFERROR(__xludf.DUMMYFUNCTION("""COMPUTED_VALUE"""),"Last one I recall was Doordash.")</f>
        <v>Last one I recall was Doordash.</v>
      </c>
      <c r="C108" s="3"/>
      <c r="D108" s="3"/>
      <c r="E108" s="3"/>
      <c r="F108" s="12"/>
      <c r="G108" s="12"/>
      <c r="H108" s="12"/>
      <c r="I108" s="12"/>
      <c r="J108" s="12"/>
    </row>
    <row r="109">
      <c r="A109">
        <f>IFERROR(__xludf.DUMMYFUNCTION("""COMPUTED_VALUE"""),162.0)</f>
        <v>162</v>
      </c>
      <c r="B109" s="12" t="str">
        <f>IFERROR(__xludf.DUMMYFUNCTION("""COMPUTED_VALUE"""),"I think it was for my son's school , some sort of educational app.")</f>
        <v>I think it was for my son's school , some sort of educational app.</v>
      </c>
      <c r="C109" s="3"/>
      <c r="D109" s="3"/>
      <c r="E109" s="12"/>
      <c r="F109" s="12"/>
      <c r="G109" s="12"/>
      <c r="H109" s="12"/>
      <c r="I109" s="12"/>
      <c r="J109" s="12"/>
    </row>
    <row r="110">
      <c r="A110">
        <f>IFERROR(__xludf.DUMMYFUNCTION("""COMPUTED_VALUE"""),163.0)</f>
        <v>163</v>
      </c>
      <c r="B110" s="12" t="str">
        <f>IFERROR(__xludf.DUMMYFUNCTION("""COMPUTED_VALUE"""),"I used it to sign into a website like Yelp to look at reviews.")</f>
        <v>I used it to sign into a website like Yelp to look at reviews.</v>
      </c>
      <c r="C110" s="3"/>
      <c r="D110" s="3"/>
      <c r="E110" s="3"/>
      <c r="F110" s="12"/>
      <c r="G110" s="12"/>
      <c r="H110" s="12"/>
      <c r="I110" s="12"/>
      <c r="J110" s="12"/>
    </row>
    <row r="111">
      <c r="A111">
        <f>IFERROR(__xludf.DUMMYFUNCTION("""COMPUTED_VALUE"""),164.0)</f>
        <v>164</v>
      </c>
      <c r="B111" s="12" t="str">
        <f>IFERROR(__xludf.DUMMYFUNCTION("""COMPUTED_VALUE"""),"Ebay")</f>
        <v>Ebay</v>
      </c>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t="str">
        <f>IFERROR(__xludf.DUMMYFUNCTION("""COMPUTED_VALUE"""),"I use it to sign in to google suite software.")</f>
        <v>I use it to sign in to google suite software.</v>
      </c>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t="str">
        <f>IFERROR(__xludf.DUMMYFUNCTION("""COMPUTED_VALUE"""),"Adobe")</f>
        <v>Adobe</v>
      </c>
      <c r="C115" s="3"/>
      <c r="D115" s="12"/>
      <c r="E115" s="12"/>
      <c r="F115" s="12"/>
      <c r="G115" s="12"/>
      <c r="H115" s="12"/>
      <c r="I115" s="12"/>
      <c r="J115" s="12"/>
    </row>
    <row r="116">
      <c r="A116">
        <f>IFERROR(__xludf.DUMMYFUNCTION("""COMPUTED_VALUE"""),170.0)</f>
        <v>170</v>
      </c>
      <c r="B116" s="12" t="str">
        <f>IFERROR(__xludf.DUMMYFUNCTION("""COMPUTED_VALUE"""),"I believe I used it to sign into an online app like Canva for making designs for webpages/graphic design.")</f>
        <v>I believe I used it to sign into an online app like Canva for making designs for webpages/graphic design.</v>
      </c>
      <c r="C116" s="3"/>
      <c r="D116" s="3"/>
      <c r="E116" s="3"/>
      <c r="F116" s="3"/>
      <c r="G116" s="12"/>
      <c r="H116" s="12"/>
      <c r="I116" s="12"/>
      <c r="J116" s="12"/>
    </row>
    <row r="117">
      <c r="A117">
        <f>IFERROR(__xludf.DUMMYFUNCTION("""COMPUTED_VALUE"""),171.0)</f>
        <v>171</v>
      </c>
      <c r="B117" s="12" t="str">
        <f>IFERROR(__xludf.DUMMYFUNCTION("""COMPUTED_VALUE"""),"simplifi")</f>
        <v>simplifi</v>
      </c>
      <c r="C117" s="3"/>
      <c r="D117" s="3"/>
      <c r="E117" s="12"/>
      <c r="F117" s="12"/>
      <c r="G117" s="12"/>
      <c r="H117" s="12"/>
      <c r="I117" s="12"/>
      <c r="J117" s="12"/>
    </row>
    <row r="118">
      <c r="A118">
        <f>IFERROR(__xludf.DUMMYFUNCTION("""COMPUTED_VALUE"""),172.0)</f>
        <v>172</v>
      </c>
      <c r="B118" s="12" t="str">
        <f>IFERROR(__xludf.DUMMYFUNCTION("""COMPUTED_VALUE"""),"I don't remember what the last time was, but I usually use this service for log ins that I deem unimportant in terms of security.")</f>
        <v>I don't remember what the last time was, but I usually use this service for log ins that I deem unimportant in terms of security.</v>
      </c>
      <c r="C118" s="3"/>
      <c r="D118" s="3"/>
      <c r="E118" s="12"/>
      <c r="F118" s="12"/>
      <c r="G118" s="12"/>
      <c r="H118" s="12"/>
      <c r="I118" s="12"/>
      <c r="J118" s="12"/>
    </row>
    <row r="119">
      <c r="A119">
        <f>IFERROR(__xludf.DUMMYFUNCTION("""COMPUTED_VALUE"""),174.0)</f>
        <v>174</v>
      </c>
      <c r="B119" s="12" t="str">
        <f>IFERROR(__xludf.DUMMYFUNCTION("""COMPUTED_VALUE"""),"I think the last time I used a Google Account to sign in was Lumin PDF, a tool that you can use to edit and view PDFs.")</f>
        <v>I think the last time I used a Google Account to sign in was Lumin PDF, a tool that you can use to edit and view PDFs.</v>
      </c>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t="str">
        <f>IFERROR(__xludf.DUMMYFUNCTION("""COMPUTED_VALUE"""),"It was for a communication app for private messaging with my doctor's office.")</f>
        <v>It was for a communication app for private messaging with my doctor's office.</v>
      </c>
      <c r="C121" s="3"/>
      <c r="D121" s="3"/>
      <c r="E121" s="3"/>
      <c r="F121" s="3"/>
      <c r="G121" s="12"/>
      <c r="H121" s="12"/>
      <c r="I121" s="12"/>
      <c r="J121" s="12"/>
    </row>
    <row r="122">
      <c r="A122">
        <f>IFERROR(__xludf.DUMMYFUNCTION("""COMPUTED_VALUE"""),179.0)</f>
        <v>179</v>
      </c>
      <c r="B122" s="12" t="str">
        <f>IFERROR(__xludf.DUMMYFUNCTION("""COMPUTED_VALUE"""),"I use the Google Account to sign into lots of things, I don't remember offhand what the last one was. I also keep most of my services signed in, only having to resubmit login forms when I clear browsing data.")</f>
        <v>I use the Google Account to sign into lots of things, I don't remember offhand what the last one was. I also keep most of my services signed in, only having to resubmit login forms when I clear browsing data.</v>
      </c>
      <c r="C122" s="3"/>
      <c r="D122" s="3"/>
      <c r="E122" s="3"/>
      <c r="F122" s="12"/>
      <c r="G122" s="12"/>
      <c r="H122" s="12"/>
      <c r="I122" s="12"/>
      <c r="J122" s="12"/>
    </row>
    <row r="123">
      <c r="A123">
        <f>IFERROR(__xludf.DUMMYFUNCTION("""COMPUTED_VALUE"""),180.0)</f>
        <v>180</v>
      </c>
      <c r="B123" s="12" t="str">
        <f>IFERROR(__xludf.DUMMYFUNCTION("""COMPUTED_VALUE"""),"I honestly can't remember precisely. I think it might have been Slack or Bitbucket for work.")</f>
        <v>I honestly can't remember precisely. I think it might have been Slack or Bitbucket for work.</v>
      </c>
      <c r="C123" s="3"/>
      <c r="D123" s="3"/>
      <c r="E123" s="3"/>
      <c r="F123" s="3"/>
      <c r="G123" s="12"/>
      <c r="H123" s="12"/>
      <c r="I123" s="12"/>
      <c r="J123" s="12"/>
    </row>
    <row r="124">
      <c r="A124">
        <f>IFERROR(__xludf.DUMMYFUNCTION("""COMPUTED_VALUE"""),182.0)</f>
        <v>182</v>
      </c>
      <c r="B124" s="12" t="str">
        <f>IFERROR(__xludf.DUMMYFUNCTION("""COMPUTED_VALUE"""),"Indeed")</f>
        <v>Indeed</v>
      </c>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t="str">
        <f>IFERROR(__xludf.DUMMYFUNCTION("""COMPUTED_VALUE"""),"Amazon")</f>
        <v>Amazon</v>
      </c>
      <c r="C126" s="3"/>
      <c r="D126" s="3"/>
      <c r="E126" s="12"/>
      <c r="F126" s="12"/>
      <c r="G126" s="12"/>
      <c r="H126" s="12"/>
      <c r="I126" s="12"/>
      <c r="J126" s="12"/>
    </row>
    <row r="127">
      <c r="A127">
        <f>IFERROR(__xludf.DUMMYFUNCTION("""COMPUTED_VALUE"""),187.0)</f>
        <v>187</v>
      </c>
      <c r="B127" s="12" t="str">
        <f>IFERROR(__xludf.DUMMYFUNCTION("""COMPUTED_VALUE"""),"I used my Google account to sign into the McDonald's app.")</f>
        <v>I used my Google account to sign into the McDonald's app.</v>
      </c>
      <c r="C127" s="3"/>
      <c r="D127" s="12"/>
      <c r="E127" s="12"/>
      <c r="F127" s="12"/>
      <c r="G127" s="12"/>
      <c r="H127" s="12"/>
      <c r="I127" s="12"/>
      <c r="J127" s="12"/>
    </row>
    <row r="128">
      <c r="A128">
        <f>IFERROR(__xludf.DUMMYFUNCTION("""COMPUTED_VALUE"""),188.0)</f>
        <v>188</v>
      </c>
      <c r="B128" s="12" t="str">
        <f>IFERROR(__xludf.DUMMYFUNCTION("""COMPUTED_VALUE"""),"Tynker")</f>
        <v>Tynker</v>
      </c>
      <c r="C128" s="3"/>
      <c r="D128" s="3"/>
      <c r="E128" s="3"/>
      <c r="F128" s="3"/>
      <c r="G128" s="12"/>
      <c r="H128" s="12"/>
      <c r="I128" s="12"/>
      <c r="J128" s="12"/>
    </row>
    <row r="129">
      <c r="A129">
        <f>IFERROR(__xludf.DUMMYFUNCTION("""COMPUTED_VALUE"""),189.0)</f>
        <v>189</v>
      </c>
      <c r="B129" s="31" t="str">
        <f>IFERROR(__xludf.DUMMYFUNCTION("""COMPUTED_VALUE"""),"Indeed.com")</f>
        <v>Indeed.com</v>
      </c>
      <c r="C129" s="3"/>
      <c r="D129" s="3"/>
      <c r="E129" s="12"/>
      <c r="F129" s="12"/>
      <c r="G129" s="12"/>
      <c r="H129" s="12"/>
      <c r="I129" s="12"/>
      <c r="J129" s="12"/>
    </row>
    <row r="130">
      <c r="A130">
        <f>IFERROR(__xludf.DUMMYFUNCTION("""COMPUTED_VALUE"""),191.0)</f>
        <v>191</v>
      </c>
      <c r="B130" s="12" t="str">
        <f>IFERROR(__xludf.DUMMYFUNCTION("""COMPUTED_VALUE"""),"Facebook")</f>
        <v>Facebook</v>
      </c>
      <c r="C130" s="3"/>
      <c r="D130" s="3"/>
      <c r="E130" s="3"/>
      <c r="F130" s="3"/>
      <c r="G130" s="12"/>
      <c r="H130" s="12"/>
      <c r="I130" s="12"/>
      <c r="J130" s="12"/>
    </row>
    <row r="131">
      <c r="A131">
        <f>IFERROR(__xludf.DUMMYFUNCTION("""COMPUTED_VALUE"""),192.0)</f>
        <v>192</v>
      </c>
      <c r="B131" s="12" t="str">
        <f>IFERROR(__xludf.DUMMYFUNCTION("""COMPUTED_VALUE"""),"Hubspot")</f>
        <v>Hubspot</v>
      </c>
      <c r="C131" s="3"/>
      <c r="D131" s="3"/>
      <c r="E131" s="12"/>
      <c r="F131" s="12"/>
      <c r="G131" s="12"/>
      <c r="H131" s="12"/>
      <c r="I131" s="12"/>
      <c r="J131" s="12"/>
    </row>
    <row r="132">
      <c r="A132">
        <f>IFERROR(__xludf.DUMMYFUNCTION("""COMPUTED_VALUE"""),194.0)</f>
        <v>194</v>
      </c>
      <c r="B132" s="12" t="str">
        <f>IFERROR(__xludf.DUMMYFUNCTION("""COMPUTED_VALUE"""),"Killi")</f>
        <v>Killi</v>
      </c>
      <c r="C132" s="3"/>
      <c r="D132" s="3"/>
      <c r="E132" s="12"/>
      <c r="F132" s="12"/>
      <c r="G132" s="12"/>
      <c r="H132" s="12"/>
      <c r="I132" s="12"/>
      <c r="J132" s="12"/>
    </row>
    <row r="133">
      <c r="A133">
        <f>IFERROR(__xludf.DUMMYFUNCTION("""COMPUTED_VALUE"""),195.0)</f>
        <v>195</v>
      </c>
      <c r="B133" s="12" t="str">
        <f>IFERROR(__xludf.DUMMYFUNCTION("""COMPUTED_VALUE"""),"Indeed")</f>
        <v>Indeed</v>
      </c>
      <c r="C133" s="3"/>
      <c r="D133" s="3"/>
      <c r="E133" s="12"/>
      <c r="F133" s="12"/>
      <c r="G133" s="12"/>
      <c r="H133" s="12"/>
      <c r="I133" s="12"/>
      <c r="J133" s="12"/>
    </row>
    <row r="134">
      <c r="A134">
        <f>IFERROR(__xludf.DUMMYFUNCTION("""COMPUTED_VALUE"""),198.0)</f>
        <v>198</v>
      </c>
      <c r="B134" s="12" t="str">
        <f>IFERROR(__xludf.DUMMYFUNCTION("""COMPUTED_VALUE"""),"This survey")</f>
        <v>This survey</v>
      </c>
      <c r="C134" s="3"/>
      <c r="D134" s="3"/>
      <c r="E134" s="3"/>
      <c r="F134" s="12"/>
      <c r="G134" s="12"/>
      <c r="H134" s="12"/>
      <c r="I134" s="12"/>
      <c r="J134" s="12"/>
    </row>
    <row r="135">
      <c r="A135">
        <f>IFERROR(__xludf.DUMMYFUNCTION("""COMPUTED_VALUE"""),199.0)</f>
        <v>199</v>
      </c>
      <c r="B135" s="12" t="str">
        <f>IFERROR(__xludf.DUMMYFUNCTION("""COMPUTED_VALUE"""),"Lumen to edit pdfs")</f>
        <v>Lumen to edit pdfs</v>
      </c>
      <c r="C135" s="3"/>
      <c r="D135" s="3"/>
      <c r="E135" s="12"/>
      <c r="F135" s="12"/>
      <c r="G135" s="12"/>
      <c r="H135" s="12"/>
      <c r="I135" s="12"/>
      <c r="J135" s="12"/>
    </row>
    <row r="136">
      <c r="A136">
        <f>IFERROR(__xludf.DUMMYFUNCTION("""COMPUTED_VALUE"""),200.0)</f>
        <v>200</v>
      </c>
      <c r="B136" s="12" t="str">
        <f>IFERROR(__xludf.DUMMYFUNCTION("""COMPUTED_VALUE"""),"I think it was for a food delivery app")</f>
        <v>I think it was for a food delivery app</v>
      </c>
      <c r="C136" s="3"/>
      <c r="D136" s="3"/>
      <c r="E136" s="3"/>
      <c r="F136" s="12"/>
      <c r="G136" s="12"/>
      <c r="H136" s="12"/>
      <c r="I136" s="12"/>
      <c r="J136" s="12"/>
    </row>
    <row r="137">
      <c r="A137">
        <f>IFERROR(__xludf.DUMMYFUNCTION("""COMPUTED_VALUE"""),201.0)</f>
        <v>201</v>
      </c>
      <c r="B137" s="12" t="str">
        <f>IFERROR(__xludf.DUMMYFUNCTION("""COMPUTED_VALUE"""),"I think I did it for another survey app that was using my email.")</f>
        <v>I think I did it for another survey app that was using my email.</v>
      </c>
      <c r="C137" s="3"/>
      <c r="D137" s="3"/>
      <c r="E137" s="12"/>
      <c r="F137" s="12"/>
      <c r="G137" s="12"/>
      <c r="H137" s="12"/>
      <c r="I137" s="12"/>
      <c r="J137" s="12"/>
    </row>
    <row r="138">
      <c r="A138">
        <f>IFERROR(__xludf.DUMMYFUNCTION("""COMPUTED_VALUE"""),202.0)</f>
        <v>202</v>
      </c>
      <c r="B138" s="12" t="str">
        <f>IFERROR(__xludf.DUMMYFUNCTION("""COMPUTED_VALUE"""),"Printify, an on-demand printing company.")</f>
        <v>Printify, an on-demand printing company.</v>
      </c>
      <c r="C138" s="3"/>
      <c r="D138" s="3"/>
      <c r="E138" s="3"/>
      <c r="F138" s="12"/>
      <c r="G138" s="12"/>
      <c r="H138" s="12"/>
      <c r="I138" s="12"/>
      <c r="J138" s="12"/>
    </row>
    <row r="139">
      <c r="A139">
        <f>IFERROR(__xludf.DUMMYFUNCTION("""COMPUTED_VALUE"""),203.0)</f>
        <v>203</v>
      </c>
      <c r="B139" s="12" t="str">
        <f>IFERROR(__xludf.DUMMYFUNCTION("""COMPUTED_VALUE"""),"Linus Tech Tips forum.")</f>
        <v>Linus Tech Tips forum.</v>
      </c>
      <c r="C139" s="3"/>
      <c r="D139" s="3"/>
      <c r="E139" s="3"/>
      <c r="F139" s="12"/>
      <c r="G139" s="12"/>
      <c r="H139" s="12"/>
      <c r="I139" s="12"/>
      <c r="J139" s="12"/>
    </row>
    <row r="140">
      <c r="A140">
        <f>IFERROR(__xludf.DUMMYFUNCTION("""COMPUTED_VALUE"""),204.0)</f>
        <v>204</v>
      </c>
      <c r="B140" s="12" t="str">
        <f>IFERROR(__xludf.DUMMYFUNCTION("""COMPUTED_VALUE"""),"I believe I used it to sign up for a website to make a restaurant reservation")</f>
        <v>I believe I used it to sign up for a website to make a restaurant reservation</v>
      </c>
      <c r="C140" s="3"/>
      <c r="D140" s="3"/>
      <c r="E140" s="3"/>
      <c r="F140" s="3"/>
      <c r="G140" s="12"/>
      <c r="H140" s="12"/>
      <c r="I140" s="12"/>
      <c r="J140" s="12"/>
    </row>
    <row r="141">
      <c r="A141">
        <f>IFERROR(__xludf.DUMMYFUNCTION("""COMPUTED_VALUE"""),207.0)</f>
        <v>207</v>
      </c>
      <c r="B141" s="12" t="str">
        <f>IFERROR(__xludf.DUMMYFUNCTION("""COMPUTED_VALUE"""),"youtube")</f>
        <v>youtube</v>
      </c>
      <c r="C141" s="3"/>
      <c r="D141" s="3"/>
      <c r="E141" s="12"/>
      <c r="F141" s="12"/>
      <c r="G141" s="12"/>
      <c r="H141" s="12"/>
      <c r="I141" s="12"/>
      <c r="J141" s="12"/>
    </row>
    <row r="142">
      <c r="A142">
        <f>IFERROR(__xludf.DUMMYFUNCTION("""COMPUTED_VALUE"""),208.0)</f>
        <v>208</v>
      </c>
      <c r="B142" s="12" t="str">
        <f>IFERROR(__xludf.DUMMYFUNCTION("""COMPUTED_VALUE"""),"The reedsy website")</f>
        <v>The reedsy website</v>
      </c>
      <c r="C142" s="3"/>
      <c r="D142" s="3"/>
      <c r="E142" s="12"/>
      <c r="F142" s="12"/>
      <c r="G142" s="12"/>
      <c r="H142" s="12"/>
      <c r="I142" s="12"/>
      <c r="J142" s="12"/>
    </row>
    <row r="143">
      <c r="A143">
        <f>IFERROR(__xludf.DUMMYFUNCTION("""COMPUTED_VALUE"""),209.0)</f>
        <v>209</v>
      </c>
      <c r="B143" s="12" t="str">
        <f>IFERROR(__xludf.DUMMYFUNCTION("""COMPUTED_VALUE"""),"McDonalds")</f>
        <v>McDonalds</v>
      </c>
      <c r="C143" s="3"/>
      <c r="D143" s="3"/>
      <c r="E143" s="3"/>
      <c r="F143" s="12"/>
      <c r="G143" s="12"/>
      <c r="H143" s="12"/>
      <c r="I143" s="12"/>
      <c r="J143" s="12"/>
    </row>
    <row r="144">
      <c r="A144">
        <f>IFERROR(__xludf.DUMMYFUNCTION("""COMPUTED_VALUE"""),210.0)</f>
        <v>210</v>
      </c>
      <c r="B144" s="12" t="str">
        <f>IFERROR(__xludf.DUMMYFUNCTION("""COMPUTED_VALUE"""),"I can't remember what I actually used it for but I remember pinterest trying to make me sign in, otherwise it seems impossible to look at their site. I refused though, because I don't want to connect with more junk.")</f>
        <v>I can't remember what I actually used it for but I remember pinterest trying to make me sign in, otherwise it seems impossible to look at their site. I refused though, because I don't want to connect with more junk.</v>
      </c>
      <c r="C144" s="3"/>
      <c r="D144" s="3"/>
      <c r="E144" s="3"/>
      <c r="F144" s="3"/>
      <c r="G144" s="3"/>
      <c r="H144" s="12"/>
      <c r="I144" s="12"/>
      <c r="J144" s="12"/>
    </row>
    <row r="145">
      <c r="A145">
        <f>IFERROR(__xludf.DUMMYFUNCTION("""COMPUTED_VALUE"""),212.0)</f>
        <v>212</v>
      </c>
      <c r="B145" s="12" t="str">
        <f>IFERROR(__xludf.DUMMYFUNCTION("""COMPUTED_VALUE"""),"indeed app")</f>
        <v>indeed app</v>
      </c>
      <c r="C145" s="3"/>
      <c r="D145" s="3"/>
      <c r="E145" s="3"/>
      <c r="F145" s="12"/>
      <c r="G145" s="12"/>
      <c r="H145" s="12"/>
      <c r="I145" s="12"/>
      <c r="J145" s="12"/>
    </row>
    <row r="146">
      <c r="A146">
        <f>IFERROR(__xludf.DUMMYFUNCTION("""COMPUTED_VALUE"""),213.0)</f>
        <v>213</v>
      </c>
      <c r="B146" s="12" t="str">
        <f>IFERROR(__xludf.DUMMYFUNCTION("""COMPUTED_VALUE"""),"Spotify")</f>
        <v>Spotify</v>
      </c>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t="str">
        <f>IFERROR(__xludf.DUMMYFUNCTION("""COMPUTED_VALUE"""),"I think I used my google account to sign into my adobe account, but I don't remember.")</f>
        <v>I think I used my google account to sign into my adobe account, but I don't remember.</v>
      </c>
      <c r="C148" s="3"/>
      <c r="D148" s="3"/>
      <c r="E148" s="12"/>
      <c r="F148" s="12"/>
      <c r="H148" s="12"/>
      <c r="I148" s="12"/>
      <c r="J148" s="12"/>
    </row>
    <row r="149">
      <c r="A149">
        <f>IFERROR(__xludf.DUMMYFUNCTION("""COMPUTED_VALUE"""),216.0)</f>
        <v>216</v>
      </c>
      <c r="B149" s="31" t="str">
        <f>IFERROR(__xludf.DUMMYFUNCTION("""COMPUTED_VALUE"""),"avclub.com")</f>
        <v>avclub.com</v>
      </c>
      <c r="C149" s="3"/>
      <c r="D149" s="12"/>
      <c r="E149" s="12"/>
      <c r="F149" s="12"/>
      <c r="H149" s="12"/>
      <c r="I149" s="12"/>
      <c r="J149" s="12"/>
    </row>
    <row r="150">
      <c r="A150">
        <f>IFERROR(__xludf.DUMMYFUNCTION("""COMPUTED_VALUE"""),217.0)</f>
        <v>217</v>
      </c>
      <c r="B150" s="12" t="str">
        <f>IFERROR(__xludf.DUMMYFUNCTION("""COMPUTED_VALUE"""),"A survey site")</f>
        <v>A survey site</v>
      </c>
      <c r="C150" s="3"/>
      <c r="D150" s="3"/>
      <c r="E150" s="3"/>
      <c r="F150" s="3"/>
      <c r="H150" s="12"/>
      <c r="I150" s="12"/>
      <c r="J150" s="12"/>
    </row>
    <row r="151">
      <c r="A151">
        <f>IFERROR(__xludf.DUMMYFUNCTION("""COMPUTED_VALUE"""),220.0)</f>
        <v>220</v>
      </c>
      <c r="B151" s="12" t="str">
        <f>IFERROR(__xludf.DUMMYFUNCTION("""COMPUTED_VALUE"""),"I used my Google Account to log into Canva")</f>
        <v>I used my Google Account to log into Canva</v>
      </c>
      <c r="C151" s="3"/>
      <c r="D151" s="3"/>
      <c r="E151" s="3"/>
      <c r="F151" s="3"/>
      <c r="H151" s="12"/>
      <c r="I151" s="12"/>
      <c r="J151" s="12"/>
    </row>
    <row r="152">
      <c r="A152">
        <f>IFERROR(__xludf.DUMMYFUNCTION("""COMPUTED_VALUE"""),221.0)</f>
        <v>221</v>
      </c>
      <c r="B152" s="12" t="str">
        <f>IFERROR(__xludf.DUMMYFUNCTION("""COMPUTED_VALUE"""),"It was a health portal at my doctor's office")</f>
        <v>It was a health portal at my doctor's office</v>
      </c>
      <c r="C152" s="3"/>
      <c r="D152" s="3"/>
      <c r="E152" s="12"/>
      <c r="F152" s="12"/>
      <c r="H152" s="12"/>
      <c r="I152" s="12"/>
      <c r="J152" s="12"/>
    </row>
    <row r="153">
      <c r="A153">
        <f>IFERROR(__xludf.DUMMYFUNCTION("""COMPUTED_VALUE"""),222.0)</f>
        <v>222</v>
      </c>
      <c r="B153" s="12" t="str">
        <f>IFERROR(__xludf.DUMMYFUNCTION("""COMPUTED_VALUE"""),"This survey")</f>
        <v>This survey</v>
      </c>
      <c r="C153" s="3"/>
      <c r="D153" s="3"/>
      <c r="E153" s="12"/>
      <c r="F153" s="12"/>
      <c r="H153" s="12"/>
      <c r="I153" s="12"/>
      <c r="J153" s="12"/>
    </row>
    <row r="154">
      <c r="A154">
        <f>IFERROR(__xludf.DUMMYFUNCTION("""COMPUTED_VALUE"""),223.0)</f>
        <v>223</v>
      </c>
      <c r="B154" s="12" t="str">
        <f>IFERROR(__xludf.DUMMYFUNCTION("""COMPUTED_VALUE"""),"I can't remember all of the specific services I've used it for, but I have used it several times in the past. I do know one app was Ibotta. I can't really recall the rest though, sorry.")</f>
        <v>I can't remember all of the specific services I've used it for, but I have used it several times in the past. I do know one app was Ibotta. I can't really recall the rest though, sorry.</v>
      </c>
      <c r="C154" s="3"/>
      <c r="D154" s="3"/>
      <c r="E154" s="3"/>
      <c r="F154" s="3"/>
      <c r="H154" s="12"/>
      <c r="I154" s="12"/>
      <c r="J154" s="12"/>
    </row>
    <row r="155">
      <c r="A155">
        <f>IFERROR(__xludf.DUMMYFUNCTION("""COMPUTED_VALUE"""),225.0)</f>
        <v>225</v>
      </c>
      <c r="B155" s="12" t="str">
        <f>IFERROR(__xludf.DUMMYFUNCTION("""COMPUTED_VALUE"""),"I am not sure.")</f>
        <v>I am not sure.</v>
      </c>
      <c r="C155" s="12"/>
      <c r="D155" s="12"/>
      <c r="E155" s="12"/>
      <c r="F155" s="12"/>
      <c r="G155" s="12"/>
      <c r="H155" s="12"/>
      <c r="I155" s="12"/>
      <c r="J155" s="12"/>
    </row>
    <row r="156">
      <c r="A156">
        <f>IFERROR(__xludf.DUMMYFUNCTION("""COMPUTED_VALUE"""),226.0)</f>
        <v>226</v>
      </c>
      <c r="B156" s="12" t="str">
        <f>IFERROR(__xludf.DUMMYFUNCTION("""COMPUTED_VALUE"""),"Nest")</f>
        <v>Nest</v>
      </c>
      <c r="C156" s="12"/>
      <c r="D156" s="12"/>
      <c r="E156" s="12"/>
      <c r="F156" s="12"/>
      <c r="G156" s="12"/>
      <c r="H156" s="12"/>
      <c r="I156" s="12"/>
      <c r="J156" s="12"/>
    </row>
    <row r="157">
      <c r="A157">
        <f>IFERROR(__xludf.DUMMYFUNCTION("""COMPUTED_VALUE"""),228.0)</f>
        <v>228</v>
      </c>
      <c r="B157" s="12" t="str">
        <f>IFERROR(__xludf.DUMMYFUNCTION("""COMPUTED_VALUE"""),"I used my google account to log in to a dating app.")</f>
        <v>I used my google account to log in to a dating app.</v>
      </c>
      <c r="C157" s="12"/>
      <c r="D157" s="12"/>
      <c r="E157" s="12"/>
      <c r="F157" s="12"/>
      <c r="G157" s="12"/>
      <c r="H157" s="12"/>
      <c r="I157" s="12"/>
      <c r="J157" s="12"/>
    </row>
    <row r="158">
      <c r="A158">
        <f>IFERROR(__xludf.DUMMYFUNCTION("""COMPUTED_VALUE"""),230.0)</f>
        <v>230</v>
      </c>
      <c r="B158" s="12" t="str">
        <f>IFERROR(__xludf.DUMMYFUNCTION("""COMPUTED_VALUE"""),"loopnet")</f>
        <v>loopnet</v>
      </c>
      <c r="C158" s="12"/>
      <c r="D158" s="12"/>
      <c r="E158" s="12"/>
      <c r="F158" s="12"/>
      <c r="G158" s="12"/>
      <c r="H158" s="12"/>
      <c r="I158" s="12"/>
      <c r="J158" s="12"/>
    </row>
    <row r="159">
      <c r="A159">
        <f>IFERROR(__xludf.DUMMYFUNCTION("""COMPUTED_VALUE"""),231.0)</f>
        <v>231</v>
      </c>
      <c r="B159" s="12" t="str">
        <f>IFERROR(__xludf.DUMMYFUNCTION("""COMPUTED_VALUE"""),"pinterest")</f>
        <v>pinterest</v>
      </c>
      <c r="C159" s="12"/>
      <c r="D159" s="12"/>
      <c r="E159" s="12"/>
      <c r="F159" s="12"/>
      <c r="G159" s="12"/>
      <c r="H159" s="12"/>
      <c r="I159" s="12"/>
      <c r="J159" s="12"/>
    </row>
    <row r="160">
      <c r="A160">
        <f>IFERROR(__xludf.DUMMYFUNCTION("""COMPUTED_VALUE"""),233.0)</f>
        <v>233</v>
      </c>
      <c r="B160" s="12" t="str">
        <f>IFERROR(__xludf.DUMMYFUNCTION("""COMPUTED_VALUE"""),"GitHub")</f>
        <v>GitHub</v>
      </c>
      <c r="C160" s="12"/>
      <c r="D160" s="12"/>
      <c r="E160" s="12"/>
      <c r="F160" s="12"/>
      <c r="G160" s="12"/>
      <c r="H160" s="12"/>
      <c r="I160" s="12"/>
      <c r="J160" s="12"/>
    </row>
    <row r="161">
      <c r="A161">
        <f>IFERROR(__xludf.DUMMYFUNCTION("""COMPUTED_VALUE"""),234.0)</f>
        <v>234</v>
      </c>
      <c r="B161" s="12" t="str">
        <f>IFERROR(__xludf.DUMMYFUNCTION("""COMPUTED_VALUE"""),"I believe the last single sign in third-party app I signed up for was Sprout. I did it so I could track my twitter engagement (also set up with Google Account I think).")</f>
        <v>I believe the last single sign in third-party app I signed up for was Sprout. I did it so I could track my twitter engagement (also set up with Google Account I think).</v>
      </c>
      <c r="C161" s="12"/>
      <c r="D161" s="12"/>
      <c r="E161" s="12"/>
      <c r="F161" s="12"/>
      <c r="G161" s="12"/>
      <c r="H161" s="12"/>
      <c r="I161" s="12"/>
      <c r="J161" s="12"/>
    </row>
    <row r="162">
      <c r="A162">
        <f>IFERROR(__xludf.DUMMYFUNCTION("""COMPUTED_VALUE"""),235.0)</f>
        <v>235</v>
      </c>
      <c r="B162" s="12" t="str">
        <f>IFERROR(__xludf.DUMMYFUNCTION("""COMPUTED_VALUE"""),"Apple")</f>
        <v>Apple</v>
      </c>
      <c r="C162" s="12"/>
      <c r="D162" s="12"/>
      <c r="E162" s="12"/>
      <c r="F162" s="12"/>
      <c r="G162" s="12"/>
      <c r="H162" s="12"/>
      <c r="I162" s="12"/>
      <c r="J162" s="12"/>
    </row>
    <row r="163">
      <c r="A163">
        <f>IFERROR(__xludf.DUMMYFUNCTION("""COMPUTED_VALUE"""),236.0)</f>
        <v>236</v>
      </c>
      <c r="B163" s="12" t="str">
        <f>IFERROR(__xludf.DUMMYFUNCTION("""COMPUTED_VALUE"""),"I can't recall the exact site, but I remember that it was a well-known, trusted site. I think it was Visa Fast Pay (or whatever that one is called).")</f>
        <v>I can't recall the exact site, but I remember that it was a well-known, trusted site. I think it was Visa Fast Pay (or whatever that one is called).</v>
      </c>
      <c r="C163" s="12"/>
      <c r="D163" s="12"/>
      <c r="E163" s="12"/>
      <c r="F163" s="12"/>
      <c r="G163" s="12"/>
      <c r="H163" s="12"/>
      <c r="I163" s="12"/>
      <c r="J163" s="12"/>
    </row>
    <row r="164">
      <c r="A164">
        <f>IFERROR(__xludf.DUMMYFUNCTION("""COMPUTED_VALUE"""),237.0)</f>
        <v>237</v>
      </c>
      <c r="B164" s="12" t="str">
        <f>IFERROR(__xludf.DUMMYFUNCTION("""COMPUTED_VALUE"""),"Calendly")</f>
        <v>Calendly</v>
      </c>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t="str">
        <f>IFERROR(__xludf.DUMMYFUNCTION("""COMPUTED_VALUE"""),"JetBrains")</f>
        <v>JetBrains</v>
      </c>
      <c r="C166" s="12"/>
      <c r="D166" s="12"/>
      <c r="E166" s="12"/>
      <c r="F166" s="12"/>
      <c r="G166" s="12"/>
      <c r="H166" s="12"/>
      <c r="I166" s="12"/>
      <c r="J166" s="12"/>
    </row>
    <row r="167">
      <c r="A167">
        <f>IFERROR(__xludf.DUMMYFUNCTION("""COMPUTED_VALUE"""),241.0)</f>
        <v>241</v>
      </c>
      <c r="B167" s="31" t="str">
        <f>IFERROR(__xludf.DUMMYFUNCTION("""COMPUTED_VALUE"""),"coinrule.io")</f>
        <v>coinrule.io</v>
      </c>
      <c r="C167" s="12"/>
      <c r="D167" s="12"/>
      <c r="E167" s="12"/>
      <c r="F167" s="12"/>
      <c r="G167" s="12"/>
      <c r="H167" s="12"/>
      <c r="I167" s="12"/>
      <c r="J167" s="12"/>
    </row>
    <row r="168">
      <c r="A168">
        <f>IFERROR(__xludf.DUMMYFUNCTION("""COMPUTED_VALUE"""),242.0)</f>
        <v>242</v>
      </c>
      <c r="B168" s="12" t="str">
        <f>IFERROR(__xludf.DUMMYFUNCTION("""COMPUTED_VALUE"""),"uber eats")</f>
        <v>uber eats</v>
      </c>
      <c r="C168" s="12"/>
      <c r="D168" s="12"/>
      <c r="E168" s="12"/>
      <c r="F168" s="12"/>
      <c r="G168" s="12"/>
      <c r="H168" s="12"/>
      <c r="I168" s="12"/>
      <c r="J168" s="12"/>
    </row>
    <row r="169">
      <c r="A169">
        <f>IFERROR(__xludf.DUMMYFUNCTION("""COMPUTED_VALUE"""),245.0)</f>
        <v>245</v>
      </c>
      <c r="B169" s="12" t="str">
        <f>IFERROR(__xludf.DUMMYFUNCTION("""COMPUTED_VALUE"""),"This survey. Prior to that, likely You Need a Budget.")</f>
        <v>This survey. Prior to that, likely You Need a Budget.</v>
      </c>
      <c r="C169" s="12"/>
      <c r="D169" s="12"/>
      <c r="E169" s="12"/>
      <c r="F169" s="12"/>
      <c r="G169" s="12"/>
      <c r="H169" s="12"/>
      <c r="I169" s="12"/>
      <c r="J169" s="12"/>
    </row>
    <row r="170">
      <c r="A170">
        <f>IFERROR(__xludf.DUMMYFUNCTION("""COMPUTED_VALUE"""),246.0)</f>
        <v>246</v>
      </c>
      <c r="B170" s="12" t="str">
        <f>IFERROR(__xludf.DUMMYFUNCTION("""COMPUTED_VALUE"""),"Reddit, Youtube")</f>
        <v>Reddit, Youtube</v>
      </c>
      <c r="C170" s="12"/>
      <c r="D170" s="12"/>
      <c r="E170" s="12"/>
      <c r="F170" s="12"/>
      <c r="G170" s="12"/>
      <c r="H170" s="12"/>
      <c r="I170" s="12"/>
      <c r="J170" s="12"/>
    </row>
    <row r="171">
      <c r="A171">
        <f>IFERROR(__xludf.DUMMYFUNCTION("""COMPUTED_VALUE"""),248.0)</f>
        <v>248</v>
      </c>
      <c r="B171" s="12" t="str">
        <f>IFERROR(__xludf.DUMMYFUNCTION("""COMPUTED_VALUE"""),"uber")</f>
        <v>uber</v>
      </c>
      <c r="C171" s="12"/>
      <c r="D171" s="12"/>
      <c r="E171" s="12"/>
      <c r="F171" s="12"/>
      <c r="G171" s="12"/>
      <c r="H171" s="12"/>
      <c r="I171" s="12"/>
      <c r="J171" s="12"/>
    </row>
    <row r="172">
      <c r="A172">
        <f>IFERROR(__xludf.DUMMYFUNCTION("""COMPUTED_VALUE"""),249.0)</f>
        <v>249</v>
      </c>
      <c r="B172" s="12" t="str">
        <f>IFERROR(__xludf.DUMMYFUNCTION("""COMPUTED_VALUE"""),"A Nintendo app.")</f>
        <v>A Nintendo app.</v>
      </c>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t="str">
        <f>IFERROR(__xludf.DUMMYFUNCTION("""COMPUTED_VALUE"""),"zoom")</f>
        <v>zoom</v>
      </c>
      <c r="C176" s="12"/>
      <c r="D176" s="12"/>
      <c r="E176" s="12"/>
      <c r="F176" s="12"/>
      <c r="G176" s="12"/>
      <c r="H176" s="12"/>
      <c r="I176" s="12"/>
      <c r="J176" s="12"/>
    </row>
    <row r="177">
      <c r="A177">
        <f>IFERROR(__xludf.DUMMYFUNCTION("""COMPUTED_VALUE"""),256.0)</f>
        <v>256</v>
      </c>
      <c r="B177" s="12" t="str">
        <f>IFERROR(__xludf.DUMMYFUNCTION("""COMPUTED_VALUE"""),"I used my Google Account to sign in to an app called Dabbl where you view ads to earn points that you can cash out for gift cards.")</f>
        <v>I used my Google Account to sign in to an app called Dabbl where you view ads to earn points that you can cash out for gift cards.</v>
      </c>
      <c r="C177" s="12"/>
      <c r="D177" s="12"/>
      <c r="E177" s="12"/>
      <c r="F177" s="12"/>
      <c r="G177" s="12"/>
      <c r="H177" s="12"/>
      <c r="I177" s="12"/>
      <c r="J177" s="12"/>
    </row>
    <row r="178">
      <c r="A178">
        <f>IFERROR(__xludf.DUMMYFUNCTION("""COMPUTED_VALUE"""),257.0)</f>
        <v>257</v>
      </c>
      <c r="B178" s="31" t="str">
        <f>IFERROR(__xludf.DUMMYFUNCTION("""COMPUTED_VALUE"""),"canva.com")</f>
        <v>canva.com</v>
      </c>
      <c r="C178" s="12"/>
      <c r="D178" s="12"/>
      <c r="E178" s="12"/>
      <c r="F178" s="12"/>
      <c r="G178" s="12"/>
      <c r="H178" s="12"/>
      <c r="I178" s="12"/>
      <c r="J178" s="12"/>
    </row>
    <row r="179">
      <c r="A179">
        <f>IFERROR(__xludf.DUMMYFUNCTION("""COMPUTED_VALUE"""),258.0)</f>
        <v>258</v>
      </c>
      <c r="B179" s="12" t="str">
        <f>IFERROR(__xludf.DUMMYFUNCTION("""COMPUTED_VALUE"""),"I can't remember which site it was off the top of my head sadly")</f>
        <v>I can't remember which site it was off the top of my head sadly</v>
      </c>
      <c r="C179" s="12"/>
      <c r="D179" s="12"/>
      <c r="E179" s="12"/>
      <c r="F179" s="12"/>
      <c r="G179" s="12"/>
      <c r="H179" s="12"/>
      <c r="I179" s="12"/>
      <c r="J179" s="12"/>
    </row>
    <row r="180">
      <c r="A180">
        <f>IFERROR(__xludf.DUMMYFUNCTION("""COMPUTED_VALUE"""),259.0)</f>
        <v>259</v>
      </c>
      <c r="B180" s="12" t="str">
        <f>IFERROR(__xludf.DUMMYFUNCTION("""COMPUTED_VALUE"""),"A website we use for school called talking points.")</f>
        <v>A website we use for school called talking points.</v>
      </c>
      <c r="C180" s="12"/>
      <c r="D180" s="12"/>
      <c r="E180" s="12"/>
      <c r="F180" s="12"/>
      <c r="G180" s="12"/>
      <c r="H180" s="12"/>
      <c r="I180" s="12"/>
      <c r="J180" s="12"/>
    </row>
    <row r="181">
      <c r="A181">
        <f>IFERROR(__xludf.DUMMYFUNCTION("""COMPUTED_VALUE"""),260.0)</f>
        <v>260</v>
      </c>
      <c r="B181" s="12" t="str">
        <f>IFERROR(__xludf.DUMMYFUNCTION("""COMPUTED_VALUE"""),"App for a local restaurant")</f>
        <v>App for a local restaurant</v>
      </c>
      <c r="C181" s="12"/>
      <c r="D181" s="12"/>
      <c r="E181" s="12"/>
      <c r="F181" s="12"/>
      <c r="G181" s="12"/>
      <c r="H181" s="12"/>
      <c r="I181" s="12"/>
      <c r="J181" s="12"/>
    </row>
    <row r="182">
      <c r="A182">
        <f>IFERROR(__xludf.DUMMYFUNCTION("""COMPUTED_VALUE"""),261.0)</f>
        <v>261</v>
      </c>
      <c r="B182" s="12" t="str">
        <f>IFERROR(__xludf.DUMMYFUNCTION("""COMPUTED_VALUE"""),"Reddit.")</f>
        <v>Reddit.</v>
      </c>
      <c r="C182" s="12"/>
      <c r="D182" s="12"/>
      <c r="E182" s="12"/>
      <c r="F182" s="12"/>
      <c r="G182" s="12"/>
      <c r="H182" s="12"/>
      <c r="I182" s="12"/>
      <c r="J182" s="12"/>
    </row>
    <row r="183">
      <c r="A183">
        <f>IFERROR(__xludf.DUMMYFUNCTION("""COMPUTED_VALUE"""),262.0)</f>
        <v>262</v>
      </c>
      <c r="B183" s="12" t="str">
        <f>IFERROR(__xludf.DUMMYFUNCTION("""COMPUTED_VALUE"""),"I don't recall.")</f>
        <v>I don't recall.</v>
      </c>
      <c r="C183" s="12"/>
      <c r="D183" s="12"/>
      <c r="E183" s="12"/>
      <c r="F183" s="12"/>
      <c r="G183" s="12"/>
      <c r="H183" s="12"/>
      <c r="I183" s="12"/>
      <c r="J183" s="12"/>
    </row>
    <row r="184">
      <c r="A184">
        <f>IFERROR(__xludf.DUMMYFUNCTION("""COMPUTED_VALUE"""),263.0)</f>
        <v>263</v>
      </c>
      <c r="B184" s="12" t="str">
        <f>IFERROR(__xludf.DUMMYFUNCTION("""COMPUTED_VALUE"""),"I think mcdonalds app")</f>
        <v>I think mcdonalds app</v>
      </c>
      <c r="C184" s="12"/>
      <c r="D184" s="12"/>
      <c r="E184" s="12"/>
      <c r="F184" s="12"/>
      <c r="G184" s="12"/>
      <c r="H184" s="12"/>
      <c r="I184" s="12"/>
      <c r="J184" s="12"/>
    </row>
    <row r="185">
      <c r="A185">
        <f>IFERROR(__xludf.DUMMYFUNCTION("""COMPUTED_VALUE"""),264.0)</f>
        <v>264</v>
      </c>
      <c r="B185" s="12" t="str">
        <f>IFERROR(__xludf.DUMMYFUNCTION("""COMPUTED_VALUE"""),"stockx")</f>
        <v>stockx</v>
      </c>
      <c r="C185" s="12"/>
      <c r="D185" s="12"/>
      <c r="E185" s="12"/>
      <c r="F185" s="12"/>
      <c r="G185" s="12"/>
      <c r="H185" s="12"/>
      <c r="I185" s="12"/>
      <c r="J185" s="12"/>
    </row>
    <row r="186">
      <c r="A186">
        <f>IFERROR(__xludf.DUMMYFUNCTION("""COMPUTED_VALUE"""),266.0)</f>
        <v>266</v>
      </c>
      <c r="B186" s="12" t="str">
        <f>IFERROR(__xludf.DUMMYFUNCTION("""COMPUTED_VALUE"""),"Ebay")</f>
        <v>Ebay</v>
      </c>
      <c r="C186" s="12"/>
      <c r="D186" s="12"/>
      <c r="E186" s="12"/>
      <c r="F186" s="12"/>
      <c r="G186" s="12"/>
      <c r="H186" s="12"/>
      <c r="I186" s="12"/>
      <c r="J186" s="12"/>
    </row>
    <row r="187">
      <c r="A187">
        <f>IFERROR(__xludf.DUMMYFUNCTION("""COMPUTED_VALUE"""),268.0)</f>
        <v>268</v>
      </c>
      <c r="B187" s="12" t="str">
        <f>IFERROR(__xludf.DUMMYFUNCTION("""COMPUTED_VALUE"""),"To make a hair cut appoint on Vagaro")</f>
        <v>To make a hair cut appoint on Vagaro</v>
      </c>
      <c r="C187" s="12"/>
      <c r="D187" s="12"/>
      <c r="E187" s="12"/>
      <c r="F187" s="12"/>
      <c r="G187" s="12"/>
      <c r="H187" s="12"/>
      <c r="I187" s="12"/>
      <c r="J187" s="12"/>
    </row>
    <row r="188">
      <c r="A188">
        <f>IFERROR(__xludf.DUMMYFUNCTION("""COMPUTED_VALUE"""),270.0)</f>
        <v>270</v>
      </c>
      <c r="B188" s="12" t="str">
        <f>IFERROR(__xludf.DUMMYFUNCTION("""COMPUTED_VALUE"""),"shein")</f>
        <v>shein</v>
      </c>
      <c r="C188" s="12"/>
      <c r="D188" s="12"/>
      <c r="E188" s="12"/>
      <c r="F188" s="12"/>
      <c r="G188" s="12"/>
      <c r="H188" s="12"/>
      <c r="I188" s="12"/>
      <c r="J188" s="12"/>
    </row>
    <row r="189">
      <c r="A189">
        <f>IFERROR(__xludf.DUMMYFUNCTION("""COMPUTED_VALUE"""),271.0)</f>
        <v>271</v>
      </c>
      <c r="B189" s="12" t="str">
        <f>IFERROR(__xludf.DUMMYFUNCTION("""COMPUTED_VALUE"""),"I think it was facebook?")</f>
        <v>I think it was facebook?</v>
      </c>
      <c r="C189" s="12"/>
      <c r="D189" s="12"/>
      <c r="E189" s="12"/>
      <c r="F189" s="12"/>
      <c r="G189" s="12"/>
      <c r="H189" s="12"/>
      <c r="I189" s="12"/>
      <c r="J189" s="12"/>
    </row>
    <row r="190">
      <c r="A190">
        <f>IFERROR(__xludf.DUMMYFUNCTION("""COMPUTED_VALUE"""),273.0)</f>
        <v>273</v>
      </c>
      <c r="B190" s="12" t="str">
        <f>IFERROR(__xludf.DUMMYFUNCTION("""COMPUTED_VALUE"""),"I use this service all the time, I sign in to all the apps on my phone with Google, from Twitter to my Fifth Third Banking account, to Facebook.")</f>
        <v>I use this service all the time, I sign in to all the apps on my phone with Google, from Twitter to my Fifth Third Banking account, to Facebook.</v>
      </c>
      <c r="C190" s="12"/>
      <c r="D190" s="12"/>
      <c r="E190" s="12"/>
      <c r="F190" s="12"/>
      <c r="G190" s="12"/>
      <c r="H190" s="12"/>
      <c r="I190" s="12"/>
      <c r="J190" s="12"/>
    </row>
    <row r="191">
      <c r="A191">
        <f>IFERROR(__xludf.DUMMYFUNCTION("""COMPUTED_VALUE"""),275.0)</f>
        <v>275</v>
      </c>
      <c r="B191" s="12" t="str">
        <f>IFERROR(__xludf.DUMMYFUNCTION("""COMPUTED_VALUE"""),"Upvoice is the app I was trying to use.")</f>
        <v>Upvoice is the app I was trying to use.</v>
      </c>
      <c r="C191" s="12"/>
      <c r="D191" s="12"/>
      <c r="E191" s="12"/>
      <c r="F191" s="12"/>
      <c r="G191" s="12"/>
      <c r="H191" s="12"/>
      <c r="I191" s="12"/>
      <c r="J191" s="12"/>
    </row>
    <row r="192">
      <c r="A192">
        <f>IFERROR(__xludf.DUMMYFUNCTION("""COMPUTED_VALUE"""),276.0)</f>
        <v>276</v>
      </c>
      <c r="B192" s="12" t="str">
        <f>IFERROR(__xludf.DUMMYFUNCTION("""COMPUTED_VALUE"""),"Honey")</f>
        <v>Honey</v>
      </c>
      <c r="C192" s="12"/>
      <c r="D192" s="12"/>
      <c r="E192" s="12"/>
      <c r="F192" s="12"/>
      <c r="G192" s="12"/>
      <c r="H192" s="12"/>
      <c r="I192" s="12"/>
      <c r="J192" s="12"/>
    </row>
    <row r="193">
      <c r="A193">
        <f>IFERROR(__xludf.DUMMYFUNCTION("""COMPUTED_VALUE"""),277.0)</f>
        <v>277</v>
      </c>
      <c r="B193" s="12" t="str">
        <f>IFERROR(__xludf.DUMMYFUNCTION("""COMPUTED_VALUE"""),"Hideout TV")</f>
        <v>Hideout TV</v>
      </c>
      <c r="C193" s="12"/>
      <c r="D193" s="12"/>
      <c r="E193" s="12"/>
      <c r="F193" s="12"/>
      <c r="G193" s="12"/>
      <c r="H193" s="12"/>
      <c r="I193" s="12"/>
      <c r="J193" s="12"/>
    </row>
    <row r="194">
      <c r="A194">
        <f>IFERROR(__xludf.DUMMYFUNCTION("""COMPUTED_VALUE"""),278.0)</f>
        <v>278</v>
      </c>
      <c r="B194" s="12" t="str">
        <f>IFERROR(__xludf.DUMMYFUNCTION("""COMPUTED_VALUE"""),"Grammarly")</f>
        <v>Grammarly</v>
      </c>
      <c r="C194" s="12"/>
      <c r="D194" s="12"/>
      <c r="E194" s="12"/>
      <c r="F194" s="12"/>
      <c r="G194" s="12"/>
      <c r="H194" s="12"/>
      <c r="I194" s="12"/>
      <c r="J194" s="12"/>
    </row>
    <row r="195">
      <c r="A195">
        <f>IFERROR(__xludf.DUMMYFUNCTION("""COMPUTED_VALUE"""),279.0)</f>
        <v>279</v>
      </c>
      <c r="B195" s="12" t="str">
        <f>IFERROR(__xludf.DUMMYFUNCTION("""COMPUTED_VALUE"""),"Quizlet")</f>
        <v>Quizlet</v>
      </c>
      <c r="C195" s="12"/>
      <c r="D195" s="12"/>
      <c r="E195" s="12"/>
      <c r="F195" s="12"/>
      <c r="G195" s="12"/>
      <c r="H195" s="12"/>
      <c r="I195" s="12"/>
      <c r="J195" s="12"/>
    </row>
    <row r="196">
      <c r="A196">
        <f>IFERROR(__xludf.DUMMYFUNCTION("""COMPUTED_VALUE"""),284.0)</f>
        <v>284</v>
      </c>
      <c r="B196" s="12" t="str">
        <f>IFERROR(__xludf.DUMMYFUNCTION("""COMPUTED_VALUE"""),"TextNow")</f>
        <v>TextNow</v>
      </c>
      <c r="C196" s="12"/>
      <c r="D196" s="12"/>
      <c r="E196" s="12"/>
      <c r="F196" s="12"/>
      <c r="G196" s="12"/>
      <c r="H196" s="12"/>
      <c r="I196" s="12"/>
      <c r="J196" s="12"/>
    </row>
    <row r="197">
      <c r="A197">
        <f>IFERROR(__xludf.DUMMYFUNCTION("""COMPUTED_VALUE"""),285.0)</f>
        <v>285</v>
      </c>
      <c r="B197" s="12" t="str">
        <f>IFERROR(__xludf.DUMMYFUNCTION("""COMPUTED_VALUE"""),"A PDF editing site")</f>
        <v>A PDF editing site</v>
      </c>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t="str">
        <f>IFERROR(__xludf.DUMMYFUNCTION("""COMPUTED_VALUE"""),"Canva")</f>
        <v>Canva</v>
      </c>
      <c r="C199" s="12"/>
      <c r="D199" s="12"/>
      <c r="E199" s="12"/>
      <c r="F199" s="12"/>
      <c r="G199" s="12"/>
      <c r="H199" s="12"/>
      <c r="I199" s="12"/>
      <c r="J199" s="12"/>
    </row>
    <row r="200">
      <c r="A200">
        <f>IFERROR(__xludf.DUMMYFUNCTION("""COMPUTED_VALUE"""),291.0)</f>
        <v>291</v>
      </c>
      <c r="B200" s="31" t="str">
        <f>IFERROR(__xludf.DUMMYFUNCTION("""COMPUTED_VALUE"""),"Realtor.com")</f>
        <v>Realtor.com</v>
      </c>
      <c r="C200" s="12"/>
      <c r="D200" s="12"/>
      <c r="E200" s="12"/>
      <c r="F200" s="12"/>
      <c r="G200" s="12"/>
      <c r="H200" s="12"/>
      <c r="I200" s="12"/>
      <c r="J200" s="12"/>
    </row>
    <row r="201">
      <c r="A201">
        <f>IFERROR(__xludf.DUMMYFUNCTION("""COMPUTED_VALUE"""),292.0)</f>
        <v>292</v>
      </c>
      <c r="B201" s="12" t="str">
        <f>IFERROR(__xludf.DUMMYFUNCTION("""COMPUTED_VALUE"""),"Facebook")</f>
        <v>Facebook</v>
      </c>
      <c r="C201" s="12"/>
      <c r="D201" s="12"/>
      <c r="E201" s="12"/>
      <c r="F201" s="12"/>
      <c r="G201" s="12"/>
      <c r="H201" s="12"/>
      <c r="I201" s="12"/>
      <c r="J201" s="12"/>
    </row>
    <row r="202">
      <c r="A202">
        <f>IFERROR(__xludf.DUMMYFUNCTION("""COMPUTED_VALUE"""),295.0)</f>
        <v>295</v>
      </c>
      <c r="B202" s="12" t="str">
        <f>IFERROR(__xludf.DUMMYFUNCTION("""COMPUTED_VALUE"""),"Online courses")</f>
        <v>Online courses</v>
      </c>
      <c r="C202" s="12"/>
      <c r="D202" s="12"/>
      <c r="E202" s="12"/>
      <c r="F202" s="12"/>
      <c r="G202" s="12"/>
      <c r="H202" s="12"/>
      <c r="I202" s="12"/>
      <c r="J202" s="12"/>
    </row>
    <row r="203">
      <c r="A203">
        <f>IFERROR(__xludf.DUMMYFUNCTION("""COMPUTED_VALUE"""),296.0)</f>
        <v>296</v>
      </c>
      <c r="B203" s="12" t="str">
        <f>IFERROR(__xludf.DUMMYFUNCTION("""COMPUTED_VALUE"""),"Epic Games")</f>
        <v>Epic Games</v>
      </c>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t="str">
        <f>IFERROR(__xludf.DUMMYFUNCTION("""COMPUTED_VALUE"""),"I remember it was for an organization app called Notion.")</f>
        <v>I remember it was for an organization app called Notion.</v>
      </c>
      <c r="C205" s="12"/>
      <c r="D205" s="12"/>
      <c r="E205" s="12"/>
      <c r="F205" s="12"/>
      <c r="G205" s="12"/>
      <c r="H205" s="12"/>
      <c r="I205" s="12"/>
      <c r="J205" s="12"/>
    </row>
    <row r="206">
      <c r="A206">
        <f>IFERROR(__xludf.DUMMYFUNCTION("""COMPUTED_VALUE"""),299.0)</f>
        <v>299</v>
      </c>
      <c r="B206" s="12" t="str">
        <f>IFERROR(__xludf.DUMMYFUNCTION("""COMPUTED_VALUE"""),"Social media, website forums, etc")</f>
        <v>Social media, website forums, etc</v>
      </c>
      <c r="C206" s="12"/>
      <c r="D206" s="12"/>
      <c r="E206" s="12"/>
      <c r="F206" s="12"/>
      <c r="G206" s="12"/>
      <c r="H206" s="12"/>
      <c r="I206" s="12"/>
      <c r="J206" s="12"/>
    </row>
    <row r="207">
      <c r="A207">
        <f>IFERROR(__xludf.DUMMYFUNCTION("""COMPUTED_VALUE"""),300.0)</f>
        <v>300</v>
      </c>
      <c r="B207" s="12" t="str">
        <f>IFERROR(__xludf.DUMMYFUNCTION("""COMPUTED_VALUE"""),"It was the eBay app.")</f>
        <v>It was the eBay app.</v>
      </c>
      <c r="C207" s="12"/>
      <c r="D207" s="12"/>
      <c r="E207" s="12"/>
      <c r="F207" s="12"/>
      <c r="G207" s="12"/>
      <c r="H207" s="12"/>
      <c r="I207" s="12"/>
      <c r="J207" s="12"/>
    </row>
    <row r="208">
      <c r="A208">
        <f>IFERROR(__xludf.DUMMYFUNCTION("""COMPUTED_VALUE"""),301.0)</f>
        <v>301</v>
      </c>
      <c r="B208" s="12" t="str">
        <f>IFERROR(__xludf.DUMMYFUNCTION("""COMPUTED_VALUE"""),"It was for some game but I cant remember the name")</f>
        <v>It was for some game but I cant remember the name</v>
      </c>
      <c r="C208" s="12"/>
      <c r="D208" s="12"/>
      <c r="E208" s="12"/>
      <c r="F208" s="12"/>
      <c r="G208" s="12"/>
      <c r="H208" s="12"/>
      <c r="I208" s="12"/>
      <c r="J208" s="12"/>
    </row>
    <row r="209">
      <c r="A209">
        <f>IFERROR(__xludf.DUMMYFUNCTION("""COMPUTED_VALUE"""),302.0)</f>
        <v>302</v>
      </c>
      <c r="B209" s="12" t="str">
        <f>IFERROR(__xludf.DUMMYFUNCTION("""COMPUTED_VALUE"""),"Pinterest")</f>
        <v>Pinterest</v>
      </c>
      <c r="C209" s="12"/>
      <c r="D209" s="12"/>
      <c r="E209" s="12"/>
      <c r="F209" s="12"/>
      <c r="G209" s="12"/>
      <c r="H209" s="12"/>
      <c r="I209" s="12"/>
      <c r="J209" s="12"/>
    </row>
    <row r="210">
      <c r="A210">
        <f>IFERROR(__xludf.DUMMYFUNCTION("""COMPUTED_VALUE"""),303.0)</f>
        <v>303</v>
      </c>
      <c r="B210" s="12" t="str">
        <f>IFERROR(__xludf.DUMMYFUNCTION("""COMPUTED_VALUE"""),"I used it to sign into my ESPN account.")</f>
        <v>I used it to sign into my ESPN account.</v>
      </c>
      <c r="C210" s="12"/>
      <c r="D210" s="12"/>
      <c r="E210" s="12"/>
      <c r="F210" s="12"/>
      <c r="G210" s="12"/>
      <c r="H210" s="12"/>
      <c r="I210" s="12"/>
      <c r="J210" s="12"/>
    </row>
    <row r="211">
      <c r="A211">
        <f>IFERROR(__xludf.DUMMYFUNCTION("""COMPUTED_VALUE"""),305.0)</f>
        <v>305</v>
      </c>
      <c r="B211" s="12" t="str">
        <f>IFERROR(__xludf.DUMMYFUNCTION("""COMPUTED_VALUE"""),"eBay.")</f>
        <v>eBay.</v>
      </c>
      <c r="C211" s="12"/>
      <c r="D211" s="12"/>
      <c r="E211" s="12"/>
      <c r="F211" s="12"/>
      <c r="G211" s="12"/>
      <c r="H211" s="12"/>
      <c r="I211" s="12"/>
      <c r="J211" s="12"/>
    </row>
    <row r="212">
      <c r="A212">
        <f>IFERROR(__xludf.DUMMYFUNCTION("""COMPUTED_VALUE"""),306.0)</f>
        <v>306</v>
      </c>
      <c r="B212" s="12" t="str">
        <f>IFERROR(__xludf.DUMMYFUNCTION("""COMPUTED_VALUE"""),"I don't remember specifically")</f>
        <v>I don't remember specifically</v>
      </c>
      <c r="C212" s="12"/>
      <c r="D212" s="12"/>
      <c r="E212" s="12"/>
      <c r="F212" s="12"/>
      <c r="G212" s="12"/>
      <c r="H212" s="12"/>
      <c r="I212" s="12"/>
      <c r="J212" s="12"/>
    </row>
    <row r="213">
      <c r="A213">
        <f>IFERROR(__xludf.DUMMYFUNCTION("""COMPUTED_VALUE"""),307.0)</f>
        <v>307</v>
      </c>
      <c r="B213" s="12" t="str">
        <f>IFERROR(__xludf.DUMMYFUNCTION("""COMPUTED_VALUE"""),"Paypal")</f>
        <v>Paypal</v>
      </c>
      <c r="C213" s="12"/>
      <c r="D213" s="12"/>
      <c r="E213" s="12"/>
      <c r="F213" s="12"/>
      <c r="G213" s="12"/>
      <c r="H213" s="12"/>
      <c r="I213" s="12"/>
      <c r="J213" s="12"/>
    </row>
    <row r="214">
      <c r="A214">
        <f>IFERROR(__xludf.DUMMYFUNCTION("""COMPUTED_VALUE"""),308.0)</f>
        <v>308</v>
      </c>
      <c r="B214" s="12" t="str">
        <f>IFERROR(__xludf.DUMMYFUNCTION("""COMPUTED_VALUE"""),"mobile game, Fire Emblem Heroes")</f>
        <v>mobile game, Fire Emblem Heroes</v>
      </c>
      <c r="C214" s="12"/>
      <c r="D214" s="12"/>
      <c r="E214" s="12"/>
      <c r="F214" s="12"/>
      <c r="G214" s="12"/>
      <c r="H214" s="12"/>
      <c r="I214" s="12"/>
      <c r="J214" s="12"/>
    </row>
    <row r="215">
      <c r="A215">
        <f>IFERROR(__xludf.DUMMYFUNCTION("""COMPUTED_VALUE"""),309.0)</f>
        <v>309</v>
      </c>
      <c r="B215" s="12" t="str">
        <f>IFERROR(__xludf.DUMMYFUNCTION("""COMPUTED_VALUE"""),"Microsoft Job App")</f>
        <v>Microsoft Job App</v>
      </c>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t="str">
        <f>IFERROR(__xludf.DUMMYFUNCTION("""COMPUTED_VALUE"""),"Zillow")</f>
        <v>Zillow</v>
      </c>
      <c r="C217" s="12"/>
      <c r="D217" s="12"/>
      <c r="E217" s="12"/>
      <c r="F217" s="12"/>
      <c r="G217" s="12"/>
      <c r="H217" s="12"/>
      <c r="I217" s="12"/>
      <c r="J217" s="12"/>
    </row>
    <row r="218">
      <c r="A218">
        <f>IFERROR(__xludf.DUMMYFUNCTION("""COMPUTED_VALUE"""),312.0)</f>
        <v>312</v>
      </c>
      <c r="B218" s="12" t="str">
        <f>IFERROR(__xludf.DUMMYFUNCTION("""COMPUTED_VALUE"""),"Forums, different retail sites")</f>
        <v>Forums, different retail sites</v>
      </c>
      <c r="C218" s="12"/>
      <c r="D218" s="12"/>
      <c r="E218" s="12"/>
      <c r="F218" s="12"/>
      <c r="G218" s="12"/>
      <c r="H218" s="12"/>
      <c r="I218" s="12"/>
      <c r="J218" s="12"/>
    </row>
    <row r="219">
      <c r="A219">
        <f>IFERROR(__xludf.DUMMYFUNCTION("""COMPUTED_VALUE"""),313.0)</f>
        <v>313</v>
      </c>
      <c r="B219" s="12" t="str">
        <f>IFERROR(__xludf.DUMMYFUNCTION("""COMPUTED_VALUE"""),"A restaurant ordering platform")</f>
        <v>A restaurant ordering platform</v>
      </c>
      <c r="C219" s="12"/>
      <c r="D219" s="12"/>
      <c r="E219" s="12"/>
      <c r="F219" s="12"/>
      <c r="G219" s="12"/>
      <c r="H219" s="12"/>
      <c r="I219" s="12"/>
      <c r="J219" s="12"/>
    </row>
    <row r="220">
      <c r="A220">
        <f>IFERROR(__xludf.DUMMYFUNCTION("""COMPUTED_VALUE"""),314.0)</f>
        <v>314</v>
      </c>
      <c r="B220" s="12" t="str">
        <f>IFERROR(__xludf.DUMMYFUNCTION("""COMPUTED_VALUE"""),"Github")</f>
        <v>Github</v>
      </c>
      <c r="C220" s="12"/>
      <c r="D220" s="12"/>
      <c r="E220" s="12"/>
      <c r="F220" s="12"/>
      <c r="G220" s="12"/>
      <c r="H220" s="12"/>
      <c r="I220" s="12"/>
      <c r="J220" s="12"/>
    </row>
    <row r="221">
      <c r="A221">
        <f>IFERROR(__xludf.DUMMYFUNCTION("""COMPUTED_VALUE"""),315.0)</f>
        <v>315</v>
      </c>
      <c r="B221" s="12" t="str">
        <f>IFERROR(__xludf.DUMMYFUNCTION("""COMPUTED_VALUE"""),"Gaming apps that save information online as a backup.")</f>
        <v>Gaming apps that save information online as a backup.</v>
      </c>
      <c r="C221" s="12"/>
      <c r="D221" s="12"/>
      <c r="E221" s="12"/>
      <c r="F221" s="12"/>
      <c r="G221" s="12"/>
      <c r="H221" s="12"/>
      <c r="I221" s="12"/>
      <c r="J221" s="12"/>
    </row>
    <row r="222">
      <c r="A222">
        <f>IFERROR(__xludf.DUMMYFUNCTION("""COMPUTED_VALUE"""),317.0)</f>
        <v>317</v>
      </c>
      <c r="B222" s="12" t="str">
        <f>IFERROR(__xludf.DUMMYFUNCTION("""COMPUTED_VALUE"""),"Online shopping sites")</f>
        <v>Online shopping sites</v>
      </c>
      <c r="C222" s="12"/>
      <c r="D222" s="12"/>
      <c r="E222" s="12"/>
      <c r="F222" s="12"/>
      <c r="G222" s="12"/>
      <c r="H222" s="12"/>
      <c r="I222" s="12"/>
      <c r="J222" s="12"/>
    </row>
    <row r="223">
      <c r="A223">
        <f>IFERROR(__xludf.DUMMYFUNCTION("""COMPUTED_VALUE"""),318.0)</f>
        <v>318</v>
      </c>
      <c r="B223" s="12" t="str">
        <f>IFERROR(__xludf.DUMMYFUNCTION("""COMPUTED_VALUE"""),"It was Zillow")</f>
        <v>It was Zillow</v>
      </c>
      <c r="C223" s="12"/>
      <c r="D223" s="12"/>
      <c r="E223" s="12"/>
      <c r="F223" s="12"/>
      <c r="G223" s="12"/>
      <c r="H223" s="12"/>
      <c r="I223" s="12"/>
      <c r="J223" s="12"/>
    </row>
    <row r="224">
      <c r="A224">
        <f>IFERROR(__xludf.DUMMYFUNCTION("""COMPUTED_VALUE"""),319.0)</f>
        <v>319</v>
      </c>
      <c r="B224" s="12" t="str">
        <f>IFERROR(__xludf.DUMMYFUNCTION("""COMPUTED_VALUE"""),"A mobile game called Dragon Ball Legends")</f>
        <v>A mobile game called Dragon Ball Legends</v>
      </c>
      <c r="C224" s="12"/>
      <c r="D224" s="12"/>
      <c r="E224" s="12"/>
      <c r="F224" s="12"/>
      <c r="G224" s="12"/>
      <c r="H224" s="12"/>
      <c r="I224" s="12"/>
      <c r="J224" s="12"/>
    </row>
    <row r="225">
      <c r="A225">
        <f>IFERROR(__xludf.DUMMYFUNCTION("""COMPUTED_VALUE"""),321.0)</f>
        <v>321</v>
      </c>
      <c r="B225" s="12" t="str">
        <f>IFERROR(__xludf.DUMMYFUNCTION("""COMPUTED_VALUE"""),"Twitter")</f>
        <v>Twitter</v>
      </c>
      <c r="C225" s="12"/>
      <c r="D225" s="12"/>
      <c r="E225" s="12"/>
      <c r="F225" s="12"/>
      <c r="G225" s="12"/>
      <c r="H225" s="12"/>
      <c r="I225" s="12"/>
      <c r="J225" s="12"/>
    </row>
    <row r="226">
      <c r="A226">
        <f>IFERROR(__xludf.DUMMYFUNCTION("""COMPUTED_VALUE"""),322.0)</f>
        <v>322</v>
      </c>
      <c r="B226" s="12" t="str">
        <f>IFERROR(__xludf.DUMMYFUNCTION("""COMPUTED_VALUE"""),"I used my account to sign into YouTube.")</f>
        <v>I used my account to sign into YouTube.</v>
      </c>
      <c r="C226" s="12"/>
      <c r="D226" s="12"/>
      <c r="E226" s="12"/>
      <c r="F226" s="12"/>
      <c r="G226" s="12"/>
      <c r="H226" s="12"/>
      <c r="I226" s="12"/>
      <c r="J226" s="12"/>
    </row>
    <row r="227">
      <c r="A227">
        <f>IFERROR(__xludf.DUMMYFUNCTION("""COMPUTED_VALUE"""),323.0)</f>
        <v>323</v>
      </c>
      <c r="B227" s="12" t="str">
        <f>IFERROR(__xludf.DUMMYFUNCTION("""COMPUTED_VALUE"""),"Honey")</f>
        <v>Honey</v>
      </c>
      <c r="C227" s="12"/>
      <c r="D227" s="12"/>
      <c r="E227" s="12"/>
      <c r="F227" s="12"/>
      <c r="G227" s="12"/>
      <c r="H227" s="12"/>
      <c r="I227" s="12"/>
      <c r="J227" s="12"/>
    </row>
    <row r="228">
      <c r="A228">
        <f>IFERROR(__xludf.DUMMYFUNCTION("""COMPUTED_VALUE"""),325.0)</f>
        <v>325</v>
      </c>
      <c r="B228" s="12" t="str">
        <f>IFERROR(__xludf.DUMMYFUNCTION("""COMPUTED_VALUE"""),"I believe I used it to sign into my NVidia account so I could update my drivers for my video card.")</f>
        <v>I believe I used it to sign into my NVidia account so I could update my drivers for my video card.</v>
      </c>
      <c r="C228" s="12"/>
      <c r="D228" s="12"/>
      <c r="E228" s="12"/>
      <c r="F228" s="12"/>
      <c r="G228" s="12"/>
      <c r="H228" s="12"/>
      <c r="I228" s="12"/>
      <c r="J228" s="12"/>
    </row>
    <row r="229">
      <c r="A229">
        <f>IFERROR(__xludf.DUMMYFUNCTION("""COMPUTED_VALUE"""),326.0)</f>
        <v>326</v>
      </c>
      <c r="B229" s="12" t="str">
        <f>IFERROR(__xludf.DUMMYFUNCTION("""COMPUTED_VALUE"""),"I can't specifically recall, because it has been a long time, but I know I have signed into other sites with my google account.")</f>
        <v>I can't specifically recall, because it has been a long time, but I know I have signed into other sites with my google account.</v>
      </c>
      <c r="C229" s="12"/>
      <c r="D229" s="12"/>
      <c r="E229" s="12"/>
      <c r="F229" s="12"/>
      <c r="G229" s="12"/>
      <c r="H229" s="12"/>
      <c r="I229" s="12"/>
      <c r="J229" s="12"/>
    </row>
    <row r="230">
      <c r="A230">
        <f>IFERROR(__xludf.DUMMYFUNCTION("""COMPUTED_VALUE"""),327.0)</f>
        <v>327</v>
      </c>
      <c r="B230" s="12" t="str">
        <f>IFERROR(__xludf.DUMMYFUNCTION("""COMPUTED_VALUE"""),"I use a service called ""Gramfree"" and use my Google Account to login.")</f>
        <v>I use a service called "Gramfree" and use my Google Account to login.</v>
      </c>
      <c r="C230" s="12"/>
      <c r="D230" s="12"/>
      <c r="E230" s="12"/>
      <c r="F230" s="12"/>
      <c r="G230" s="12"/>
      <c r="H230" s="12"/>
      <c r="I230" s="12"/>
      <c r="J230" s="12"/>
    </row>
    <row r="231">
      <c r="A231">
        <f>IFERROR(__xludf.DUMMYFUNCTION("""COMPUTED_VALUE"""),328.0)</f>
        <v>328</v>
      </c>
      <c r="B231" s="12" t="str">
        <f>IFERROR(__xludf.DUMMYFUNCTION("""COMPUTED_VALUE"""),"Red Robin")</f>
        <v>Red Robin</v>
      </c>
      <c r="C231" s="12"/>
      <c r="D231" s="12"/>
      <c r="E231" s="12"/>
      <c r="F231" s="12"/>
      <c r="G231" s="12"/>
      <c r="H231" s="12"/>
      <c r="I231" s="12"/>
      <c r="J231" s="12"/>
    </row>
    <row r="232">
      <c r="A232">
        <f>IFERROR(__xludf.DUMMYFUNCTION("""COMPUTED_VALUE"""),329.0)</f>
        <v>329</v>
      </c>
      <c r="B232" s="12" t="str">
        <f>IFERROR(__xludf.DUMMYFUNCTION("""COMPUTED_VALUE"""),"Discogs")</f>
        <v>Discogs</v>
      </c>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t="str">
        <f>IFERROR(__xludf.DUMMYFUNCTION("""COMPUTED_VALUE"""),"Glassdoor")</f>
        <v>Glassdoor</v>
      </c>
      <c r="C234" s="12"/>
      <c r="D234" s="12"/>
      <c r="E234" s="12"/>
      <c r="F234" s="12"/>
      <c r="G234" s="12"/>
      <c r="H234" s="12"/>
      <c r="I234" s="12"/>
      <c r="J234" s="12"/>
    </row>
    <row r="235">
      <c r="A235">
        <f>IFERROR(__xludf.DUMMYFUNCTION("""COMPUTED_VALUE"""),332.0)</f>
        <v>332</v>
      </c>
      <c r="B235" s="12" t="str">
        <f>IFERROR(__xludf.DUMMYFUNCTION("""COMPUTED_VALUE"""),"I believe it was Etsy? But I could be wrong.")</f>
        <v>I believe it was Etsy? But I could be wrong.</v>
      </c>
      <c r="C235" s="12"/>
      <c r="D235" s="12"/>
      <c r="E235" s="12"/>
      <c r="F235" s="12"/>
      <c r="G235" s="12"/>
      <c r="H235" s="12"/>
      <c r="I235" s="12"/>
      <c r="J235" s="12"/>
    </row>
    <row r="236">
      <c r="A236">
        <f>IFERROR(__xludf.DUMMYFUNCTION("""COMPUTED_VALUE"""),333.0)</f>
        <v>333</v>
      </c>
      <c r="B236" s="12" t="str">
        <f>IFERROR(__xludf.DUMMYFUNCTION("""COMPUTED_VALUE"""),"I signed into a site for leaving reviews.")</f>
        <v>I signed into a site for leaving reviews.</v>
      </c>
      <c r="C236" s="12"/>
      <c r="D236" s="12"/>
      <c r="E236" s="12"/>
      <c r="F236" s="12"/>
      <c r="G236" s="12"/>
      <c r="H236" s="12"/>
      <c r="I236" s="12"/>
      <c r="J236" s="12"/>
    </row>
    <row r="237">
      <c r="A237">
        <f>IFERROR(__xludf.DUMMYFUNCTION("""COMPUTED_VALUE"""),335.0)</f>
        <v>335</v>
      </c>
      <c r="B237" s="12" t="str">
        <f>IFERROR(__xludf.DUMMYFUNCTION("""COMPUTED_VALUE"""),"McDonald's")</f>
        <v>McDonald's</v>
      </c>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t="str">
        <f>IFERROR(__xludf.DUMMYFUNCTION("""COMPUTED_VALUE"""),"hmm... probaby Thredup (shopping), or offerup (buying and selling).")</f>
        <v>hmm... probaby Thredup (shopping), or offerup (buying and selling).</v>
      </c>
      <c r="C239" s="12"/>
      <c r="D239" s="12"/>
      <c r="E239" s="12"/>
      <c r="F239" s="12"/>
      <c r="G239" s="12"/>
      <c r="H239" s="12"/>
      <c r="I239" s="12"/>
      <c r="J239" s="12"/>
    </row>
    <row r="240">
      <c r="A240">
        <f>IFERROR(__xludf.DUMMYFUNCTION("""COMPUTED_VALUE"""),338.0)</f>
        <v>338</v>
      </c>
      <c r="B240" s="12" t="str">
        <f>IFERROR(__xludf.DUMMYFUNCTION("""COMPUTED_VALUE"""),"The last app that I used my Google Account to sign into was shopping online at ASOS using the app.")</f>
        <v>The last app that I used my Google Account to sign into was shopping online at ASOS using the app.</v>
      </c>
      <c r="C240" s="12"/>
      <c r="D240" s="12"/>
      <c r="E240" s="12"/>
      <c r="F240" s="12"/>
      <c r="G240" s="12"/>
      <c r="H240" s="12"/>
      <c r="I240" s="12"/>
      <c r="J240" s="12"/>
    </row>
    <row r="241">
      <c r="A241">
        <f>IFERROR(__xludf.DUMMYFUNCTION("""COMPUTED_VALUE"""),339.0)</f>
        <v>339</v>
      </c>
      <c r="B241" s="12" t="str">
        <f>IFERROR(__xludf.DUMMYFUNCTION("""COMPUTED_VALUE"""),"Lots of shopping websites online.")</f>
        <v>Lots of shopping websites online.</v>
      </c>
      <c r="C241" s="12"/>
      <c r="D241" s="12"/>
      <c r="E241" s="12"/>
      <c r="F241" s="12"/>
      <c r="G241" s="12"/>
      <c r="H241" s="12"/>
      <c r="I241" s="12"/>
      <c r="J241" s="12"/>
    </row>
    <row r="242">
      <c r="A242">
        <f>IFERROR(__xludf.DUMMYFUNCTION("""COMPUTED_VALUE"""),340.0)</f>
        <v>340</v>
      </c>
      <c r="B242" s="12" t="str">
        <f>IFERROR(__xludf.DUMMYFUNCTION("""COMPUTED_VALUE"""),"Canvas")</f>
        <v>Canvas</v>
      </c>
      <c r="C242" s="12"/>
      <c r="D242" s="12"/>
      <c r="E242" s="12"/>
      <c r="F242" s="12"/>
      <c r="G242" s="12"/>
      <c r="H242" s="12"/>
      <c r="I242" s="12"/>
      <c r="J242" s="12"/>
    </row>
    <row r="243">
      <c r="A243">
        <f>IFERROR(__xludf.DUMMYFUNCTION("""COMPUTED_VALUE"""),341.0)</f>
        <v>341</v>
      </c>
      <c r="B243" s="12" t="str">
        <f>IFERROR(__xludf.DUMMYFUNCTION("""COMPUTED_VALUE"""),"Reddit")</f>
        <v>Reddit</v>
      </c>
      <c r="C243" s="12"/>
      <c r="D243" s="12"/>
      <c r="E243" s="12"/>
      <c r="F243" s="12"/>
      <c r="G243" s="12"/>
      <c r="H243" s="12"/>
      <c r="I243" s="12"/>
      <c r="J243" s="12"/>
    </row>
    <row r="244">
      <c r="A244">
        <f>IFERROR(__xludf.DUMMYFUNCTION("""COMPUTED_VALUE"""),342.0)</f>
        <v>342</v>
      </c>
      <c r="B244" s="12" t="str">
        <f>IFERROR(__xludf.DUMMYFUNCTION("""COMPUTED_VALUE"""),"i don't remember")</f>
        <v>i don't remember</v>
      </c>
      <c r="C244" s="12"/>
      <c r="D244" s="12"/>
      <c r="E244" s="12"/>
      <c r="F244" s="12"/>
      <c r="G244" s="12"/>
      <c r="H244" s="12"/>
      <c r="I244" s="12"/>
      <c r="J244" s="12"/>
    </row>
    <row r="245">
      <c r="A245">
        <f>IFERROR(__xludf.DUMMYFUNCTION("""COMPUTED_VALUE"""),345.0)</f>
        <v>345</v>
      </c>
      <c r="B245" s="12" t="str">
        <f>IFERROR(__xludf.DUMMYFUNCTION("""COMPUTED_VALUE"""),"I use it to sign into news websites.")</f>
        <v>I use it to sign into news websites.</v>
      </c>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IFERROR(__xludf.DUMMYFUNCTION("""COMPUTED_VALUE"""),"I used it to create a tiktok account.")</f>
        <v>I used it to create a tiktok account.</v>
      </c>
      <c r="C247" s="12"/>
      <c r="D247" s="12"/>
      <c r="E247" s="12"/>
      <c r="F247" s="12"/>
      <c r="G247" s="12"/>
      <c r="H247" s="12"/>
      <c r="I247" s="12"/>
      <c r="J247" s="12"/>
    </row>
    <row r="248">
      <c r="A248">
        <f>IFERROR(__xludf.DUMMYFUNCTION("""COMPUTED_VALUE"""),351.0)</f>
        <v>351</v>
      </c>
      <c r="B248" s="12" t="str">
        <f>IFERROR(__xludf.DUMMYFUNCTION("""COMPUTED_VALUE"""),"Espn")</f>
        <v>Espn</v>
      </c>
      <c r="C248" s="12"/>
      <c r="D248" s="12"/>
      <c r="E248" s="12"/>
      <c r="F248" s="12"/>
      <c r="G248" s="12"/>
      <c r="H248" s="12"/>
      <c r="I248" s="12"/>
      <c r="J248" s="12"/>
    </row>
    <row r="249">
      <c r="A249">
        <f>IFERROR(__xludf.DUMMYFUNCTION("""COMPUTED_VALUE"""),352.0)</f>
        <v>352</v>
      </c>
      <c r="B249" s="12" t="str">
        <f>IFERROR(__xludf.DUMMYFUNCTION("""COMPUTED_VALUE"""),"I believe it was Valorant the game by Riot.")</f>
        <v>I believe it was Valorant the game by Riot.</v>
      </c>
      <c r="C249" s="12"/>
      <c r="D249" s="12"/>
      <c r="E249" s="12"/>
      <c r="F249" s="12"/>
      <c r="G249" s="12"/>
      <c r="H249" s="12"/>
      <c r="I249" s="12"/>
      <c r="J249" s="12"/>
    </row>
    <row r="250">
      <c r="A250">
        <f>IFERROR(__xludf.DUMMYFUNCTION("""COMPUTED_VALUE"""),354.0)</f>
        <v>354</v>
      </c>
      <c r="B250" s="12" t="str">
        <f>IFERROR(__xludf.DUMMYFUNCTION("""COMPUTED_VALUE"""),"Etsy")</f>
        <v>Etsy</v>
      </c>
      <c r="C250" s="12"/>
      <c r="D250" s="12"/>
      <c r="E250" s="12"/>
      <c r="F250" s="12"/>
      <c r="G250" s="12"/>
      <c r="H250" s="12"/>
      <c r="I250" s="12"/>
      <c r="J250" s="12"/>
    </row>
    <row r="251">
      <c r="A251">
        <f>IFERROR(__xludf.DUMMYFUNCTION("""COMPUTED_VALUE"""),355.0)</f>
        <v>355</v>
      </c>
      <c r="B251" s="12" t="str">
        <f>IFERROR(__xludf.DUMMYFUNCTION("""COMPUTED_VALUE"""),"I use it to login to Pokemon Go")</f>
        <v>I use it to login to Pokemon Go</v>
      </c>
      <c r="C251" s="12"/>
      <c r="D251" s="12"/>
      <c r="E251" s="12"/>
      <c r="F251" s="12"/>
      <c r="G251" s="12"/>
      <c r="H251" s="12"/>
      <c r="I251" s="12"/>
      <c r="J251" s="12"/>
    </row>
    <row r="252">
      <c r="A252">
        <f>IFERROR(__xludf.DUMMYFUNCTION("""COMPUTED_VALUE"""),357.0)</f>
        <v>357</v>
      </c>
      <c r="B252" s="12" t="str">
        <f>IFERROR(__xludf.DUMMYFUNCTION("""COMPUTED_VALUE"""),"Youtube")</f>
        <v>Youtube</v>
      </c>
      <c r="C252" s="12"/>
      <c r="D252" s="12"/>
      <c r="E252" s="12"/>
      <c r="F252" s="12"/>
      <c r="G252" s="12"/>
      <c r="H252" s="12"/>
      <c r="I252" s="12"/>
      <c r="J252" s="12"/>
    </row>
    <row r="253">
      <c r="A253">
        <f>IFERROR(__xludf.DUMMYFUNCTION("""COMPUTED_VALUE"""),358.0)</f>
        <v>358</v>
      </c>
      <c r="B253" s="12" t="str">
        <f>IFERROR(__xludf.DUMMYFUNCTION("""COMPUTED_VALUE"""),"I don't remember but it was a service online that I didn't want to take the time to create an account. I think it was Zoom")</f>
        <v>I don't remember but it was a service online that I didn't want to take the time to create an account. I think it was Zoom</v>
      </c>
      <c r="C253" s="12"/>
      <c r="D253" s="12"/>
      <c r="E253" s="12"/>
      <c r="F253" s="12"/>
      <c r="G253" s="12"/>
      <c r="H253" s="12"/>
      <c r="I253" s="12"/>
      <c r="J253" s="12"/>
    </row>
    <row r="254">
      <c r="A254">
        <f>IFERROR(__xludf.DUMMYFUNCTION("""COMPUTED_VALUE"""),360.0)</f>
        <v>360</v>
      </c>
      <c r="B254" s="12" t="str">
        <f>IFERROR(__xludf.DUMMYFUNCTION("""COMPUTED_VALUE"""),"Zillow")</f>
        <v>Zillow</v>
      </c>
      <c r="C254" s="12"/>
      <c r="D254" s="12"/>
      <c r="E254" s="12"/>
      <c r="F254" s="12"/>
      <c r="G254" s="12"/>
      <c r="H254" s="12"/>
      <c r="I254" s="12"/>
      <c r="J254" s="12"/>
    </row>
    <row r="255">
      <c r="A255">
        <f>IFERROR(__xludf.DUMMYFUNCTION("""COMPUTED_VALUE"""),361.0)</f>
        <v>361</v>
      </c>
      <c r="B255" s="12" t="str">
        <f>IFERROR(__xludf.DUMMYFUNCTION("""COMPUTED_VALUE"""),"I used it for a stock photo account")</f>
        <v>I used it for a stock photo account</v>
      </c>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t="str">
        <f>IFERROR(__xludf.DUMMYFUNCTION("""COMPUTED_VALUE"""),"The last time I used Google Account was yesterday for facebook.")</f>
        <v>The last time I used Google Account was yesterday for facebook.</v>
      </c>
      <c r="C257" s="12"/>
      <c r="D257" s="12"/>
      <c r="E257" s="12"/>
      <c r="F257" s="12"/>
      <c r="G257" s="12"/>
      <c r="H257" s="12"/>
      <c r="I257" s="12"/>
      <c r="J257" s="12"/>
    </row>
    <row r="258">
      <c r="A258">
        <f>IFERROR(__xludf.DUMMYFUNCTION("""COMPUTED_VALUE"""),364.0)</f>
        <v>364</v>
      </c>
      <c r="B258" s="12" t="str">
        <f>IFERROR(__xludf.DUMMYFUNCTION("""COMPUTED_VALUE"""),"An android game in the play store.")</f>
        <v>An android game in the play store.</v>
      </c>
      <c r="C258" s="12"/>
      <c r="D258" s="12"/>
      <c r="E258" s="12"/>
      <c r="F258" s="12"/>
      <c r="G258" s="12"/>
      <c r="H258" s="12"/>
      <c r="I258" s="12"/>
      <c r="J258" s="12"/>
    </row>
    <row r="259">
      <c r="A259">
        <f>IFERROR(__xludf.DUMMYFUNCTION("""COMPUTED_VALUE"""),365.0)</f>
        <v>365</v>
      </c>
      <c r="B259" s="12" t="str">
        <f>IFERROR(__xludf.DUMMYFUNCTION("""COMPUTED_VALUE"""),"Epic Games Store")</f>
        <v>Epic Games Store</v>
      </c>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t="str">
        <f>IFERROR(__xludf.DUMMYFUNCTION("""COMPUTED_VALUE"""),"Pinterest")</f>
        <v>Pinterest</v>
      </c>
      <c r="C261" s="12"/>
      <c r="D261" s="12"/>
      <c r="E261" s="12"/>
      <c r="F261" s="12"/>
      <c r="G261" s="12"/>
      <c r="H261" s="12"/>
      <c r="I261" s="12"/>
      <c r="J261" s="12"/>
    </row>
    <row r="262">
      <c r="A262">
        <f>IFERROR(__xludf.DUMMYFUNCTION("""COMPUTED_VALUE"""),368.0)</f>
        <v>368</v>
      </c>
      <c r="B262" s="12" t="str">
        <f>IFERROR(__xludf.DUMMYFUNCTION("""COMPUTED_VALUE"""),"PlayerAuctions")</f>
        <v>PlayerAuctions</v>
      </c>
      <c r="C262" s="12"/>
      <c r="D262" s="12"/>
      <c r="E262" s="12"/>
      <c r="F262" s="12"/>
      <c r="G262" s="12"/>
      <c r="H262" s="12"/>
      <c r="I262" s="12"/>
      <c r="J262" s="12"/>
    </row>
    <row r="263">
      <c r="A263">
        <f>IFERROR(__xludf.DUMMYFUNCTION("""COMPUTED_VALUE"""),372.0)</f>
        <v>372</v>
      </c>
      <c r="B263" s="12" t="str">
        <f>IFERROR(__xludf.DUMMYFUNCTION("""COMPUTED_VALUE"""),"Doordash")</f>
        <v>Doordash</v>
      </c>
      <c r="C263" s="12"/>
      <c r="D263" s="12"/>
      <c r="E263" s="12"/>
      <c r="F263" s="12"/>
      <c r="G263" s="12"/>
      <c r="H263" s="12"/>
      <c r="I263" s="12"/>
      <c r="J263" s="12"/>
    </row>
    <row r="264">
      <c r="A264">
        <f>IFERROR(__xludf.DUMMYFUNCTION("""COMPUTED_VALUE"""),373.0)</f>
        <v>373</v>
      </c>
      <c r="B264" s="12" t="str">
        <f>IFERROR(__xludf.DUMMYFUNCTION("""COMPUTED_VALUE"""),"Probably Yelp")</f>
        <v>Probably Yelp</v>
      </c>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31" t="str">
        <f>IFERROR(__xludf.DUMMYFUNCTION("""COMPUTED_VALUE"""),"Quora.com")</f>
        <v>Quora.com</v>
      </c>
      <c r="C266" s="12"/>
      <c r="D266" s="12"/>
      <c r="E266" s="12"/>
      <c r="F266" s="12"/>
      <c r="G266" s="12"/>
      <c r="H266" s="12"/>
      <c r="I266" s="12"/>
      <c r="J266" s="12"/>
    </row>
    <row r="267">
      <c r="A267">
        <f>IFERROR(__xludf.DUMMYFUNCTION("""COMPUTED_VALUE"""),377.0)</f>
        <v>377</v>
      </c>
      <c r="B267" s="12" t="str">
        <f>IFERROR(__xludf.DUMMYFUNCTION("""COMPUTED_VALUE"""),"The last time I remember signing up with a Google Account was either for a Chewy or GPay account.")</f>
        <v>The last time I remember signing up with a Google Account was either for a Chewy or GPay account.</v>
      </c>
      <c r="C267" s="12"/>
      <c r="D267" s="12"/>
      <c r="E267" s="12"/>
      <c r="F267" s="12"/>
      <c r="G267" s="12"/>
      <c r="H267" s="12"/>
      <c r="I267" s="12"/>
      <c r="J267" s="12"/>
    </row>
    <row r="268">
      <c r="A268">
        <f>IFERROR(__xludf.DUMMYFUNCTION("""COMPUTED_VALUE"""),379.0)</f>
        <v>379</v>
      </c>
      <c r="B268" s="12" t="str">
        <f>IFERROR(__xludf.DUMMYFUNCTION("""COMPUTED_VALUE"""),"I believe it was to use Samsung Shop, to order some clothing online.")</f>
        <v>I believe it was to use Samsung Shop, to order some clothing online.</v>
      </c>
      <c r="C268" s="12"/>
      <c r="D268" s="12"/>
      <c r="E268" s="12"/>
      <c r="F268" s="12"/>
      <c r="G268" s="12"/>
      <c r="H268" s="12"/>
      <c r="I268" s="12"/>
      <c r="J268" s="12"/>
    </row>
    <row r="269">
      <c r="A269">
        <f>IFERROR(__xludf.DUMMYFUNCTION("""COMPUTED_VALUE"""),381.0)</f>
        <v>381</v>
      </c>
      <c r="B269" s="12" t="str">
        <f>IFERROR(__xludf.DUMMYFUNCTION("""COMPUTED_VALUE"""),"theRealReal")</f>
        <v>theRealReal</v>
      </c>
      <c r="C269" s="12"/>
      <c r="D269" s="12"/>
      <c r="E269" s="12"/>
      <c r="F269" s="12"/>
      <c r="G269" s="12"/>
      <c r="H269" s="12"/>
      <c r="I269" s="12"/>
      <c r="J269" s="12"/>
    </row>
    <row r="270">
      <c r="A270">
        <f>IFERROR(__xludf.DUMMYFUNCTION("""COMPUTED_VALUE"""),382.0)</f>
        <v>382</v>
      </c>
      <c r="B270" s="12" t="str">
        <f>IFERROR(__xludf.DUMMYFUNCTION("""COMPUTED_VALUE"""),"Quora")</f>
        <v>Quora</v>
      </c>
      <c r="C270" s="12"/>
      <c r="D270" s="12"/>
      <c r="E270" s="12"/>
      <c r="F270" s="12"/>
      <c r="G270" s="12"/>
      <c r="H270" s="12"/>
      <c r="I270" s="12"/>
      <c r="J270" s="12"/>
    </row>
    <row r="271">
      <c r="A271">
        <f>IFERROR(__xludf.DUMMYFUNCTION("""COMPUTED_VALUE"""),383.0)</f>
        <v>383</v>
      </c>
      <c r="B271" s="12" t="str">
        <f>IFERROR(__xludf.DUMMYFUNCTION("""COMPUTED_VALUE"""),"disney app")</f>
        <v>disney app</v>
      </c>
      <c r="C271" s="12"/>
      <c r="D271" s="12"/>
      <c r="E271" s="12"/>
      <c r="F271" s="12"/>
      <c r="G271" s="12"/>
      <c r="H271" s="12"/>
      <c r="I271" s="12"/>
      <c r="J271" s="12"/>
    </row>
    <row r="272">
      <c r="A272">
        <f>IFERROR(__xludf.DUMMYFUNCTION("""COMPUTED_VALUE"""),384.0)</f>
        <v>384</v>
      </c>
      <c r="B272" s="12" t="str">
        <f>IFERROR(__xludf.DUMMYFUNCTION("""COMPUTED_VALUE"""),"rakuten")</f>
        <v>rakuten</v>
      </c>
      <c r="C272" s="12"/>
      <c r="D272" s="12"/>
      <c r="E272" s="12"/>
      <c r="F272" s="12"/>
      <c r="G272" s="12"/>
      <c r="H272" s="12"/>
      <c r="I272" s="12"/>
      <c r="J272" s="12"/>
    </row>
    <row r="273">
      <c r="A273">
        <f>IFERROR(__xludf.DUMMYFUNCTION("""COMPUTED_VALUE"""),385.0)</f>
        <v>385</v>
      </c>
      <c r="B273" s="12" t="str">
        <f>IFERROR(__xludf.DUMMYFUNCTION("""COMPUTED_VALUE"""),"some form of cashback service.")</f>
        <v>some form of cashback service.</v>
      </c>
      <c r="C273" s="12"/>
      <c r="D273" s="12"/>
      <c r="E273" s="12"/>
      <c r="F273" s="12"/>
      <c r="G273" s="12"/>
      <c r="H273" s="12"/>
      <c r="I273" s="12"/>
      <c r="J273" s="12"/>
    </row>
    <row r="274">
      <c r="A274">
        <f>IFERROR(__xludf.DUMMYFUNCTION("""COMPUTED_VALUE"""),386.0)</f>
        <v>386</v>
      </c>
      <c r="B274" s="12" t="str">
        <f>IFERROR(__xludf.DUMMYFUNCTION("""COMPUTED_VALUE"""),"Coinbase")</f>
        <v>Coinbase</v>
      </c>
      <c r="C274" s="12"/>
      <c r="D274" s="12"/>
      <c r="E274" s="12"/>
      <c r="F274" s="12"/>
      <c r="G274" s="12"/>
      <c r="H274" s="12"/>
      <c r="I274" s="12"/>
      <c r="J274" s="12"/>
    </row>
    <row r="275">
      <c r="A275">
        <f>IFERROR(__xludf.DUMMYFUNCTION("""COMPUTED_VALUE"""),387.0)</f>
        <v>387</v>
      </c>
      <c r="B275" s="12" t="str">
        <f>IFERROR(__xludf.DUMMYFUNCTION("""COMPUTED_VALUE"""),"I think the last time was to sign into my facebook account.")</f>
        <v>I think the last time was to sign into my facebook account.</v>
      </c>
      <c r="C275" s="12"/>
      <c r="D275" s="12"/>
      <c r="E275" s="12"/>
      <c r="F275" s="12"/>
      <c r="G275" s="12"/>
      <c r="H275" s="12"/>
      <c r="I275" s="12"/>
      <c r="J275" s="12"/>
    </row>
    <row r="276">
      <c r="A276">
        <f>IFERROR(__xludf.DUMMYFUNCTION("""COMPUTED_VALUE"""),388.0)</f>
        <v>388</v>
      </c>
      <c r="B276" s="12" t="str">
        <f>IFERROR(__xludf.DUMMYFUNCTION("""COMPUTED_VALUE"""),"I don't remember exactly what it was, but I believe it was something to do with my school work.")</f>
        <v>I don't remember exactly what it was, but I believe it was something to do with my school work.</v>
      </c>
      <c r="C276" s="12"/>
      <c r="D276" s="12"/>
      <c r="E276" s="12"/>
      <c r="F276" s="12"/>
      <c r="G276" s="12"/>
      <c r="H276" s="12"/>
      <c r="I276" s="12"/>
      <c r="J276" s="12"/>
    </row>
    <row r="277">
      <c r="A277">
        <f>IFERROR(__xludf.DUMMYFUNCTION("""COMPUTED_VALUE"""),389.0)</f>
        <v>389</v>
      </c>
      <c r="B277" s="12" t="str">
        <f>IFERROR(__xludf.DUMMYFUNCTION("""COMPUTED_VALUE"""),"Streaming services, job application services, food delivery websites, food ordering websites, numerous retail websites")</f>
        <v>Streaming services, job application services, food delivery websites, food ordering websites, numerous retail websites</v>
      </c>
      <c r="C277" s="12"/>
      <c r="D277" s="12"/>
      <c r="E277" s="12"/>
      <c r="F277" s="12"/>
      <c r="G277" s="12"/>
      <c r="H277" s="12"/>
      <c r="I277" s="12"/>
      <c r="J277" s="12"/>
    </row>
    <row r="278">
      <c r="A278">
        <f>IFERROR(__xludf.DUMMYFUNCTION("""COMPUTED_VALUE"""),391.0)</f>
        <v>391</v>
      </c>
      <c r="B278" s="12" t="str">
        <f>IFERROR(__xludf.DUMMYFUNCTION("""COMPUTED_VALUE"""),"I don't even remember, I do it without thinking")</f>
        <v>I don't even remember, I do it without thinking</v>
      </c>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31" t="str">
        <f>IFERROR(__xludf.DUMMYFUNCTION("""COMPUTED_VALUE"""),"battle.net")</f>
        <v>battle.net</v>
      </c>
      <c r="C280" s="12"/>
      <c r="D280" s="12"/>
      <c r="E280" s="12"/>
      <c r="F280" s="12"/>
      <c r="G280" s="12"/>
      <c r="H280" s="12"/>
      <c r="I280" s="12"/>
      <c r="J280" s="12"/>
    </row>
    <row r="281">
      <c r="A281">
        <f>IFERROR(__xludf.DUMMYFUNCTION("""COMPUTED_VALUE"""),394.0)</f>
        <v>394</v>
      </c>
      <c r="B281" s="12" t="str">
        <f>IFERROR(__xludf.DUMMYFUNCTION("""COMPUTED_VALUE"""),"A store that I was buying something from")</f>
        <v>A store that I was buying something from</v>
      </c>
      <c r="C281" s="12"/>
      <c r="D281" s="12"/>
      <c r="E281" s="12"/>
      <c r="F281" s="12"/>
      <c r="G281" s="12"/>
      <c r="H281" s="12"/>
      <c r="I281" s="12"/>
      <c r="J281" s="12"/>
    </row>
    <row r="282">
      <c r="A282">
        <f>IFERROR(__xludf.DUMMYFUNCTION("""COMPUTED_VALUE"""),395.0)</f>
        <v>395</v>
      </c>
      <c r="B282" s="31" t="str">
        <f>IFERROR(__xludf.DUMMYFUNCTION("""COMPUTED_VALUE"""),"hideout.co")</f>
        <v>hideout.co</v>
      </c>
      <c r="C282" s="12"/>
      <c r="D282" s="12"/>
      <c r="E282" s="12"/>
      <c r="F282" s="12"/>
      <c r="G282" s="12"/>
      <c r="H282" s="12"/>
      <c r="I282" s="12"/>
      <c r="J282" s="12"/>
    </row>
    <row r="283">
      <c r="A283">
        <f>IFERROR(__xludf.DUMMYFUNCTION("""COMPUTED_VALUE"""),396.0)</f>
        <v>396</v>
      </c>
      <c r="B283" s="12" t="str">
        <f>IFERROR(__xludf.DUMMYFUNCTION("""COMPUTED_VALUE"""),"Destiny, classlink")</f>
        <v>Destiny, classlink</v>
      </c>
      <c r="C283" s="12"/>
      <c r="D283" s="12"/>
      <c r="E283" s="12"/>
      <c r="F283" s="12"/>
      <c r="G283" s="12"/>
      <c r="H283" s="12"/>
      <c r="I283" s="12"/>
      <c r="J283" s="12"/>
    </row>
    <row r="284">
      <c r="A284">
        <f>IFERROR(__xludf.DUMMYFUNCTION("""COMPUTED_VALUE"""),397.0)</f>
        <v>397</v>
      </c>
      <c r="B284" s="12" t="str">
        <f>IFERROR(__xludf.DUMMYFUNCTION("""COMPUTED_VALUE"""),"I logged into a social media account but I cannot recall which one")</f>
        <v>I logged into a social media account but I cannot recall which one</v>
      </c>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t="str">
        <f>IFERROR(__xludf.DUMMYFUNCTION("""COMPUTED_VALUE"""),"Facebook")</f>
        <v>Facebook</v>
      </c>
      <c r="C286" s="12"/>
      <c r="D286" s="12"/>
      <c r="E286" s="12"/>
      <c r="F286" s="12"/>
      <c r="G286" s="12"/>
      <c r="H286" s="12"/>
      <c r="I286" s="12"/>
      <c r="J286" s="12"/>
    </row>
    <row r="287">
      <c r="A287">
        <f>IFERROR(__xludf.DUMMYFUNCTION("""COMPUTED_VALUE"""),400.0)</f>
        <v>400</v>
      </c>
      <c r="B287" s="12" t="str">
        <f>IFERROR(__xludf.DUMMYFUNCTION("""COMPUTED_VALUE"""),"I do not EVER sign in with Google into a 3rd party app. I do not trust that the company behind the request will not sell my information/passwords or hack into my account.")</f>
        <v>I do not EVER sign in with Google into a 3rd party app. I do not trust that the company behind the request will not sell my information/passwords or hack into my account.</v>
      </c>
      <c r="C287" s="12"/>
      <c r="D287" s="12"/>
      <c r="E287" s="12"/>
      <c r="F287" s="12"/>
      <c r="G287" s="12"/>
      <c r="H287" s="12"/>
      <c r="I287" s="12"/>
      <c r="J287" s="12"/>
    </row>
    <row r="288">
      <c r="A288">
        <f>IFERROR(__xludf.DUMMYFUNCTION("""COMPUTED_VALUE"""),401.0)</f>
        <v>401</v>
      </c>
      <c r="B288" s="12" t="str">
        <f>IFERROR(__xludf.DUMMYFUNCTION("""COMPUTED_VALUE"""),"Honey for saving money while online shopping.")</f>
        <v>Honey for saving money while online shopping.</v>
      </c>
      <c r="C288" s="12"/>
      <c r="D288" s="12"/>
      <c r="E288" s="12"/>
      <c r="F288" s="12"/>
      <c r="G288" s="12"/>
      <c r="H288" s="12"/>
      <c r="I288" s="12"/>
      <c r="J288" s="12"/>
    </row>
    <row r="289">
      <c r="A289">
        <f>IFERROR(__xludf.DUMMYFUNCTION("""COMPUTED_VALUE"""),402.0)</f>
        <v>402</v>
      </c>
      <c r="B289" s="12" t="str">
        <f>IFERROR(__xludf.DUMMYFUNCTION("""COMPUTED_VALUE"""),"YouTube")</f>
        <v>YouTube</v>
      </c>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t="str">
        <f>IFERROR(__xludf.DUMMYFUNCTION("""COMPUTED_VALUE"""),"Glassdoor")</f>
        <v>Glassdoor</v>
      </c>
      <c r="C291" s="12"/>
      <c r="D291" s="12"/>
      <c r="E291" s="12"/>
      <c r="F291" s="12"/>
      <c r="G291" s="12"/>
      <c r="H291" s="12"/>
      <c r="I291" s="12"/>
      <c r="J291" s="12"/>
    </row>
    <row r="292">
      <c r="A292">
        <f>IFERROR(__xludf.DUMMYFUNCTION("""COMPUTED_VALUE"""),405.0)</f>
        <v>405</v>
      </c>
      <c r="B292" s="12" t="str">
        <f>IFERROR(__xludf.DUMMYFUNCTION("""COMPUTED_VALUE"""),"I don't remember which ones, I just know that I occasionally have.")</f>
        <v>I don't remember which ones, I just know that I occasionally have.</v>
      </c>
      <c r="C292" s="12"/>
      <c r="D292" s="12"/>
      <c r="E292" s="12"/>
      <c r="F292" s="12"/>
      <c r="G292" s="12"/>
      <c r="H292" s="12"/>
      <c r="I292" s="12"/>
      <c r="J292" s="12"/>
    </row>
    <row r="293">
      <c r="A293">
        <f>IFERROR(__xludf.DUMMYFUNCTION("""COMPUTED_VALUE"""),406.0)</f>
        <v>406</v>
      </c>
      <c r="B293" s="31" t="str">
        <f>IFERROR(__xludf.DUMMYFUNCTION("""COMPUTED_VALUE"""),"quora.com")</f>
        <v>quora.com</v>
      </c>
      <c r="C293" s="12"/>
      <c r="D293" s="12"/>
      <c r="E293" s="12"/>
      <c r="F293" s="12"/>
      <c r="G293" s="12"/>
      <c r="H293" s="12"/>
      <c r="I293" s="12"/>
      <c r="J293" s="12"/>
    </row>
    <row r="294">
      <c r="A294">
        <f>IFERROR(__xludf.DUMMYFUNCTION("""COMPUTED_VALUE"""),407.0)</f>
        <v>407</v>
      </c>
      <c r="B294" s="12" t="str">
        <f>IFERROR(__xludf.DUMMYFUNCTION("""COMPUTED_VALUE"""),"I used my google account to sign into LinkedIn.")</f>
        <v>I used my google account to sign into LinkedIn.</v>
      </c>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IFERROR(__xludf.DUMMYFUNCTION("""COMPUTED_VALUE"""),"I have logged on to education type apps believe Boom Cards and Loom")</f>
        <v>I have logged on to education type apps believe Boom Cards and Loom</v>
      </c>
      <c r="C296" s="12"/>
      <c r="D296" s="12"/>
      <c r="E296" s="12"/>
      <c r="F296" s="12"/>
      <c r="G296" s="12"/>
      <c r="H296" s="12"/>
      <c r="I296" s="12"/>
      <c r="J296" s="12"/>
    </row>
    <row r="297">
      <c r="A297">
        <f>IFERROR(__xludf.DUMMYFUNCTION("""COMPUTED_VALUE"""),411.0)</f>
        <v>411</v>
      </c>
      <c r="B297" s="12" t="str">
        <f>IFERROR(__xludf.DUMMYFUNCTION("""COMPUTED_VALUE"""),"ScienCV in order to update my academic CV")</f>
        <v>ScienCV in order to update my academic CV</v>
      </c>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IFERROR(__xludf.DUMMYFUNCTION("""COMPUTED_VALUE"""),"Juno")</f>
        <v>Juno</v>
      </c>
      <c r="C299" s="12"/>
      <c r="D299" s="12"/>
      <c r="E299" s="12"/>
      <c r="F299" s="12"/>
      <c r="G299" s="12"/>
      <c r="H299" s="12"/>
      <c r="I299" s="12"/>
      <c r="J299" s="12"/>
    </row>
    <row r="300">
      <c r="A300">
        <f>IFERROR(__xludf.DUMMYFUNCTION("""COMPUTED_VALUE"""),416.0)</f>
        <v>416</v>
      </c>
      <c r="B300" s="12" t="str">
        <f>IFERROR(__xludf.DUMMYFUNCTION("""COMPUTED_VALUE"""),"I used it to create an account with Remini, a photo app")</f>
        <v>I used it to create an account with Remini, a photo app</v>
      </c>
      <c r="C300" s="12"/>
      <c r="D300" s="12"/>
      <c r="E300" s="12"/>
      <c r="F300" s="12"/>
      <c r="G300" s="12"/>
      <c r="H300" s="12"/>
      <c r="I300" s="12"/>
      <c r="J300" s="12"/>
    </row>
    <row r="301">
      <c r="A301">
        <f>IFERROR(__xludf.DUMMYFUNCTION("""COMPUTED_VALUE"""),417.0)</f>
        <v>417</v>
      </c>
      <c r="B301" s="12" t="str">
        <f>IFERROR(__xludf.DUMMYFUNCTION("""COMPUTED_VALUE"""),"mcdonalds")</f>
        <v>mcdonalds</v>
      </c>
      <c r="C301" s="12"/>
      <c r="D301" s="12"/>
      <c r="E301" s="12"/>
      <c r="F301" s="12"/>
      <c r="G301" s="12"/>
      <c r="H301" s="12"/>
      <c r="I301" s="12"/>
      <c r="J301" s="12"/>
    </row>
    <row r="302">
      <c r="A302">
        <f>IFERROR(__xludf.DUMMYFUNCTION("""COMPUTED_VALUE"""),418.0)</f>
        <v>418</v>
      </c>
      <c r="B302" s="12" t="str">
        <f>IFERROR(__xludf.DUMMYFUNCTION("""COMPUTED_VALUE"""),"Quora")</f>
        <v>Quora</v>
      </c>
      <c r="C302" s="12"/>
      <c r="D302" s="12"/>
      <c r="E302" s="12"/>
      <c r="F302" s="12"/>
      <c r="G302" s="12"/>
      <c r="H302" s="12"/>
      <c r="I302" s="12"/>
      <c r="J302" s="12"/>
    </row>
    <row r="303">
      <c r="A303">
        <f>IFERROR(__xludf.DUMMYFUNCTION("""COMPUTED_VALUE"""),419.0)</f>
        <v>419</v>
      </c>
      <c r="B303" s="12" t="str">
        <f>IFERROR(__xludf.DUMMYFUNCTION("""COMPUTED_VALUE"""),"I believe the last time I used it to sign into a third-party service was logging into Paypal, but I do not remember exactly.")</f>
        <v>I believe the last time I used it to sign into a third-party service was logging into Paypal, but I do not remember exactly.</v>
      </c>
      <c r="C303" s="12"/>
      <c r="D303" s="12"/>
      <c r="E303" s="12"/>
      <c r="F303" s="12"/>
      <c r="G303" s="12"/>
      <c r="H303" s="12"/>
      <c r="I303" s="12"/>
      <c r="J303" s="12"/>
    </row>
    <row r="304">
      <c r="A304">
        <f>IFERROR(__xludf.DUMMYFUNCTION("""COMPUTED_VALUE"""),420.0)</f>
        <v>420</v>
      </c>
      <c r="B304" s="12" t="str">
        <f>IFERROR(__xludf.DUMMYFUNCTION("""COMPUTED_VALUE"""),"I don't remember the exact app, but I do remember using it.")</f>
        <v>I don't remember the exact app, but I do remember using it.</v>
      </c>
      <c r="C304" s="12"/>
      <c r="D304" s="12"/>
      <c r="E304" s="12"/>
      <c r="F304" s="12"/>
      <c r="G304" s="12"/>
      <c r="H304" s="12"/>
      <c r="I304" s="12"/>
      <c r="J304" s="12"/>
    </row>
    <row r="305">
      <c r="A305">
        <f>IFERROR(__xludf.DUMMYFUNCTION("""COMPUTED_VALUE"""),422.0)</f>
        <v>422</v>
      </c>
      <c r="B305" s="12" t="str">
        <f>IFERROR(__xludf.DUMMYFUNCTION("""COMPUTED_VALUE"""),"Zoom")</f>
        <v>Zoom</v>
      </c>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IFERROR(__xludf.DUMMYFUNCTION("""COMPUTED_VALUE"""),"An investing app")</f>
        <v>An investing app</v>
      </c>
      <c r="C307" s="12"/>
      <c r="D307" s="12"/>
      <c r="E307" s="12"/>
      <c r="F307" s="12"/>
      <c r="G307" s="12"/>
      <c r="H307" s="12"/>
      <c r="I307" s="12"/>
      <c r="J307" s="12"/>
    </row>
    <row r="308">
      <c r="A308">
        <f>IFERROR(__xludf.DUMMYFUNCTION("""COMPUTED_VALUE"""),426.0)</f>
        <v>426</v>
      </c>
      <c r="B308" s="12" t="str">
        <f>IFERROR(__xludf.DUMMYFUNCTION("""COMPUTED_VALUE"""),"DropBox")</f>
        <v>DropBox</v>
      </c>
      <c r="C308" s="12"/>
      <c r="D308" s="12"/>
      <c r="E308" s="12"/>
      <c r="F308" s="12"/>
      <c r="G308" s="12"/>
      <c r="H308" s="12"/>
      <c r="I308" s="12"/>
      <c r="J308" s="12"/>
    </row>
    <row r="309">
      <c r="A309">
        <f>IFERROR(__xludf.DUMMYFUNCTION("""COMPUTED_VALUE"""),427.0)</f>
        <v>427</v>
      </c>
      <c r="B309" s="12" t="str">
        <f>IFERROR(__xludf.DUMMYFUNCTION("""COMPUTED_VALUE"""),"facebook")</f>
        <v>facebook</v>
      </c>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IFERROR(__xludf.DUMMYFUNCTION("""COMPUTED_VALUE"""),"pinterest")</f>
        <v>pinterest</v>
      </c>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t="str">
        <f>IFERROR(__xludf.DUMMYFUNCTION("""COMPUTED_VALUE"""),"Pinterest")</f>
        <v>Pinterest</v>
      </c>
      <c r="C313" s="12"/>
      <c r="D313" s="12"/>
      <c r="E313" s="12"/>
      <c r="F313" s="12"/>
      <c r="G313" s="12"/>
      <c r="H313" s="12"/>
      <c r="I313" s="12"/>
      <c r="J313" s="12"/>
    </row>
    <row r="314">
      <c r="A314">
        <f>IFERROR(__xludf.DUMMYFUNCTION("""COMPUTED_VALUE"""),434.0)</f>
        <v>434</v>
      </c>
      <c r="B314" s="12" t="str">
        <f>IFERROR(__xludf.DUMMYFUNCTION("""COMPUTED_VALUE"""),"I don't remember which app it was, but it was one I downloaded on my phone.")</f>
        <v>I don't remember which app it was, but it was one I downloaded on my phone.</v>
      </c>
      <c r="C314" s="12"/>
      <c r="D314" s="12"/>
      <c r="E314" s="12"/>
      <c r="F314" s="12"/>
      <c r="G314" s="12"/>
      <c r="H314" s="12"/>
      <c r="I314" s="12"/>
      <c r="J314" s="12"/>
    </row>
    <row r="315">
      <c r="A315">
        <f>IFERROR(__xludf.DUMMYFUNCTION("""COMPUTED_VALUE"""),435.0)</f>
        <v>435</v>
      </c>
      <c r="B315" s="12" t="str">
        <f>IFERROR(__xludf.DUMMYFUNCTION("""COMPUTED_VALUE"""),"I usually use it as a quick way to sign into websites that require it, Sometimes I'd use it for social media like instagram or snapchat.")</f>
        <v>I usually use it as a quick way to sign into websites that require it, Sometimes I'd use it for social media like instagram or snapchat.</v>
      </c>
      <c r="C315" s="12"/>
      <c r="D315" s="12"/>
      <c r="E315" s="12"/>
      <c r="F315" s="12"/>
      <c r="G315" s="12"/>
      <c r="H315" s="12"/>
      <c r="I315" s="12"/>
      <c r="J315" s="12"/>
    </row>
    <row r="316">
      <c r="A316">
        <f>IFERROR(__xludf.DUMMYFUNCTION("""COMPUTED_VALUE"""),436.0)</f>
        <v>436</v>
      </c>
      <c r="B316" s="12" t="str">
        <f>IFERROR(__xludf.DUMMYFUNCTION("""COMPUTED_VALUE"""),"The Headspace app")</f>
        <v>The Headspace app</v>
      </c>
      <c r="C316" s="12"/>
      <c r="D316" s="12"/>
      <c r="E316" s="12"/>
      <c r="F316" s="12"/>
      <c r="G316" s="12"/>
      <c r="H316" s="12"/>
      <c r="I316" s="12"/>
      <c r="J316" s="12"/>
    </row>
    <row r="317">
      <c r="A317">
        <f>IFERROR(__xludf.DUMMYFUNCTION("""COMPUTED_VALUE"""),437.0)</f>
        <v>437</v>
      </c>
      <c r="B317" s="12" t="str">
        <f>IFERROR(__xludf.DUMMYFUNCTION("""COMPUTED_VALUE"""),"In thinking about it, it was probably like Zillow because I was doing some research for a project I was working on.")</f>
        <v>In thinking about it, it was probably like Zillow because I was doing some research for a project I was working on.</v>
      </c>
      <c r="C317" s="12"/>
      <c r="D317" s="12"/>
      <c r="E317" s="12"/>
      <c r="F317" s="12"/>
      <c r="G317" s="12"/>
      <c r="H317" s="12"/>
      <c r="I317" s="12"/>
      <c r="J317" s="12"/>
    </row>
    <row r="318">
      <c r="A318">
        <f>IFERROR(__xludf.DUMMYFUNCTION("""COMPUTED_VALUE"""),439.0)</f>
        <v>439</v>
      </c>
      <c r="B318" s="12" t="str">
        <f>IFERROR(__xludf.DUMMYFUNCTION("""COMPUTED_VALUE"""),"It was a retail store, but I don't remember which one.")</f>
        <v>It was a retail store, but I don't remember which one.</v>
      </c>
      <c r="C318" s="12"/>
      <c r="D318" s="12"/>
      <c r="E318" s="12"/>
      <c r="F318" s="12"/>
      <c r="G318" s="12"/>
      <c r="H318" s="12"/>
      <c r="I318" s="12"/>
      <c r="J318" s="12"/>
    </row>
    <row r="319">
      <c r="A319">
        <f>IFERROR(__xludf.DUMMYFUNCTION("""COMPUTED_VALUE"""),440.0)</f>
        <v>440</v>
      </c>
      <c r="B319" s="12" t="str">
        <f>IFERROR(__xludf.DUMMYFUNCTION("""COMPUTED_VALUE"""),"Signing onto the Epic Games Store")</f>
        <v>Signing onto the Epic Games Store</v>
      </c>
      <c r="C319" s="12"/>
      <c r="D319" s="12"/>
      <c r="E319" s="12"/>
      <c r="F319" s="12"/>
      <c r="G319" s="12"/>
      <c r="H319" s="12"/>
      <c r="I319" s="12"/>
      <c r="J319" s="12"/>
    </row>
    <row r="320">
      <c r="A320">
        <f>IFERROR(__xludf.DUMMYFUNCTION("""COMPUTED_VALUE"""),442.0)</f>
        <v>442</v>
      </c>
      <c r="B320" s="12" t="str">
        <f>IFERROR(__xludf.DUMMYFUNCTION("""COMPUTED_VALUE"""),"I used it to sign in to Chegg.")</f>
        <v>I used it to sign in to Chegg.</v>
      </c>
      <c r="C320" s="12"/>
      <c r="D320" s="12"/>
      <c r="E320" s="12"/>
      <c r="F320" s="12"/>
      <c r="G320" s="12"/>
      <c r="H320" s="12"/>
      <c r="I320" s="12"/>
      <c r="J320" s="12"/>
    </row>
    <row r="321">
      <c r="A321">
        <f>IFERROR(__xludf.DUMMYFUNCTION("""COMPUTED_VALUE"""),443.0)</f>
        <v>443</v>
      </c>
      <c r="B321" s="12" t="str">
        <f>IFERROR(__xludf.DUMMYFUNCTION("""COMPUTED_VALUE"""),"It was for linking my account to some mobile games that I play.")</f>
        <v>It was for linking my account to some mobile games that I play.</v>
      </c>
      <c r="C321" s="12"/>
      <c r="D321" s="12"/>
      <c r="E321" s="12"/>
      <c r="F321" s="12"/>
      <c r="G321" s="12"/>
      <c r="H321" s="12"/>
      <c r="I321" s="12"/>
      <c r="J321" s="12"/>
    </row>
    <row r="322">
      <c r="A322">
        <f>IFERROR(__xludf.DUMMYFUNCTION("""COMPUTED_VALUE"""),444.0)</f>
        <v>444</v>
      </c>
      <c r="B322" s="12" t="str">
        <f>IFERROR(__xludf.DUMMYFUNCTION("""COMPUTED_VALUE"""),"I signed up for chess.com")</f>
        <v>I signed up for chess.com</v>
      </c>
      <c r="C322" s="12"/>
      <c r="D322" s="12"/>
      <c r="E322" s="12"/>
      <c r="F322" s="12"/>
      <c r="G322" s="12"/>
      <c r="H322" s="12"/>
      <c r="I322" s="12"/>
      <c r="J322" s="12"/>
    </row>
    <row r="323">
      <c r="A323">
        <f>IFERROR(__xludf.DUMMYFUNCTION("""COMPUTED_VALUE"""),445.0)</f>
        <v>445</v>
      </c>
      <c r="B323" s="12" t="str">
        <f>IFERROR(__xludf.DUMMYFUNCTION("""COMPUTED_VALUE"""),"I use this feature a lot -- I think the last time I used it was for IFTTT.com")</f>
        <v>I use this feature a lot -- I think the last time I used it was for IFTTT.com</v>
      </c>
      <c r="C323" s="12"/>
      <c r="D323" s="12"/>
      <c r="E323" s="12"/>
      <c r="F323" s="12"/>
      <c r="G323" s="12"/>
      <c r="H323" s="12"/>
      <c r="I323" s="12"/>
      <c r="J323" s="12"/>
    </row>
    <row r="324">
      <c r="A324">
        <f>IFERROR(__xludf.DUMMYFUNCTION("""COMPUTED_VALUE"""),449.0)</f>
        <v>449</v>
      </c>
      <c r="B324" s="12" t="str">
        <f>IFERROR(__xludf.DUMMYFUNCTION("""COMPUTED_VALUE"""),"i believe it was wish.com")</f>
        <v>i believe it was wish.com</v>
      </c>
      <c r="C324" s="12"/>
      <c r="D324" s="12"/>
      <c r="E324" s="12"/>
      <c r="F324" s="12"/>
      <c r="G324" s="12"/>
      <c r="H324" s="12"/>
      <c r="I324" s="12"/>
      <c r="J324" s="12"/>
    </row>
    <row r="325">
      <c r="A325">
        <f>IFERROR(__xludf.DUMMYFUNCTION("""COMPUTED_VALUE"""),450.0)</f>
        <v>450</v>
      </c>
      <c r="B325" s="12" t="str">
        <f>IFERROR(__xludf.DUMMYFUNCTION("""COMPUTED_VALUE"""),"Last time I signed in with my Google account it was with the McDonalds app")</f>
        <v>Last time I signed in with my Google account it was with the McDonalds app</v>
      </c>
      <c r="C325" s="12"/>
      <c r="D325" s="12"/>
      <c r="E325" s="12"/>
      <c r="F325" s="12"/>
      <c r="G325" s="12"/>
      <c r="H325" s="12"/>
      <c r="I325" s="12"/>
      <c r="J325" s="12"/>
    </row>
    <row r="326">
      <c r="A326">
        <f>IFERROR(__xludf.DUMMYFUNCTION("""COMPUTED_VALUE"""),451.0)</f>
        <v>451</v>
      </c>
      <c r="B326" s="12" t="str">
        <f>IFERROR(__xludf.DUMMYFUNCTION("""COMPUTED_VALUE"""),"It was for a website. Unfortunately, I don't know the specific name.")</f>
        <v>It was for a website. Unfortunately, I don't know the specific name.</v>
      </c>
      <c r="C326" s="12"/>
      <c r="D326" s="12"/>
      <c r="E326" s="12"/>
      <c r="F326" s="12"/>
      <c r="G326" s="12"/>
      <c r="H326" s="12"/>
      <c r="I326" s="12"/>
      <c r="J326" s="12"/>
    </row>
    <row r="327">
      <c r="A327">
        <f>IFERROR(__xludf.DUMMYFUNCTION("""COMPUTED_VALUE"""),454.0)</f>
        <v>454</v>
      </c>
      <c r="B327" s="12" t="str">
        <f>IFERROR(__xludf.DUMMYFUNCTION("""COMPUTED_VALUE"""),"i dont remember")</f>
        <v>i dont remember</v>
      </c>
      <c r="C327" s="12"/>
      <c r="D327" s="12"/>
      <c r="E327" s="12"/>
      <c r="F327" s="12"/>
      <c r="G327" s="12"/>
      <c r="H327" s="12"/>
      <c r="I327" s="12"/>
      <c r="J327" s="12"/>
    </row>
    <row r="328">
      <c r="A328">
        <f>IFERROR(__xludf.DUMMYFUNCTION("""COMPUTED_VALUE"""),455.0)</f>
        <v>455</v>
      </c>
      <c r="B328" s="12" t="str">
        <f>IFERROR(__xludf.DUMMYFUNCTION("""COMPUTED_VALUE"""),"Poshmark")</f>
        <v>Poshmark</v>
      </c>
      <c r="C328" s="12"/>
      <c r="D328" s="12"/>
      <c r="E328" s="12"/>
      <c r="F328" s="12"/>
      <c r="G328" s="12"/>
      <c r="H328" s="12"/>
      <c r="I328" s="12"/>
      <c r="J328" s="12"/>
    </row>
    <row r="329">
      <c r="A329">
        <f>IFERROR(__xludf.DUMMYFUNCTION("""COMPUTED_VALUE"""),456.0)</f>
        <v>456</v>
      </c>
      <c r="B329" s="12" t="str">
        <f>IFERROR(__xludf.DUMMYFUNCTION("""COMPUTED_VALUE"""),"grindr")</f>
        <v>grindr</v>
      </c>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t="str">
        <f>IFERROR(__xludf.DUMMYFUNCTION("""COMPUTED_VALUE"""),"A 2-factor authenticator")</f>
        <v>A 2-factor authenticator</v>
      </c>
      <c r="C331" s="12"/>
      <c r="D331" s="12"/>
      <c r="E331" s="12"/>
      <c r="F331" s="12"/>
      <c r="G331" s="12"/>
      <c r="H331" s="12"/>
      <c r="I331" s="12"/>
      <c r="J331" s="12"/>
    </row>
    <row r="332">
      <c r="A332">
        <f>IFERROR(__xludf.DUMMYFUNCTION("""COMPUTED_VALUE"""),461.0)</f>
        <v>461</v>
      </c>
      <c r="B332" s="12" t="str">
        <f>IFERROR(__xludf.DUMMYFUNCTION("""COMPUTED_VALUE"""),"grubhub")</f>
        <v>grubhub</v>
      </c>
      <c r="C332" s="12"/>
      <c r="D332" s="12"/>
      <c r="E332" s="12"/>
      <c r="F332" s="12"/>
      <c r="G332" s="12"/>
      <c r="H332" s="12"/>
      <c r="I332" s="12"/>
      <c r="J332" s="12"/>
    </row>
    <row r="333">
      <c r="A333">
        <f>IFERROR(__xludf.DUMMYFUNCTION("""COMPUTED_VALUE"""),462.0)</f>
        <v>462</v>
      </c>
      <c r="B333" s="12" t="str">
        <f>IFERROR(__xludf.DUMMYFUNCTION("""COMPUTED_VALUE"""),"Sign up for some forum, can't remember exactly")</f>
        <v>Sign up for some forum, can't remember exactly</v>
      </c>
      <c r="C333" s="12"/>
      <c r="D333" s="12"/>
      <c r="E333" s="12"/>
      <c r="F333" s="12"/>
      <c r="G333" s="12"/>
      <c r="H333" s="12"/>
      <c r="I333" s="12"/>
      <c r="J333" s="12"/>
    </row>
    <row r="334">
      <c r="A334">
        <f>IFERROR(__xludf.DUMMYFUNCTION("""COMPUTED_VALUE"""),463.0)</f>
        <v>463</v>
      </c>
      <c r="B334" s="12" t="str">
        <f>IFERROR(__xludf.DUMMYFUNCTION("""COMPUTED_VALUE"""),"My pokemon Go app on my iPhone.")</f>
        <v>My pokemon Go app on my iPhone.</v>
      </c>
      <c r="C334" s="12"/>
      <c r="D334" s="12"/>
      <c r="E334" s="12"/>
      <c r="F334" s="12"/>
      <c r="G334" s="12"/>
      <c r="H334" s="12"/>
      <c r="I334" s="12"/>
      <c r="J334" s="12"/>
    </row>
    <row r="335">
      <c r="A335">
        <f>IFERROR(__xludf.DUMMYFUNCTION("""COMPUTED_VALUE"""),464.0)</f>
        <v>464</v>
      </c>
      <c r="B335" s="12" t="str">
        <f>IFERROR(__xludf.DUMMYFUNCTION("""COMPUTED_VALUE"""),"Aliexpress")</f>
        <v>Aliexpress</v>
      </c>
      <c r="C335" s="12"/>
      <c r="D335" s="12"/>
      <c r="E335" s="12"/>
      <c r="F335" s="12"/>
      <c r="G335" s="12"/>
      <c r="H335" s="12"/>
      <c r="I335" s="12"/>
      <c r="J335" s="12"/>
    </row>
    <row r="336">
      <c r="A336">
        <f>IFERROR(__xludf.DUMMYFUNCTION("""COMPUTED_VALUE"""),465.0)</f>
        <v>465</v>
      </c>
      <c r="B336" s="12" t="str">
        <f>IFERROR(__xludf.DUMMYFUNCTION("""COMPUTED_VALUE"""),"Quizlet")</f>
        <v>Quizlet</v>
      </c>
      <c r="C336" s="12"/>
      <c r="D336" s="12"/>
      <c r="E336" s="12"/>
      <c r="F336" s="12"/>
      <c r="G336" s="12"/>
      <c r="H336" s="12"/>
      <c r="I336" s="12"/>
      <c r="J336" s="12"/>
    </row>
    <row r="337">
      <c r="A337">
        <f>IFERROR(__xludf.DUMMYFUNCTION("""COMPUTED_VALUE"""),466.0)</f>
        <v>466</v>
      </c>
      <c r="B337" s="12" t="str">
        <f>IFERROR(__xludf.DUMMYFUNCTION("""COMPUTED_VALUE"""),"dating site")</f>
        <v>dating site</v>
      </c>
      <c r="C337" s="12"/>
      <c r="D337" s="12"/>
      <c r="E337" s="12"/>
      <c r="F337" s="12"/>
      <c r="G337" s="12"/>
      <c r="H337" s="12"/>
      <c r="I337" s="12"/>
      <c r="J337" s="12"/>
    </row>
    <row r="338">
      <c r="A338">
        <f>IFERROR(__xludf.DUMMYFUNCTION("""COMPUTED_VALUE"""),468.0)</f>
        <v>468</v>
      </c>
      <c r="B338" s="12" t="str">
        <f>IFERROR(__xludf.DUMMYFUNCTION("""COMPUTED_VALUE"""),"I believe it was Diagnose Us, a medical knowledge competition app that pays for the winners of each category.")</f>
        <v>I believe it was Diagnose Us, a medical knowledge competition app that pays for the winners of each category.</v>
      </c>
      <c r="C338" s="12"/>
      <c r="D338" s="12"/>
      <c r="E338" s="12"/>
      <c r="F338" s="12"/>
      <c r="G338" s="12"/>
      <c r="H338" s="12"/>
      <c r="I338" s="12"/>
      <c r="J338" s="12"/>
    </row>
    <row r="339">
      <c r="A339">
        <f>IFERROR(__xludf.DUMMYFUNCTION("""COMPUTED_VALUE"""),469.0)</f>
        <v>469</v>
      </c>
      <c r="B339" s="12" t="str">
        <f>IFERROR(__xludf.DUMMYFUNCTION("""COMPUTED_VALUE"""),"Star Wars: Galaxy of Heroes")</f>
        <v>Star Wars: Galaxy of Heroes</v>
      </c>
      <c r="C339" s="12"/>
      <c r="D339" s="12"/>
      <c r="E339" s="12"/>
      <c r="F339" s="12"/>
      <c r="G339" s="12"/>
      <c r="H339" s="12"/>
      <c r="I339" s="12"/>
      <c r="J339" s="12"/>
    </row>
    <row r="340">
      <c r="A340">
        <f>IFERROR(__xludf.DUMMYFUNCTION("""COMPUTED_VALUE"""),470.0)</f>
        <v>470</v>
      </c>
      <c r="B340" s="12" t="str">
        <f>IFERROR(__xludf.DUMMYFUNCTION("""COMPUTED_VALUE"""),"Don't remember which one")</f>
        <v>Don't remember which one</v>
      </c>
      <c r="C340" s="12"/>
      <c r="D340" s="12"/>
      <c r="E340" s="12"/>
      <c r="F340" s="12"/>
      <c r="G340" s="12"/>
      <c r="H340" s="12"/>
      <c r="I340" s="12"/>
      <c r="J340" s="12"/>
    </row>
    <row r="341">
      <c r="A341">
        <f>IFERROR(__xludf.DUMMYFUNCTION("""COMPUTED_VALUE"""),471.0)</f>
        <v>471</v>
      </c>
      <c r="B341" s="12" t="str">
        <f>IFERROR(__xludf.DUMMYFUNCTION("""COMPUTED_VALUE"""),"I'm not 100% sure, but I think PBS.org")</f>
        <v>I'm not 100% sure, but I think PBS.org</v>
      </c>
      <c r="C341" s="12"/>
      <c r="D341" s="12"/>
      <c r="E341" s="12"/>
      <c r="F341" s="12"/>
      <c r="G341" s="12"/>
      <c r="H341" s="12"/>
      <c r="I341" s="12"/>
      <c r="J341" s="12"/>
    </row>
    <row r="342">
      <c r="A342">
        <f>IFERROR(__xludf.DUMMYFUNCTION("""COMPUTED_VALUE"""),474.0)</f>
        <v>474</v>
      </c>
      <c r="B342" s="12" t="str">
        <f>IFERROR(__xludf.DUMMYFUNCTION("""COMPUTED_VALUE"""),"This survey, and Receipt Hog app")</f>
        <v>This survey, and Receipt Hog app</v>
      </c>
      <c r="C342" s="12"/>
      <c r="D342" s="12"/>
      <c r="E342" s="12"/>
      <c r="F342" s="12"/>
      <c r="G342" s="12"/>
      <c r="H342" s="12"/>
      <c r="I342" s="12"/>
      <c r="J342" s="12"/>
    </row>
    <row r="343">
      <c r="A343">
        <f>IFERROR(__xludf.DUMMYFUNCTION("""COMPUTED_VALUE"""),475.0)</f>
        <v>475</v>
      </c>
      <c r="B343" s="12" t="str">
        <f>IFERROR(__xludf.DUMMYFUNCTION("""COMPUTED_VALUE"""),"Pokemon Go")</f>
        <v>Pokemon Go</v>
      </c>
      <c r="C343" s="12"/>
      <c r="D343" s="12"/>
      <c r="E343" s="12"/>
      <c r="F343" s="12"/>
      <c r="G343" s="12"/>
      <c r="H343" s="12"/>
      <c r="I343" s="12"/>
      <c r="J343" s="12"/>
    </row>
    <row r="344">
      <c r="A344">
        <f>IFERROR(__xludf.DUMMYFUNCTION("""COMPUTED_VALUE"""),476.0)</f>
        <v>476</v>
      </c>
      <c r="B344" s="12" t="str">
        <f>IFERROR(__xludf.DUMMYFUNCTION("""COMPUTED_VALUE"""),"twitter")</f>
        <v>twitter</v>
      </c>
      <c r="C344" s="12"/>
      <c r="D344" s="12"/>
      <c r="E344" s="12"/>
      <c r="F344" s="12"/>
      <c r="G344" s="12"/>
      <c r="H344" s="12"/>
      <c r="I344" s="12"/>
      <c r="J344" s="12"/>
    </row>
    <row r="345">
      <c r="A345">
        <f>IFERROR(__xludf.DUMMYFUNCTION("""COMPUTED_VALUE"""),477.0)</f>
        <v>477</v>
      </c>
      <c r="B345" s="12" t="str">
        <f>IFERROR(__xludf.DUMMYFUNCTION("""COMPUTED_VALUE"""),"shein,grubhub")</f>
        <v>shein,grubhub</v>
      </c>
      <c r="C345" s="12"/>
      <c r="D345" s="12"/>
      <c r="E345" s="12"/>
      <c r="F345" s="12"/>
      <c r="G345" s="12"/>
      <c r="H345" s="12"/>
      <c r="I345" s="12"/>
      <c r="J345" s="12"/>
    </row>
    <row r="346">
      <c r="A346">
        <f>IFERROR(__xludf.DUMMYFUNCTION("""COMPUTED_VALUE"""),479.0)</f>
        <v>479</v>
      </c>
      <c r="B346" s="12" t="str">
        <f>IFERROR(__xludf.DUMMYFUNCTION("""COMPUTED_VALUE"""),"I used it to log into my Spotify account.")</f>
        <v>I used it to log into my Spotify account.</v>
      </c>
      <c r="C346" s="12"/>
      <c r="D346" s="12"/>
      <c r="E346" s="12"/>
      <c r="F346" s="12"/>
      <c r="G346" s="12"/>
      <c r="H346" s="12"/>
      <c r="I346" s="12"/>
      <c r="J346" s="12"/>
    </row>
    <row r="347">
      <c r="A347">
        <f>IFERROR(__xludf.DUMMYFUNCTION("""COMPUTED_VALUE"""),480.0)</f>
        <v>480</v>
      </c>
      <c r="B347" s="12" t="str">
        <f>IFERROR(__xludf.DUMMYFUNCTION("""COMPUTED_VALUE"""),"I think the last time I used it was for the McDonald's app")</f>
        <v>I think the last time I used it was for the McDonald's app</v>
      </c>
      <c r="C347" s="12"/>
      <c r="D347" s="12"/>
      <c r="E347" s="12"/>
      <c r="F347" s="12"/>
      <c r="G347" s="12"/>
      <c r="H347" s="12"/>
      <c r="I347" s="12"/>
      <c r="J347" s="12"/>
    </row>
    <row r="348">
      <c r="A348">
        <f>IFERROR(__xludf.DUMMYFUNCTION("""COMPUTED_VALUE"""),483.0)</f>
        <v>483</v>
      </c>
      <c r="B348" s="12" t="str">
        <f>IFERROR(__xludf.DUMMYFUNCTION("""COMPUTED_VALUE"""),"I think I used it last time I was trying to log on to pokemon go and couldn't remember my login")</f>
        <v>I think I used it last time I was trying to log on to pokemon go and couldn't remember my login</v>
      </c>
      <c r="C348" s="12"/>
      <c r="D348" s="12"/>
      <c r="E348" s="12"/>
      <c r="F348" s="12"/>
      <c r="G348" s="12"/>
      <c r="H348" s="12"/>
      <c r="I348" s="12"/>
      <c r="J348" s="12"/>
    </row>
    <row r="349">
      <c r="A349">
        <f>IFERROR(__xludf.DUMMYFUNCTION("""COMPUTED_VALUE"""),484.0)</f>
        <v>484</v>
      </c>
      <c r="B349" s="12" t="str">
        <f>IFERROR(__xludf.DUMMYFUNCTION("""COMPUTED_VALUE"""),"I believe the last time I did was while using Pinterest.")</f>
        <v>I believe the last time I did was while using Pinterest.</v>
      </c>
      <c r="C349" s="12"/>
      <c r="D349" s="12"/>
      <c r="E349" s="12"/>
      <c r="F349" s="12"/>
      <c r="G349" s="12"/>
      <c r="H349" s="12"/>
      <c r="I349" s="12"/>
      <c r="J349" s="12"/>
    </row>
    <row r="350">
      <c r="A350">
        <f>IFERROR(__xludf.DUMMYFUNCTION("""COMPUTED_VALUE"""),485.0)</f>
        <v>485</v>
      </c>
      <c r="B350" s="12" t="str">
        <f>IFERROR(__xludf.DUMMYFUNCTION("""COMPUTED_VALUE"""),"Tinder and reddit")</f>
        <v>Tinder and reddit</v>
      </c>
      <c r="C350" s="12"/>
      <c r="D350" s="12"/>
      <c r="E350" s="12"/>
      <c r="F350" s="12"/>
      <c r="G350" s="12"/>
      <c r="H350" s="12"/>
      <c r="I350" s="12"/>
      <c r="J350" s="12"/>
    </row>
    <row r="351">
      <c r="A351">
        <f>IFERROR(__xludf.DUMMYFUNCTION("""COMPUTED_VALUE"""),486.0)</f>
        <v>486</v>
      </c>
      <c r="B351" s="12" t="str">
        <f>IFERROR(__xludf.DUMMYFUNCTION("""COMPUTED_VALUE"""),"I don't remember")</f>
        <v>I don't remember</v>
      </c>
      <c r="C351" s="12"/>
      <c r="D351" s="12"/>
      <c r="E351" s="12"/>
      <c r="F351" s="12"/>
      <c r="G351" s="12"/>
      <c r="H351" s="12"/>
      <c r="I351" s="12"/>
      <c r="J351" s="12"/>
    </row>
    <row r="352">
      <c r="A352">
        <f>IFERROR(__xludf.DUMMYFUNCTION("""COMPUTED_VALUE"""),487.0)</f>
        <v>487</v>
      </c>
      <c r="B352" s="12" t="str">
        <f>IFERROR(__xludf.DUMMYFUNCTION("""COMPUTED_VALUE"""),"to comment on a news item")</f>
        <v>to comment on a news item</v>
      </c>
      <c r="C352" s="12"/>
      <c r="D352" s="12"/>
      <c r="E352" s="12"/>
      <c r="F352" s="12"/>
      <c r="G352" s="12"/>
      <c r="H352" s="12"/>
      <c r="I352" s="12"/>
      <c r="J352" s="12"/>
    </row>
    <row r="353">
      <c r="A353">
        <f>IFERROR(__xludf.DUMMYFUNCTION("""COMPUTED_VALUE"""),488.0)</f>
        <v>488</v>
      </c>
      <c r="B353" s="12" t="str">
        <f>IFERROR(__xludf.DUMMYFUNCTION("""COMPUTED_VALUE"""),"It is the Best Buy website; my login automatically logs me into the website through Google whenever I visit the site.")</f>
        <v>It is the Best Buy website; my login automatically logs me into the website through Google whenever I visit the site.</v>
      </c>
      <c r="C353" s="12"/>
      <c r="D353" s="12"/>
      <c r="E353" s="12"/>
      <c r="F353" s="12"/>
      <c r="G353" s="12"/>
      <c r="H353" s="12"/>
      <c r="I353" s="12"/>
      <c r="J353" s="12"/>
    </row>
    <row r="354">
      <c r="A354">
        <f>IFERROR(__xludf.DUMMYFUNCTION("""COMPUTED_VALUE"""),489.0)</f>
        <v>489</v>
      </c>
      <c r="B354" s="12" t="str">
        <f>IFERROR(__xludf.DUMMYFUNCTION("""COMPUTED_VALUE"""),"Genshin Impact (PC game)")</f>
        <v>Genshin Impact (PC game)</v>
      </c>
      <c r="C354" s="12"/>
      <c r="D354" s="12"/>
      <c r="E354" s="12"/>
      <c r="F354" s="12"/>
      <c r="G354" s="12"/>
      <c r="H354" s="12"/>
      <c r="I354" s="12"/>
      <c r="J354" s="12"/>
    </row>
    <row r="355">
      <c r="A355">
        <f>IFERROR(__xludf.DUMMYFUNCTION("""COMPUTED_VALUE"""),490.0)</f>
        <v>490</v>
      </c>
      <c r="B355" s="12" t="str">
        <f>IFERROR(__xludf.DUMMYFUNCTION("""COMPUTED_VALUE"""),"Yelp")</f>
        <v>Yelp</v>
      </c>
      <c r="C355" s="12"/>
      <c r="D355" s="12"/>
      <c r="E355" s="12"/>
      <c r="F355" s="12"/>
      <c r="G355" s="12"/>
      <c r="H355" s="12"/>
      <c r="I355" s="12"/>
      <c r="J355" s="12"/>
    </row>
    <row r="356">
      <c r="A356">
        <f>IFERROR(__xludf.DUMMYFUNCTION("""COMPUTED_VALUE"""),491.0)</f>
        <v>491</v>
      </c>
      <c r="B356" s="12" t="str">
        <f>IFERROR(__xludf.DUMMYFUNCTION("""COMPUTED_VALUE"""),"Food applications like Chic")</f>
        <v>Food applications like Chic</v>
      </c>
      <c r="C356" s="12"/>
      <c r="D356" s="12"/>
      <c r="E356" s="12"/>
      <c r="F356" s="12"/>
      <c r="G356" s="12"/>
      <c r="H356" s="12"/>
      <c r="I356" s="12"/>
      <c r="J356" s="12"/>
    </row>
    <row r="357">
      <c r="A357">
        <f>IFERROR(__xludf.DUMMYFUNCTION("""COMPUTED_VALUE"""),493.0)</f>
        <v>493</v>
      </c>
      <c r="B357" s="12" t="str">
        <f>IFERROR(__xludf.DUMMYFUNCTION("""COMPUTED_VALUE"""),"Poshmark")</f>
        <v>Poshmark</v>
      </c>
      <c r="C357" s="12"/>
      <c r="D357" s="12"/>
      <c r="E357" s="12"/>
      <c r="F357" s="12"/>
      <c r="G357" s="12"/>
      <c r="H357" s="12"/>
      <c r="I357" s="12"/>
      <c r="J357" s="12"/>
    </row>
    <row r="358">
      <c r="A358">
        <f>IFERROR(__xludf.DUMMYFUNCTION("""COMPUTED_VALUE"""),496.0)</f>
        <v>496</v>
      </c>
      <c r="B358" s="12" t="str">
        <f>IFERROR(__xludf.DUMMYFUNCTION("""COMPUTED_VALUE"""),"The last time I used my Google Account to sign into a third-party app or survey was this survey. Previous to this survey I used it to log into a Zoom account.")</f>
        <v>The last time I used my Google Account to sign into a third-party app or survey was this survey. Previous to this survey I used it to log into a Zoom account.</v>
      </c>
      <c r="C358" s="12"/>
      <c r="D358" s="12"/>
      <c r="E358" s="12"/>
      <c r="F358" s="12"/>
      <c r="G358" s="12"/>
      <c r="H358" s="12"/>
      <c r="I358" s="12"/>
      <c r="J358" s="12"/>
    </row>
    <row r="359">
      <c r="A359">
        <f>IFERROR(__xludf.DUMMYFUNCTION("""COMPUTED_VALUE"""),497.0)</f>
        <v>497</v>
      </c>
      <c r="B359" s="12" t="str">
        <f>IFERROR(__xludf.DUMMYFUNCTION("""COMPUTED_VALUE"""),"I don't remember")</f>
        <v>I don't remember</v>
      </c>
      <c r="C359" s="12"/>
      <c r="D359" s="12"/>
      <c r="E359" s="12"/>
      <c r="F359" s="12"/>
      <c r="G359" s="12"/>
      <c r="H359" s="12"/>
      <c r="I359" s="12"/>
      <c r="J359" s="12"/>
    </row>
    <row r="360">
      <c r="A360">
        <f>IFERROR(__xludf.DUMMYFUNCTION("""COMPUTED_VALUE"""),498.0)</f>
        <v>498</v>
      </c>
      <c r="B360" s="12" t="str">
        <f>IFERROR(__xludf.DUMMYFUNCTION("""COMPUTED_VALUE"""),"I used my Google account to sign into Etsy last night.")</f>
        <v>I used my Google account to sign into Etsy last night.</v>
      </c>
      <c r="C360" s="12"/>
      <c r="D360" s="12"/>
      <c r="E360" s="12"/>
      <c r="F360" s="12"/>
      <c r="G360" s="12"/>
      <c r="H360" s="12"/>
      <c r="I360" s="12"/>
      <c r="J360" s="12"/>
    </row>
    <row r="361">
      <c r="A361">
        <f>IFERROR(__xludf.DUMMYFUNCTION("""COMPUTED_VALUE"""),499.0)</f>
        <v>499</v>
      </c>
      <c r="B361" s="12" t="str">
        <f>IFERROR(__xludf.DUMMYFUNCTION("""COMPUTED_VALUE"""),"Google forms")</f>
        <v>Google forms</v>
      </c>
      <c r="C361" s="12"/>
      <c r="D361" s="12"/>
      <c r="E361" s="12"/>
      <c r="F361" s="12"/>
      <c r="G361" s="12"/>
      <c r="H361" s="12"/>
      <c r="I361" s="12"/>
      <c r="J361" s="12"/>
    </row>
    <row r="362">
      <c r="A362">
        <f>IFERROR(__xludf.DUMMYFUNCTION("""COMPUTED_VALUE"""),501.0)</f>
        <v>501</v>
      </c>
      <c r="B362" s="12" t="str">
        <f>IFERROR(__xludf.DUMMYFUNCTION("""COMPUTED_VALUE"""),"dispensary menu")</f>
        <v>dispensary menu</v>
      </c>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t="str">
        <f>IFERROR(__xludf.DUMMYFUNCTION("""COMPUTED_VALUE"""),"If I recall correctly, I believe it was for Spotify.")</f>
        <v>If I recall correctly, I believe it was for Spotify.</v>
      </c>
      <c r="C364" s="12"/>
      <c r="D364" s="12"/>
      <c r="E364" s="12"/>
      <c r="F364" s="12"/>
      <c r="G364" s="12"/>
      <c r="H364" s="12"/>
      <c r="I364" s="12"/>
      <c r="J364" s="12"/>
    </row>
    <row r="365">
      <c r="A365">
        <f>IFERROR(__xludf.DUMMYFUNCTION("""COMPUTED_VALUE"""),504.0)</f>
        <v>504</v>
      </c>
      <c r="B365" s="12" t="str">
        <f>IFERROR(__xludf.DUMMYFUNCTION("""COMPUTED_VALUE"""),"Instacart.")</f>
        <v>Instacart.</v>
      </c>
      <c r="C365" s="12"/>
      <c r="D365" s="12"/>
      <c r="E365" s="12"/>
      <c r="F365" s="12"/>
      <c r="G365" s="12"/>
      <c r="H365" s="12"/>
      <c r="I365" s="12"/>
      <c r="J365" s="12"/>
    </row>
    <row r="366">
      <c r="A366">
        <f>IFERROR(__xludf.DUMMYFUNCTION("""COMPUTED_VALUE"""),505.0)</f>
        <v>505</v>
      </c>
      <c r="B366" s="12" t="str">
        <f>IFERROR(__xludf.DUMMYFUNCTION("""COMPUTED_VALUE"""),"Canva!")</f>
        <v>Canva!</v>
      </c>
      <c r="C366" s="12"/>
      <c r="D366" s="12"/>
      <c r="E366" s="12"/>
      <c r="F366" s="12"/>
      <c r="G366" s="12"/>
      <c r="H366" s="12"/>
      <c r="I366" s="12"/>
      <c r="J366" s="12"/>
    </row>
    <row r="367">
      <c r="A367">
        <f>IFERROR(__xludf.DUMMYFUNCTION("""COMPUTED_VALUE"""),507.0)</f>
        <v>507</v>
      </c>
      <c r="B367" s="12" t="str">
        <f>IFERROR(__xludf.DUMMYFUNCTION("""COMPUTED_VALUE"""),"I used my google account to log into pinterest")</f>
        <v>I used my google account to log into pinterest</v>
      </c>
      <c r="C367" s="12"/>
      <c r="D367" s="12"/>
      <c r="E367" s="12"/>
      <c r="F367" s="12"/>
      <c r="G367" s="12"/>
      <c r="H367" s="12"/>
      <c r="I367" s="12"/>
      <c r="J367" s="12"/>
    </row>
    <row r="368">
      <c r="A368">
        <f>IFERROR(__xludf.DUMMYFUNCTION("""COMPUTED_VALUE"""),508.0)</f>
        <v>508</v>
      </c>
      <c r="B368" s="12" t="str">
        <f>IFERROR(__xludf.DUMMYFUNCTION("""COMPUTED_VALUE"""),"I don't remember the name, but it was some website where I was doing an online order and they wanted me to create an account (in which cases I always continue with Google)")</f>
        <v>I don't remember the name, but it was some website where I was doing an online order and they wanted me to create an account (in which cases I always continue with Google)</v>
      </c>
      <c r="C368" s="12"/>
      <c r="D368" s="12"/>
      <c r="E368" s="12"/>
      <c r="F368" s="12"/>
      <c r="G368" s="12"/>
      <c r="H368" s="12"/>
      <c r="I368" s="12"/>
      <c r="J368" s="12"/>
    </row>
    <row r="369">
      <c r="A369">
        <f>IFERROR(__xludf.DUMMYFUNCTION("""COMPUTED_VALUE"""),509.0)</f>
        <v>509</v>
      </c>
      <c r="B369" s="12" t="str">
        <f>IFERROR(__xludf.DUMMYFUNCTION("""COMPUTED_VALUE"""),"thingiverse")</f>
        <v>thingiverse</v>
      </c>
      <c r="C369" s="12"/>
      <c r="D369" s="12"/>
      <c r="E369" s="12"/>
      <c r="F369" s="12"/>
      <c r="G369" s="12"/>
      <c r="H369" s="12"/>
      <c r="I369" s="12"/>
      <c r="J369" s="12"/>
    </row>
    <row r="370">
      <c r="A370">
        <f>IFERROR(__xludf.DUMMYFUNCTION("""COMPUTED_VALUE"""),510.0)</f>
        <v>510</v>
      </c>
      <c r="B370" s="12" t="str">
        <f>IFERROR(__xludf.DUMMYFUNCTION("""COMPUTED_VALUE"""),"Paypal")</f>
        <v>Paypal</v>
      </c>
      <c r="C370" s="12"/>
      <c r="D370" s="12"/>
      <c r="E370" s="12"/>
      <c r="F370" s="12"/>
      <c r="G370" s="12"/>
      <c r="H370" s="12"/>
      <c r="I370" s="12"/>
      <c r="J370" s="12"/>
    </row>
    <row r="371">
      <c r="A371">
        <f>IFERROR(__xludf.DUMMYFUNCTION("""COMPUTED_VALUE"""),511.0)</f>
        <v>511</v>
      </c>
      <c r="B371" s="12" t="str">
        <f>IFERROR(__xludf.DUMMYFUNCTION("""COMPUTED_VALUE"""),"log in to video game")</f>
        <v>log in to video game</v>
      </c>
      <c r="C371" s="12"/>
      <c r="D371" s="12"/>
      <c r="E371" s="12"/>
      <c r="F371" s="12"/>
      <c r="G371" s="12"/>
      <c r="H371" s="12"/>
      <c r="I371" s="12"/>
      <c r="J371" s="12"/>
    </row>
    <row r="372">
      <c r="A372">
        <f>IFERROR(__xludf.DUMMYFUNCTION("""COMPUTED_VALUE"""),512.0)</f>
        <v>512</v>
      </c>
      <c r="B372" s="12" t="str">
        <f>IFERROR(__xludf.DUMMYFUNCTION("""COMPUTED_VALUE"""),"Pinterest")</f>
        <v>Pinterest</v>
      </c>
      <c r="C372" s="12"/>
      <c r="D372" s="12"/>
      <c r="E372" s="12"/>
      <c r="F372" s="12"/>
      <c r="G372" s="12"/>
      <c r="H372" s="12"/>
      <c r="I372" s="12"/>
      <c r="J372" s="12"/>
    </row>
    <row r="373">
      <c r="A373">
        <f>IFERROR(__xludf.DUMMYFUNCTION("""COMPUTED_VALUE"""),513.0)</f>
        <v>513</v>
      </c>
      <c r="B373" s="12" t="str">
        <f>IFERROR(__xludf.DUMMYFUNCTION("""COMPUTED_VALUE"""),"I use it when i dont want to take the time to put in my info so i use my google acc")</f>
        <v>I use it when i dont want to take the time to put in my info so i use my google acc</v>
      </c>
      <c r="C373" s="12"/>
      <c r="D373" s="12"/>
      <c r="E373" s="12"/>
      <c r="F373" s="12"/>
      <c r="G373" s="12"/>
      <c r="H373" s="12"/>
      <c r="I373" s="12"/>
      <c r="J373" s="12"/>
    </row>
    <row r="374">
      <c r="A374">
        <f>IFERROR(__xludf.DUMMYFUNCTION("""COMPUTED_VALUE"""),514.0)</f>
        <v>514</v>
      </c>
      <c r="B374" s="12" t="str">
        <f>IFERROR(__xludf.DUMMYFUNCTION("""COMPUTED_VALUE"""),"I'm not sure. It's a very common feature with most websites these days.")</f>
        <v>I'm not sure. It's a very common feature with most websites these days.</v>
      </c>
      <c r="C374" s="12"/>
      <c r="D374" s="12"/>
      <c r="E374" s="12"/>
      <c r="F374" s="12"/>
      <c r="G374" s="12"/>
      <c r="H374" s="12"/>
      <c r="I374" s="12"/>
      <c r="J374" s="12"/>
    </row>
    <row r="375">
      <c r="A375">
        <f>IFERROR(__xludf.DUMMYFUNCTION("""COMPUTED_VALUE"""),515.0)</f>
        <v>515</v>
      </c>
      <c r="B375" s="12" t="str">
        <f>IFERROR(__xludf.DUMMYFUNCTION("""COMPUTED_VALUE"""),"I think I have my google account linked to Instacart")</f>
        <v>I think I have my google account linked to Instacart</v>
      </c>
      <c r="C375" s="12"/>
      <c r="D375" s="12"/>
      <c r="E375" s="12"/>
      <c r="F375" s="12"/>
      <c r="G375" s="12"/>
      <c r="H375" s="12"/>
      <c r="I375" s="12"/>
      <c r="J375" s="12"/>
    </row>
    <row r="376">
      <c r="A376">
        <f>IFERROR(__xludf.DUMMYFUNCTION("""COMPUTED_VALUE"""),516.0)</f>
        <v>516</v>
      </c>
      <c r="B376" s="12" t="str">
        <f>IFERROR(__xludf.DUMMYFUNCTION("""COMPUTED_VALUE"""),"Online shopping website")</f>
        <v>Online shopping website</v>
      </c>
      <c r="C376" s="12"/>
      <c r="D376" s="12"/>
      <c r="E376" s="12"/>
      <c r="F376" s="12"/>
      <c r="G376" s="12"/>
      <c r="H376" s="12"/>
      <c r="I376" s="12"/>
      <c r="J376" s="12"/>
    </row>
    <row r="377">
      <c r="A377">
        <f>IFERROR(__xludf.DUMMYFUNCTION("""COMPUTED_VALUE"""),517.0)</f>
        <v>517</v>
      </c>
      <c r="B377" s="12" t="str">
        <f>IFERROR(__xludf.DUMMYFUNCTION("""COMPUTED_VALUE"""),"This survey")</f>
        <v>This survey</v>
      </c>
      <c r="C377" s="12"/>
      <c r="D377" s="12"/>
      <c r="E377" s="12"/>
      <c r="F377" s="12"/>
      <c r="G377" s="12"/>
      <c r="H377" s="12"/>
      <c r="I377" s="12"/>
      <c r="J377" s="12"/>
    </row>
    <row r="378">
      <c r="A378">
        <f>IFERROR(__xludf.DUMMYFUNCTION("""COMPUTED_VALUE"""),518.0)</f>
        <v>518</v>
      </c>
      <c r="B378" s="12" t="str">
        <f>IFERROR(__xludf.DUMMYFUNCTION("""COMPUTED_VALUE"""),"Facebook")</f>
        <v>Facebook</v>
      </c>
      <c r="C378" s="12"/>
      <c r="D378" s="12"/>
      <c r="E378" s="12"/>
      <c r="F378" s="12"/>
      <c r="G378" s="12"/>
      <c r="H378" s="12"/>
      <c r="I378" s="12"/>
      <c r="J378" s="12"/>
    </row>
    <row r="379">
      <c r="A379">
        <f>IFERROR(__xludf.DUMMYFUNCTION("""COMPUTED_VALUE"""),519.0)</f>
        <v>519</v>
      </c>
      <c r="B379" s="12" t="str">
        <f>IFERROR(__xludf.DUMMYFUNCTION("""COMPUTED_VALUE"""),"An online dating app")</f>
        <v>An online dating app</v>
      </c>
      <c r="C379" s="12"/>
      <c r="D379" s="12"/>
      <c r="E379" s="12"/>
      <c r="F379" s="12"/>
      <c r="G379" s="12"/>
      <c r="H379" s="12"/>
      <c r="I379" s="12"/>
      <c r="J379" s="12"/>
    </row>
    <row r="380">
      <c r="A380">
        <f>IFERROR(__xludf.DUMMYFUNCTION("""COMPUTED_VALUE"""),521.0)</f>
        <v>521</v>
      </c>
      <c r="B380" s="12" t="str">
        <f>IFERROR(__xludf.DUMMYFUNCTION("""COMPUTED_VALUE"""),"I used a web app called Talking Points.")</f>
        <v>I used a web app called Talking Points.</v>
      </c>
      <c r="C380" s="12"/>
      <c r="D380" s="12"/>
      <c r="E380" s="12"/>
      <c r="F380" s="12"/>
      <c r="G380" s="12"/>
      <c r="H380" s="12"/>
      <c r="I380" s="12"/>
      <c r="J380" s="12"/>
    </row>
    <row r="381">
      <c r="A381">
        <f>IFERROR(__xludf.DUMMYFUNCTION("""COMPUTED_VALUE"""),522.0)</f>
        <v>522</v>
      </c>
      <c r="B381" s="12" t="str">
        <f>IFERROR(__xludf.DUMMYFUNCTION("""COMPUTED_VALUE"""),"Epic Games Store")</f>
        <v>Epic Games Store</v>
      </c>
      <c r="C381" s="12"/>
      <c r="D381" s="12"/>
      <c r="E381" s="12"/>
      <c r="F381" s="12"/>
      <c r="G381" s="12"/>
      <c r="H381" s="12"/>
      <c r="I381" s="12"/>
      <c r="J381" s="12"/>
    </row>
    <row r="382">
      <c r="A382">
        <f>IFERROR(__xludf.DUMMYFUNCTION("""COMPUTED_VALUE"""),523.0)</f>
        <v>523</v>
      </c>
      <c r="B382" s="12" t="str">
        <f>IFERROR(__xludf.DUMMYFUNCTION("""COMPUTED_VALUE"""),"I used it to sign in to Door Dash.")</f>
        <v>I used it to sign in to Door Dash.</v>
      </c>
      <c r="C382" s="12"/>
      <c r="D382" s="12"/>
      <c r="E382" s="12"/>
      <c r="F382" s="12"/>
      <c r="G382" s="12"/>
      <c r="H382" s="12"/>
      <c r="I382" s="12"/>
      <c r="J382" s="12"/>
    </row>
    <row r="383">
      <c r="A383">
        <f>IFERROR(__xludf.DUMMYFUNCTION("""COMPUTED_VALUE"""),527.0)</f>
        <v>527</v>
      </c>
      <c r="B383" s="12" t="str">
        <f>IFERROR(__xludf.DUMMYFUNCTION("""COMPUTED_VALUE"""),"I think the last time I used Google Account to sign into a third-party app was to look at a newspaper/news website.")</f>
        <v>I think the last time I used Google Account to sign into a third-party app was to look at a newspaper/news website.</v>
      </c>
      <c r="C383" s="12"/>
      <c r="D383" s="12"/>
      <c r="E383" s="12"/>
      <c r="F383" s="12"/>
      <c r="G383" s="12"/>
      <c r="H383" s="12"/>
      <c r="I383" s="12"/>
      <c r="J383" s="12"/>
    </row>
    <row r="384">
      <c r="A384">
        <f>IFERROR(__xludf.DUMMYFUNCTION("""COMPUTED_VALUE"""),528.0)</f>
        <v>528</v>
      </c>
      <c r="B384" s="12" t="str">
        <f>IFERROR(__xludf.DUMMYFUNCTION("""COMPUTED_VALUE"""),"paypal")</f>
        <v>paypal</v>
      </c>
      <c r="C384" s="12"/>
      <c r="D384" s="12"/>
      <c r="E384" s="12"/>
      <c r="F384" s="12"/>
      <c r="G384" s="12"/>
      <c r="H384" s="12"/>
      <c r="I384" s="12"/>
      <c r="J384" s="12"/>
    </row>
    <row r="385">
      <c r="A385">
        <f>IFERROR(__xludf.DUMMYFUNCTION("""COMPUTED_VALUE"""),529.0)</f>
        <v>529</v>
      </c>
      <c r="B385" s="12" t="str">
        <f>IFERROR(__xludf.DUMMYFUNCTION("""COMPUTED_VALUE"""),"Geoguessr (game)")</f>
        <v>Geoguessr (game)</v>
      </c>
      <c r="C385" s="12"/>
      <c r="D385" s="12"/>
      <c r="E385" s="12"/>
      <c r="F385" s="12"/>
      <c r="G385" s="12"/>
      <c r="H385" s="12"/>
      <c r="I385" s="12"/>
      <c r="J385" s="12"/>
    </row>
    <row r="386">
      <c r="A386">
        <f>IFERROR(__xludf.DUMMYFUNCTION("""COMPUTED_VALUE"""),530.0)</f>
        <v>530</v>
      </c>
      <c r="B386" s="12" t="str">
        <f>IFERROR(__xludf.DUMMYFUNCTION("""COMPUTED_VALUE"""),"Youtube")</f>
        <v>Youtube</v>
      </c>
      <c r="C386" s="12"/>
      <c r="D386" s="12"/>
      <c r="E386" s="12"/>
      <c r="F386" s="12"/>
      <c r="G386" s="12"/>
      <c r="H386" s="12"/>
      <c r="I386" s="12"/>
      <c r="J386" s="12"/>
    </row>
    <row r="387">
      <c r="A387">
        <f>IFERROR(__xludf.DUMMYFUNCTION("""COMPUTED_VALUE"""),532.0)</f>
        <v>532</v>
      </c>
      <c r="B387" s="12" t="str">
        <f>IFERROR(__xludf.DUMMYFUNCTION("""COMPUTED_VALUE"""),"Pinterest")</f>
        <v>Pinterest</v>
      </c>
      <c r="C387" s="12"/>
      <c r="D387" s="12"/>
      <c r="E387" s="12"/>
      <c r="F387" s="12"/>
      <c r="G387" s="12"/>
      <c r="H387" s="12"/>
      <c r="I387" s="12"/>
      <c r="J387" s="12"/>
    </row>
    <row r="388">
      <c r="A388">
        <f>IFERROR(__xludf.DUMMYFUNCTION("""COMPUTED_VALUE"""),533.0)</f>
        <v>533</v>
      </c>
      <c r="B388" s="12" t="str">
        <f>IFERROR(__xludf.DUMMYFUNCTION("""COMPUTED_VALUE"""),"I signed in on a blog, so I could leave a like on a comment that was made.")</f>
        <v>I signed in on a blog, so I could leave a like on a comment that was made.</v>
      </c>
      <c r="C388" s="12"/>
      <c r="D388" s="12"/>
      <c r="E388" s="12"/>
      <c r="F388" s="12"/>
      <c r="G388" s="12"/>
      <c r="H388" s="12"/>
      <c r="I388" s="12"/>
      <c r="J388" s="12"/>
    </row>
    <row r="389">
      <c r="A389">
        <f>IFERROR(__xludf.DUMMYFUNCTION("""COMPUTED_VALUE"""),536.0)</f>
        <v>536</v>
      </c>
      <c r="B389" s="12" t="str">
        <f>IFERROR(__xludf.DUMMYFUNCTION("""COMPUTED_VALUE"""),"To my paypal account")</f>
        <v>To my paypal account</v>
      </c>
      <c r="C389" s="12"/>
      <c r="D389" s="12"/>
      <c r="E389" s="12"/>
      <c r="F389" s="12"/>
      <c r="G389" s="12"/>
      <c r="H389" s="12"/>
      <c r="I389" s="12"/>
      <c r="J389" s="12"/>
    </row>
    <row r="390">
      <c r="A390">
        <f>IFERROR(__xludf.DUMMYFUNCTION("""COMPUTED_VALUE"""),537.0)</f>
        <v>537</v>
      </c>
      <c r="B390" s="12" t="str">
        <f>IFERROR(__xludf.DUMMYFUNCTION("""COMPUTED_VALUE"""),"I do not remember")</f>
        <v>I do not remember</v>
      </c>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t="str">
        <f>IFERROR(__xludf.DUMMYFUNCTION("""COMPUTED_VALUE"""),"Shopping website such as poshmark")</f>
        <v>Shopping website such as poshmark</v>
      </c>
      <c r="C392" s="12"/>
      <c r="D392" s="12"/>
      <c r="E392" s="12"/>
      <c r="F392" s="12"/>
      <c r="G392" s="12"/>
      <c r="H392" s="12"/>
      <c r="I392" s="12"/>
      <c r="J392" s="12"/>
    </row>
    <row r="393">
      <c r="A393">
        <f>IFERROR(__xludf.DUMMYFUNCTION("""COMPUTED_VALUE"""),540.0)</f>
        <v>540</v>
      </c>
      <c r="B393" s="12" t="str">
        <f>IFERROR(__xludf.DUMMYFUNCTION("""COMPUTED_VALUE"""),"I used my Google Account to sign into Youtube.")</f>
        <v>I used my Google Account to sign into Youtube.</v>
      </c>
      <c r="C393" s="12"/>
      <c r="D393" s="12"/>
      <c r="E393" s="12"/>
      <c r="F393" s="12"/>
      <c r="G393" s="12"/>
      <c r="H393" s="12"/>
      <c r="I393" s="12"/>
      <c r="J393" s="12"/>
    </row>
    <row r="394">
      <c r="A394">
        <f>IFERROR(__xludf.DUMMYFUNCTION("""COMPUTED_VALUE"""),542.0)</f>
        <v>542</v>
      </c>
      <c r="B394" s="12" t="str">
        <f>IFERROR(__xludf.DUMMYFUNCTION("""COMPUTED_VALUE"""),"It was a gaming website")</f>
        <v>It was a gaming website</v>
      </c>
      <c r="C394" s="12"/>
      <c r="D394" s="12"/>
      <c r="E394" s="12"/>
      <c r="F394" s="12"/>
      <c r="G394" s="12"/>
      <c r="H394" s="12"/>
      <c r="I394" s="12"/>
      <c r="J394" s="12"/>
    </row>
    <row r="395">
      <c r="A395">
        <f>IFERROR(__xludf.DUMMYFUNCTION("""COMPUTED_VALUE"""),543.0)</f>
        <v>543</v>
      </c>
      <c r="B395" s="12" t="str">
        <f>IFERROR(__xludf.DUMMYFUNCTION("""COMPUTED_VALUE"""),"Grindr")</f>
        <v>Grindr</v>
      </c>
      <c r="C395" s="12"/>
      <c r="D395" s="12"/>
      <c r="E395" s="12"/>
      <c r="F395" s="12"/>
      <c r="G395" s="12"/>
      <c r="H395" s="12"/>
      <c r="I395" s="12"/>
      <c r="J395" s="12"/>
    </row>
    <row r="396">
      <c r="A396">
        <f>IFERROR(__xludf.DUMMYFUNCTION("""COMPUTED_VALUE"""),544.0)</f>
        <v>544</v>
      </c>
      <c r="B396" s="12" t="str">
        <f>IFERROR(__xludf.DUMMYFUNCTION("""COMPUTED_VALUE"""),"Streeteasy")</f>
        <v>Streeteasy</v>
      </c>
      <c r="C396" s="12"/>
      <c r="D396" s="12"/>
      <c r="E396" s="12"/>
      <c r="F396" s="12"/>
      <c r="G396" s="12"/>
      <c r="H396" s="12"/>
      <c r="I396" s="12"/>
      <c r="J396" s="12"/>
    </row>
    <row r="397">
      <c r="A397">
        <f>IFERROR(__xludf.DUMMYFUNCTION("""COMPUTED_VALUE"""),545.0)</f>
        <v>545</v>
      </c>
      <c r="B397" s="12" t="str">
        <f>IFERROR(__xludf.DUMMYFUNCTION("""COMPUTED_VALUE"""),"Pinterest")</f>
        <v>Pinterest</v>
      </c>
      <c r="C397" s="12"/>
      <c r="D397" s="12"/>
      <c r="E397" s="12"/>
      <c r="F397" s="12"/>
      <c r="G397" s="12"/>
      <c r="H397" s="12"/>
      <c r="I397" s="12"/>
      <c r="J397" s="12"/>
    </row>
    <row r="398">
      <c r="A398">
        <f>IFERROR(__xludf.DUMMYFUNCTION("""COMPUTED_VALUE"""),547.0)</f>
        <v>547</v>
      </c>
      <c r="B398" s="12" t="str">
        <f>IFERROR(__xludf.DUMMYFUNCTION("""COMPUTED_VALUE"""),"I used Google to login into my Pokemon Go app")</f>
        <v>I used Google to login into my Pokemon Go app</v>
      </c>
      <c r="C398" s="12"/>
      <c r="D398" s="12"/>
      <c r="E398" s="12"/>
      <c r="F398" s="12"/>
      <c r="G398" s="12"/>
      <c r="H398" s="12"/>
      <c r="I398" s="12"/>
      <c r="J398" s="12"/>
    </row>
    <row r="399">
      <c r="A399">
        <f>IFERROR(__xludf.DUMMYFUNCTION("""COMPUTED_VALUE"""),548.0)</f>
        <v>548</v>
      </c>
      <c r="B399" s="12" t="str">
        <f>IFERROR(__xludf.DUMMYFUNCTION("""COMPUTED_VALUE"""),"I used my Google Account to sign into a sheet music management service.")</f>
        <v>I used my Google Account to sign into a sheet music management service.</v>
      </c>
      <c r="C399" s="12"/>
      <c r="D399" s="12"/>
      <c r="E399" s="12"/>
      <c r="F399" s="12"/>
      <c r="G399" s="12"/>
      <c r="H399" s="12"/>
      <c r="I399" s="12"/>
      <c r="J399" s="12"/>
    </row>
    <row r="400">
      <c r="A400">
        <f>IFERROR(__xludf.DUMMYFUNCTION("""COMPUTED_VALUE"""),549.0)</f>
        <v>549</v>
      </c>
      <c r="B400" s="12" t="str">
        <f>IFERROR(__xludf.DUMMYFUNCTION("""COMPUTED_VALUE"""),"Amazon")</f>
        <v>Amazon</v>
      </c>
      <c r="C400" s="12"/>
      <c r="D400" s="12"/>
      <c r="E400" s="12"/>
      <c r="F400" s="12"/>
      <c r="G400" s="12"/>
      <c r="H400" s="12"/>
      <c r="I400" s="12"/>
      <c r="J400" s="12"/>
    </row>
    <row r="401">
      <c r="A401">
        <f>IFERROR(__xludf.DUMMYFUNCTION("""COMPUTED_VALUE"""),550.0)</f>
        <v>550</v>
      </c>
      <c r="B401" s="12" t="str">
        <f>IFERROR(__xludf.DUMMYFUNCTION("""COMPUTED_VALUE"""),"An online game called blaseball")</f>
        <v>An online game called blaseball</v>
      </c>
      <c r="C401" s="12"/>
      <c r="D401" s="12"/>
      <c r="E401" s="12"/>
      <c r="F401" s="12"/>
      <c r="G401" s="12"/>
      <c r="H401" s="12"/>
      <c r="I401" s="12"/>
      <c r="J401" s="12"/>
    </row>
    <row r="402">
      <c r="A402">
        <f>IFERROR(__xludf.DUMMYFUNCTION("""COMPUTED_VALUE"""),552.0)</f>
        <v>552</v>
      </c>
      <c r="B402" s="12" t="str">
        <f>IFERROR(__xludf.DUMMYFUNCTION("""COMPUTED_VALUE"""),"Songsterr")</f>
        <v>Songsterr</v>
      </c>
      <c r="C402" s="12"/>
      <c r="D402" s="12"/>
      <c r="E402" s="12"/>
      <c r="F402" s="12"/>
      <c r="G402" s="12"/>
      <c r="H402" s="12"/>
      <c r="I402" s="12"/>
      <c r="J402" s="12"/>
    </row>
    <row r="403">
      <c r="A403">
        <f>IFERROR(__xludf.DUMMYFUNCTION("""COMPUTED_VALUE"""),553.0)</f>
        <v>553</v>
      </c>
      <c r="B403" s="12" t="str">
        <f>IFERROR(__xludf.DUMMYFUNCTION("""COMPUTED_VALUE"""),"Reddit, sometimes this service is annoying because it registers me for an account even though I'm not interested.")</f>
        <v>Reddit, sometimes this service is annoying because it registers me for an account even though I'm not interested.</v>
      </c>
      <c r="C403" s="12"/>
      <c r="D403" s="12"/>
      <c r="E403" s="12"/>
      <c r="F403" s="12"/>
      <c r="G403" s="12"/>
      <c r="H403" s="12"/>
      <c r="I403" s="12"/>
      <c r="J403" s="12"/>
    </row>
    <row r="404">
      <c r="A404">
        <f>IFERROR(__xludf.DUMMYFUNCTION("""COMPUTED_VALUE"""),554.0)</f>
        <v>554</v>
      </c>
      <c r="B404" s="12" t="str">
        <f>IFERROR(__xludf.DUMMYFUNCTION("""COMPUTED_VALUE"""),"Off the top of my head, I'm not really sure. I mostly try to use Apple or my own log-in, but sometimes I use Google. It has to be for an app or website.")</f>
        <v>Off the top of my head, I'm not really sure. I mostly try to use Apple or my own log-in, but sometimes I use Google. It has to be for an app or website.</v>
      </c>
      <c r="C404" s="12"/>
      <c r="D404" s="12"/>
      <c r="E404" s="12"/>
      <c r="F404" s="12"/>
      <c r="G404" s="12"/>
      <c r="H404" s="12"/>
      <c r="I404" s="12"/>
      <c r="J404" s="12"/>
    </row>
    <row r="405">
      <c r="A405">
        <f>IFERROR(__xludf.DUMMYFUNCTION("""COMPUTED_VALUE"""),555.0)</f>
        <v>555</v>
      </c>
      <c r="B405" s="12" t="str">
        <f>IFERROR(__xludf.DUMMYFUNCTION("""COMPUTED_VALUE"""),"Paypal")</f>
        <v>Paypal</v>
      </c>
      <c r="C405" s="12"/>
      <c r="D405" s="12"/>
      <c r="E405" s="12"/>
      <c r="F405" s="12"/>
      <c r="G405" s="12"/>
      <c r="H405" s="12"/>
      <c r="I405" s="12"/>
      <c r="J405" s="12"/>
    </row>
    <row r="406">
      <c r="A406">
        <f>IFERROR(__xludf.DUMMYFUNCTION("""COMPUTED_VALUE"""),556.0)</f>
        <v>556</v>
      </c>
      <c r="B406" s="12" t="str">
        <f>IFERROR(__xludf.DUMMYFUNCTION("""COMPUTED_VALUE"""),"I used it to sign in to Shopify.")</f>
        <v>I used it to sign in to Shopify.</v>
      </c>
      <c r="C406" s="12"/>
      <c r="D406" s="12"/>
      <c r="E406" s="12"/>
      <c r="F406" s="12"/>
      <c r="G406" s="12"/>
      <c r="H406" s="12"/>
      <c r="I406" s="12"/>
      <c r="J406" s="12"/>
    </row>
    <row r="407">
      <c r="A407">
        <f>IFERROR(__xludf.DUMMYFUNCTION("""COMPUTED_VALUE"""),557.0)</f>
        <v>557</v>
      </c>
      <c r="B407" s="12" t="str">
        <f>IFERROR(__xludf.DUMMYFUNCTION("""COMPUTED_VALUE"""),"NBA Topshot")</f>
        <v>NBA Topshot</v>
      </c>
      <c r="C407" s="12"/>
      <c r="D407" s="12"/>
      <c r="E407" s="12"/>
      <c r="F407" s="12"/>
      <c r="G407" s="12"/>
      <c r="H407" s="12"/>
      <c r="I407" s="12"/>
      <c r="J407" s="12"/>
    </row>
    <row r="408">
      <c r="A408">
        <f>IFERROR(__xludf.DUMMYFUNCTION("""COMPUTED_VALUE"""),558.0)</f>
        <v>558</v>
      </c>
      <c r="B408" s="12" t="str">
        <f>IFERROR(__xludf.DUMMYFUNCTION("""COMPUTED_VALUE"""),"I use it to sign into my android game accounts")</f>
        <v>I use it to sign into my android game accounts</v>
      </c>
      <c r="C408" s="12"/>
      <c r="D408" s="12"/>
      <c r="E408" s="12"/>
      <c r="F408" s="12"/>
      <c r="G408" s="12"/>
      <c r="H408" s="12"/>
      <c r="I408" s="12"/>
      <c r="J408" s="12"/>
    </row>
    <row r="409">
      <c r="A409">
        <f>IFERROR(__xludf.DUMMYFUNCTION("""COMPUTED_VALUE"""),559.0)</f>
        <v>559</v>
      </c>
      <c r="B409" s="12" t="str">
        <f>IFERROR(__xludf.DUMMYFUNCTION("""COMPUTED_VALUE"""),"I use it for a large number of third-party sign-ins, so to be honest, it's hard to remember which one was the most recent. However, I believe it was my Facebook account")</f>
        <v>I use it for a large number of third-party sign-ins, so to be honest, it's hard to remember which one was the most recent. However, I believe it was my Facebook account</v>
      </c>
      <c r="C409" s="12"/>
      <c r="D409" s="12"/>
      <c r="E409" s="12"/>
      <c r="F409" s="12"/>
      <c r="G409" s="12"/>
      <c r="H409" s="12"/>
      <c r="I409" s="12"/>
      <c r="J409" s="12"/>
    </row>
    <row r="410">
      <c r="A410">
        <f>IFERROR(__xludf.DUMMYFUNCTION("""COMPUTED_VALUE"""),561.0)</f>
        <v>561</v>
      </c>
      <c r="B410" s="12" t="str">
        <f>IFERROR(__xludf.DUMMYFUNCTION("""COMPUTED_VALUE"""),"I don't remember in the slightest.")</f>
        <v>I don't remember in the slightest.</v>
      </c>
      <c r="C410" s="12"/>
      <c r="D410" s="12"/>
      <c r="E410" s="12"/>
      <c r="F410" s="12"/>
      <c r="G410" s="12"/>
      <c r="H410" s="12"/>
      <c r="I410" s="12"/>
      <c r="J410" s="12"/>
    </row>
    <row r="411">
      <c r="A411">
        <f>IFERROR(__xludf.DUMMYFUNCTION("""COMPUTED_VALUE"""),562.0)</f>
        <v>562</v>
      </c>
      <c r="B411" s="12" t="str">
        <f>IFERROR(__xludf.DUMMYFUNCTION("""COMPUTED_VALUE"""),"I once used it to access Youtube.")</f>
        <v>I once used it to access Youtube.</v>
      </c>
      <c r="C411" s="12"/>
      <c r="D411" s="12"/>
      <c r="E411" s="12"/>
      <c r="F411" s="12"/>
      <c r="G411" s="12"/>
      <c r="H411" s="12"/>
      <c r="I411" s="12"/>
      <c r="J411" s="12"/>
    </row>
    <row r="412">
      <c r="A412">
        <f>IFERROR(__xludf.DUMMYFUNCTION("""COMPUTED_VALUE"""),564.0)</f>
        <v>564</v>
      </c>
      <c r="B412" s="12" t="str">
        <f>IFERROR(__xludf.DUMMYFUNCTION("""COMPUTED_VALUE"""),"I used it to sign into Strava.")</f>
        <v>I used it to sign into Strava.</v>
      </c>
      <c r="C412" s="12"/>
      <c r="D412" s="12"/>
      <c r="E412" s="12"/>
      <c r="F412" s="12"/>
      <c r="G412" s="12"/>
      <c r="H412" s="12"/>
      <c r="I412" s="12"/>
      <c r="J412" s="12"/>
    </row>
    <row r="413">
      <c r="A413">
        <f>IFERROR(__xludf.DUMMYFUNCTION("""COMPUTED_VALUE"""),566.0)</f>
        <v>566</v>
      </c>
      <c r="B413" s="12" t="str">
        <f>IFERROR(__xludf.DUMMYFUNCTION("""COMPUTED_VALUE"""),"Zillow")</f>
        <v>Zillow</v>
      </c>
      <c r="C413" s="12"/>
      <c r="D413" s="12"/>
      <c r="E413" s="12"/>
      <c r="F413" s="12"/>
      <c r="G413" s="12"/>
      <c r="H413" s="12"/>
      <c r="I413" s="12"/>
      <c r="J413" s="12"/>
    </row>
    <row r="414">
      <c r="A414">
        <f>IFERROR(__xludf.DUMMYFUNCTION("""COMPUTED_VALUE"""),569.0)</f>
        <v>569</v>
      </c>
      <c r="B414" s="12" t="str">
        <f>IFERROR(__xludf.DUMMYFUNCTION("""COMPUTED_VALUE"""),"wax.io, a platform for digital trading cards.")</f>
        <v>wax.io, a platform for digital trading cards.</v>
      </c>
      <c r="C414" s="12"/>
      <c r="D414" s="12"/>
      <c r="E414" s="12"/>
      <c r="F414" s="12"/>
      <c r="G414" s="12"/>
      <c r="H414" s="12"/>
      <c r="I414" s="12"/>
      <c r="J414" s="12"/>
    </row>
    <row r="415">
      <c r="A415">
        <f>IFERROR(__xludf.DUMMYFUNCTION("""COMPUTED_VALUE"""),570.0)</f>
        <v>570</v>
      </c>
      <c r="B415" s="12" t="str">
        <f>IFERROR(__xludf.DUMMYFUNCTION("""COMPUTED_VALUE"""),"It was a game I play on my phone.")</f>
        <v>It was a game I play on my phone.</v>
      </c>
      <c r="C415" s="12"/>
      <c r="D415" s="12"/>
      <c r="E415" s="12"/>
      <c r="F415" s="12"/>
      <c r="G415" s="12"/>
      <c r="H415" s="12"/>
      <c r="I415" s="12"/>
      <c r="J415" s="12"/>
    </row>
    <row r="416">
      <c r="A416">
        <f>IFERROR(__xludf.DUMMYFUNCTION("""COMPUTED_VALUE"""),574.0)</f>
        <v>574</v>
      </c>
      <c r="B416" s="12" t="str">
        <f>IFERROR(__xludf.DUMMYFUNCTION("""COMPUTED_VALUE"""),"The Moises app")</f>
        <v>The Moises app</v>
      </c>
      <c r="C416" s="12"/>
      <c r="D416" s="12"/>
      <c r="E416" s="12"/>
      <c r="F416" s="12"/>
      <c r="G416" s="12"/>
      <c r="H416" s="12"/>
      <c r="I416" s="12"/>
      <c r="J416" s="12"/>
    </row>
    <row r="417">
      <c r="A417">
        <f>IFERROR(__xludf.DUMMYFUNCTION("""COMPUTED_VALUE"""),575.0)</f>
        <v>575</v>
      </c>
      <c r="B417" s="12" t="str">
        <f>IFERROR(__xludf.DUMMYFUNCTION("""COMPUTED_VALUE"""),"I signed in to Figma using my google account single sign on.")</f>
        <v>I signed in to Figma using my google account single sign on.</v>
      </c>
      <c r="C417" s="12"/>
      <c r="D417" s="12"/>
      <c r="E417" s="12"/>
      <c r="F417" s="12"/>
      <c r="G417" s="12"/>
      <c r="H417" s="12"/>
      <c r="I417" s="12"/>
      <c r="J417" s="12"/>
    </row>
    <row r="418">
      <c r="A418">
        <f>IFERROR(__xludf.DUMMYFUNCTION("""COMPUTED_VALUE"""),577.0)</f>
        <v>577</v>
      </c>
      <c r="B418" s="12" t="str">
        <f>IFERROR(__xludf.DUMMYFUNCTION("""COMPUTED_VALUE"""),"Maybe my newspaper? I do google and facebook lots of places")</f>
        <v>Maybe my newspaper? I do google and facebook lots of places</v>
      </c>
      <c r="C418" s="12"/>
      <c r="D418" s="12"/>
      <c r="E418" s="12"/>
      <c r="F418" s="12"/>
      <c r="G418" s="12"/>
      <c r="H418" s="12"/>
      <c r="I418" s="12"/>
      <c r="J418" s="12"/>
    </row>
    <row r="419">
      <c r="A419">
        <f>IFERROR(__xludf.DUMMYFUNCTION("""COMPUTED_VALUE"""),580.0)</f>
        <v>580</v>
      </c>
      <c r="B419" s="12" t="str">
        <f>IFERROR(__xludf.DUMMYFUNCTION("""COMPUTED_VALUE"""),"Deezer")</f>
        <v>Deezer</v>
      </c>
      <c r="C419" s="12"/>
      <c r="D419" s="12"/>
      <c r="E419" s="12"/>
      <c r="F419" s="12"/>
      <c r="G419" s="12"/>
      <c r="H419" s="12"/>
      <c r="I419" s="12"/>
      <c r="J419" s="12"/>
    </row>
    <row r="420">
      <c r="A420">
        <f>IFERROR(__xludf.DUMMYFUNCTION("""COMPUTED_VALUE"""),581.0)</f>
        <v>581</v>
      </c>
      <c r="B420" s="12" t="str">
        <f>IFERROR(__xludf.DUMMYFUNCTION("""COMPUTED_VALUE"""),"my sons homeschool")</f>
        <v>my sons homeschool</v>
      </c>
      <c r="C420" s="12"/>
      <c r="D420" s="12"/>
      <c r="E420" s="12"/>
      <c r="F420" s="12"/>
      <c r="G420" s="12"/>
      <c r="H420" s="12"/>
      <c r="I420" s="12"/>
      <c r="J420" s="12"/>
    </row>
    <row r="421">
      <c r="A421">
        <f>IFERROR(__xludf.DUMMYFUNCTION("""COMPUTED_VALUE"""),582.0)</f>
        <v>582</v>
      </c>
      <c r="B421" s="12" t="str">
        <f>IFERROR(__xludf.DUMMYFUNCTION("""COMPUTED_VALUE"""),"Yelp")</f>
        <v>Yelp</v>
      </c>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t="str">
        <f>IFERROR(__xludf.DUMMYFUNCTION("""COMPUTED_VALUE"""),"feedly")</f>
        <v>feedly</v>
      </c>
      <c r="C423" s="12"/>
      <c r="D423" s="12"/>
      <c r="E423" s="12"/>
      <c r="F423" s="12"/>
      <c r="G423" s="12"/>
      <c r="H423" s="12"/>
      <c r="I423" s="12"/>
      <c r="J423" s="12"/>
    </row>
    <row r="424">
      <c r="A424">
        <f>IFERROR(__xludf.DUMMYFUNCTION("""COMPUTED_VALUE"""),588.0)</f>
        <v>588</v>
      </c>
      <c r="B424" s="12" t="str">
        <f>IFERROR(__xludf.DUMMYFUNCTION("""COMPUTED_VALUE"""),"Best Buy")</f>
        <v>Best Buy</v>
      </c>
      <c r="C424" s="12"/>
      <c r="D424" s="12"/>
      <c r="E424" s="12"/>
      <c r="F424" s="12"/>
      <c r="G424" s="12"/>
      <c r="H424" s="12"/>
      <c r="I424" s="12"/>
      <c r="J424" s="12"/>
    </row>
    <row r="425">
      <c r="A425">
        <f>IFERROR(__xludf.DUMMYFUNCTION("""COMPUTED_VALUE"""),589.0)</f>
        <v>589</v>
      </c>
      <c r="B425" s="12" t="str">
        <f>IFERROR(__xludf.DUMMYFUNCTION("""COMPUTED_VALUE"""),"Forgot")</f>
        <v>Forgot</v>
      </c>
      <c r="C425" s="12"/>
      <c r="D425" s="12"/>
      <c r="E425" s="12"/>
      <c r="F425" s="12"/>
      <c r="G425" s="12"/>
      <c r="H425" s="12"/>
      <c r="I425" s="12"/>
      <c r="J425" s="12"/>
    </row>
    <row r="426">
      <c r="A426">
        <f>IFERROR(__xludf.DUMMYFUNCTION("""COMPUTED_VALUE"""),590.0)</f>
        <v>590</v>
      </c>
      <c r="B426" s="12" t="str">
        <f>IFERROR(__xludf.DUMMYFUNCTION("""COMPUTED_VALUE"""),"I can't remember")</f>
        <v>I can't remember</v>
      </c>
      <c r="C426" s="12"/>
      <c r="D426" s="12"/>
      <c r="E426" s="12"/>
      <c r="F426" s="12"/>
      <c r="G426" s="12"/>
      <c r="H426" s="12"/>
      <c r="I426" s="12"/>
      <c r="J426" s="12"/>
    </row>
    <row r="427">
      <c r="A427">
        <f>IFERROR(__xludf.DUMMYFUNCTION("""COMPUTED_VALUE"""),591.0)</f>
        <v>591</v>
      </c>
      <c r="B427" s="12" t="str">
        <f>IFERROR(__xludf.DUMMYFUNCTION("""COMPUTED_VALUE"""),"It was a food service I think like door dash etc")</f>
        <v>It was a food service I think like door dash etc</v>
      </c>
      <c r="C427" s="12"/>
      <c r="D427" s="12"/>
      <c r="E427" s="12"/>
      <c r="F427" s="12"/>
      <c r="G427" s="12"/>
      <c r="H427" s="12"/>
      <c r="I427" s="12"/>
      <c r="J427" s="12"/>
    </row>
    <row r="428">
      <c r="A428">
        <f>IFERROR(__xludf.DUMMYFUNCTION("""COMPUTED_VALUE"""),592.0)</f>
        <v>592</v>
      </c>
      <c r="B428" s="12" t="str">
        <f>IFERROR(__xludf.DUMMYFUNCTION("""COMPUTED_VALUE"""),"I can't remember specifically")</f>
        <v>I can't remember specifically</v>
      </c>
      <c r="C428" s="12"/>
      <c r="D428" s="12"/>
      <c r="E428" s="12"/>
      <c r="F428" s="12"/>
      <c r="G428" s="12"/>
      <c r="H428" s="12"/>
      <c r="I428" s="12"/>
      <c r="J428" s="12"/>
    </row>
    <row r="429">
      <c r="A429">
        <f>IFERROR(__xludf.DUMMYFUNCTION("""COMPUTED_VALUE"""),593.0)</f>
        <v>593</v>
      </c>
      <c r="B429" s="12" t="str">
        <f>IFERROR(__xludf.DUMMYFUNCTION("""COMPUTED_VALUE"""),"Las Day on Earth game")</f>
        <v>Las Day on Earth game</v>
      </c>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IFERROR(__xludf.DUMMYFUNCTION("""COMPUTED_VALUE"""),"Wyze cam app")</f>
        <v>Wyze cam app</v>
      </c>
      <c r="C431" s="12"/>
      <c r="D431" s="12"/>
      <c r="E431" s="12"/>
      <c r="F431" s="12"/>
      <c r="G431" s="12"/>
      <c r="H431" s="12"/>
      <c r="I431" s="12"/>
      <c r="J431" s="12"/>
    </row>
    <row r="432">
      <c r="A432">
        <f>IFERROR(__xludf.DUMMYFUNCTION("""COMPUTED_VALUE"""),598.0)</f>
        <v>598</v>
      </c>
      <c r="B432" s="12" t="str">
        <f>IFERROR(__xludf.DUMMYFUNCTION("""COMPUTED_VALUE"""),"I can't remember for sure, but I think I have signed into some of the receipt rebate apps with my gmail account. I know I have used it for Yelp and I think possibly Groupon.")</f>
        <v>I can't remember for sure, but I think I have signed into some of the receipt rebate apps with my gmail account. I know I have used it for Yelp and I think possibly Groupon.</v>
      </c>
      <c r="C432" s="12"/>
      <c r="D432" s="12"/>
      <c r="E432" s="12"/>
      <c r="F432" s="12"/>
      <c r="G432" s="12"/>
      <c r="H432" s="12"/>
      <c r="I432" s="12"/>
      <c r="J432" s="12"/>
    </row>
    <row r="433">
      <c r="A433">
        <f>IFERROR(__xludf.DUMMYFUNCTION("""COMPUTED_VALUE"""),600.0)</f>
        <v>600</v>
      </c>
      <c r="B433" s="12" t="str">
        <f>IFERROR(__xludf.DUMMYFUNCTION("""COMPUTED_VALUE"""),"Doordash")</f>
        <v>Doordash</v>
      </c>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hyperlinks>
    <hyperlink r:id="rId1" ref="B7"/>
    <hyperlink r:id="rId2" ref="B15"/>
    <hyperlink r:id="rId3" ref="B60"/>
    <hyperlink r:id="rId4" ref="B89"/>
    <hyperlink r:id="rId5" ref="B98"/>
    <hyperlink r:id="rId6" ref="B129"/>
    <hyperlink r:id="rId7" ref="B149"/>
    <hyperlink r:id="rId8" ref="B167"/>
    <hyperlink r:id="rId9" ref="B178"/>
    <hyperlink r:id="rId10" ref="B200"/>
    <hyperlink r:id="rId11" ref="B266"/>
    <hyperlink r:id="rId12" ref="B280"/>
    <hyperlink r:id="rId13" ref="B282"/>
    <hyperlink r:id="rId14" ref="B293"/>
  </hyperlinks>
  <drawing r:id="rId15"/>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IFERROR(__xludf.DUMMYFUNCTION("QUERY({'S7 (secondary)'!C2:C1000;'S7 (secondary)'!D2:D1000;'S7 (secondary)'!E2:E1000;'S7 (secondary)'!F2:F1000;'S7 (secondary)'!G2:G1000;'S7 (secondary)'!H2:H1000;'S7 (secondary)'!I2:I1000;'S7 (secondary)'!J2:J1000;'S7 (secondary)'!K2:K1000}, ""select Col"&amp;"1, count(Col1) where Col1 is not null group by Col1 order by Col1 asc"")"),"")</f>
        <v/>
      </c>
      <c r="B2" s="34" t="str">
        <f>IFERROR(__xludf.DUMMYFUNCTION("""COMPUTED_VALUE"""),"count ")</f>
        <v>count </v>
      </c>
      <c r="C2" s="34"/>
      <c r="D2" s="34"/>
      <c r="E2" s="34" t="str">
        <f>IFERROR(__xludf.DUMMYFUNCTION("QUERY({'S7 (secondary)'!C2:C1000;'S7 (secondary)'!D2:D1000;'S7 (secondary)'!E2:E1000;'S7 (secondary)'!F2:F1000;'S7 (secondary)'!G2:G1000;'S7 (secondary)'!H2:H1000;'S7 (secondary)'!I2:I1000;'S7 (secondary)'!J2:J1000;'S7 (secondary)'!K2:K1000}, ""select Col"&amp;"1, count(Col1) where Col1 is not null and not Col1 contains '-&gt;' group by Col1 order by count(Col1) asc"")"),"")</f>
        <v/>
      </c>
      <c r="F2" s="34" t="str">
        <f>IFERROR(__xludf.DUMMYFUNCTION("""COMPUTED_VALUE"""),"count ")</f>
        <v>count </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5.43"/>
    <col customWidth="1" min="2" max="2" width="48.14"/>
    <col customWidth="1" min="3" max="4" width="30.29"/>
    <col customWidth="1" min="5" max="5" width="32.57"/>
    <col customWidth="1" min="6" max="6" width="33.43"/>
    <col customWidth="1" min="7" max="10" width="30.29"/>
  </cols>
  <sheetData>
    <row r="1">
      <c r="A1" s="16" t="str">
        <f>IFERROR(__xludf.DUMMYFUNCTION("QUERY('All Responses'!2:998,""select A,C"")"),"Response ID")</f>
        <v>Response ID</v>
      </c>
      <c r="B1" s="17" t="str">
        <f>IFERROR(__xludf.DUMMYFUNCTION("""COMPUTED_VALUE"""),"google_recall_sso_yes_consider")</f>
        <v>google_recall_sso_yes_consider</v>
      </c>
      <c r="C1" s="17" t="s">
        <v>1399</v>
      </c>
      <c r="D1" s="17" t="s">
        <v>1400</v>
      </c>
      <c r="E1" s="17" t="s">
        <v>1401</v>
      </c>
      <c r="F1" s="17" t="s">
        <v>1402</v>
      </c>
      <c r="G1" s="17" t="s">
        <v>1403</v>
      </c>
      <c r="H1" s="17" t="s">
        <v>1404</v>
      </c>
      <c r="I1" s="17" t="s">
        <v>1405</v>
      </c>
      <c r="J1" s="17" t="s">
        <v>1406</v>
      </c>
    </row>
    <row r="2">
      <c r="A2">
        <f>IFERROR(__xludf.DUMMYFUNCTION("""COMPUTED_VALUE"""),1.0)</f>
        <v>1</v>
      </c>
      <c r="B2" s="12"/>
      <c r="C2" s="3"/>
      <c r="D2" s="3"/>
      <c r="E2" s="3"/>
      <c r="F2" s="36"/>
      <c r="G2" s="23"/>
      <c r="H2" s="3"/>
      <c r="I2" s="12"/>
      <c r="J2" s="12"/>
    </row>
    <row r="3">
      <c r="A3">
        <f>IFERROR(__xludf.DUMMYFUNCTION("""COMPUTED_VALUE"""),2.0)</f>
        <v>2</v>
      </c>
      <c r="B3" s="12" t="str">
        <f>IFERROR(__xludf.DUMMYFUNCTION("""COMPUTED_VALUE"""),"That I did not want to fill out information and it would be easier to use my google account")</f>
        <v>That I did not want to fill out information and it would be easier to use my google account</v>
      </c>
      <c r="C3" s="3" t="s">
        <v>1598</v>
      </c>
      <c r="D3" s="3" t="s">
        <v>1599</v>
      </c>
      <c r="E3" s="3"/>
      <c r="F3" s="26"/>
      <c r="G3" s="12"/>
      <c r="H3" s="12"/>
      <c r="I3" s="12"/>
      <c r="J3" s="12"/>
    </row>
    <row r="4">
      <c r="A4">
        <f>IFERROR(__xludf.DUMMYFUNCTION("""COMPUTED_VALUE"""),3.0)</f>
        <v>3</v>
      </c>
      <c r="B4" s="12"/>
      <c r="C4" s="3"/>
      <c r="D4" s="3"/>
      <c r="E4" s="3"/>
      <c r="F4" s="26"/>
      <c r="G4" s="12"/>
      <c r="H4" s="12"/>
      <c r="I4" s="12"/>
      <c r="J4" s="12"/>
    </row>
    <row r="5">
      <c r="A5">
        <f>IFERROR(__xludf.DUMMYFUNCTION("""COMPUTED_VALUE"""),4.0)</f>
        <v>4</v>
      </c>
      <c r="B5" s="12" t="str">
        <f>IFERROR(__xludf.DUMMYFUNCTION("""COMPUTED_VALUE"""),"I considered my safety and the safety of my information")</f>
        <v>I considered my safety and the safety of my information</v>
      </c>
      <c r="C5" s="3" t="s">
        <v>65</v>
      </c>
      <c r="D5" s="3" t="s">
        <v>1600</v>
      </c>
      <c r="E5" s="3"/>
      <c r="F5" s="3"/>
      <c r="G5" s="3"/>
      <c r="H5" s="12"/>
      <c r="I5" s="12"/>
      <c r="J5" s="12"/>
    </row>
    <row r="6">
      <c r="A6">
        <f>IFERROR(__xludf.DUMMYFUNCTION("""COMPUTED_VALUE"""),5.0)</f>
        <v>5</v>
      </c>
      <c r="B6" s="12"/>
      <c r="C6" s="3"/>
      <c r="D6" s="3"/>
      <c r="E6" s="3"/>
      <c r="F6" s="12"/>
      <c r="G6" s="12"/>
      <c r="H6" s="12"/>
      <c r="I6" s="12"/>
      <c r="J6" s="12"/>
    </row>
    <row r="7">
      <c r="A7">
        <f>IFERROR(__xludf.DUMMYFUNCTION("""COMPUTED_VALUE"""),10.0)</f>
        <v>10</v>
      </c>
      <c r="B7" s="12" t="str">
        <f>IFERROR(__xludf.DUMMYFUNCTION("""COMPUTED_VALUE"""),"I thought about whether or not the website was trustworthy, and if it would be secure to sign in using my Gmail account.")</f>
        <v>I thought about whether or not the website was trustworthy, and if it would be secure to sign in using my Gmail account.</v>
      </c>
      <c r="C7" s="3" t="s">
        <v>65</v>
      </c>
      <c r="D7" s="3" t="s">
        <v>1601</v>
      </c>
      <c r="E7" s="3" t="s">
        <v>1602</v>
      </c>
      <c r="F7" s="3" t="s">
        <v>1603</v>
      </c>
      <c r="G7" s="3"/>
      <c r="H7" s="3"/>
      <c r="I7" s="12"/>
      <c r="J7" s="12"/>
    </row>
    <row r="8">
      <c r="A8">
        <f>IFERROR(__xludf.DUMMYFUNCTION("""COMPUTED_VALUE"""),12.0)</f>
        <v>12</v>
      </c>
      <c r="B8" s="12"/>
      <c r="C8" s="3"/>
      <c r="D8" s="3"/>
      <c r="E8" s="26"/>
      <c r="F8" s="23"/>
      <c r="G8" s="3"/>
      <c r="H8" s="23"/>
      <c r="I8" s="36"/>
      <c r="J8" s="12"/>
    </row>
    <row r="9">
      <c r="A9">
        <f>IFERROR(__xludf.DUMMYFUNCTION("""COMPUTED_VALUE"""),13.0)</f>
        <v>13</v>
      </c>
      <c r="B9" s="12" t="str">
        <f>IFERROR(__xludf.DUMMYFUNCTION("""COMPUTED_VALUE"""),"how long it would take me to sign up, what access to my info they would have")</f>
        <v>how long it would take me to sign up, what access to my info they would have</v>
      </c>
      <c r="C9" s="3" t="s">
        <v>1598</v>
      </c>
      <c r="D9" s="26" t="s">
        <v>1604</v>
      </c>
      <c r="E9" s="3" t="s">
        <v>65</v>
      </c>
      <c r="F9" s="26" t="s">
        <v>1600</v>
      </c>
      <c r="G9" s="3"/>
      <c r="H9" s="12"/>
      <c r="I9" s="12"/>
      <c r="J9" s="12"/>
    </row>
    <row r="10">
      <c r="A10">
        <f>IFERROR(__xludf.DUMMYFUNCTION("""COMPUTED_VALUE"""),14.0)</f>
        <v>14</v>
      </c>
      <c r="B10" s="12" t="str">
        <f>IFERROR(__xludf.DUMMYFUNCTION("""COMPUTED_VALUE"""),"why they want my google info")</f>
        <v>why they want my google info</v>
      </c>
      <c r="C10" s="37" t="s">
        <v>1605</v>
      </c>
      <c r="D10" s="37" t="s">
        <v>1606</v>
      </c>
      <c r="E10" s="38"/>
      <c r="F10" s="30"/>
      <c r="G10" s="37"/>
      <c r="H10" s="37"/>
      <c r="I10" s="39"/>
      <c r="J10" s="39"/>
    </row>
    <row r="11">
      <c r="A11">
        <f>IFERROR(__xludf.DUMMYFUNCTION("""COMPUTED_VALUE"""),16.0)</f>
        <v>16</v>
      </c>
      <c r="B11" s="12" t="str">
        <f>IFERROR(__xludf.DUMMYFUNCTION("""COMPUTED_VALUE"""),"Unsure")</f>
        <v>Unsure</v>
      </c>
      <c r="C11" s="28" t="s">
        <v>1607</v>
      </c>
      <c r="D11" s="40"/>
      <c r="E11" s="26"/>
      <c r="F11" s="12"/>
      <c r="G11" s="12"/>
      <c r="H11" s="12"/>
      <c r="I11" s="12"/>
      <c r="J11" s="12"/>
    </row>
    <row r="12">
      <c r="A12">
        <f>IFERROR(__xludf.DUMMYFUNCTION("""COMPUTED_VALUE"""),19.0)</f>
        <v>19</v>
      </c>
      <c r="B12" s="12" t="str">
        <f>IFERROR(__xludf.DUMMYFUNCTION("""COMPUTED_VALUE"""),"Nothing really. I often use my Google Account to sign into third-party apps without worrying too much about it.")</f>
        <v>Nothing really. I often use my Google Account to sign into third-party apps without worrying too much about it.</v>
      </c>
      <c r="C12" s="3" t="s">
        <v>1608</v>
      </c>
      <c r="D12" s="3"/>
      <c r="E12" s="39"/>
      <c r="F12" s="12"/>
      <c r="G12" s="12"/>
      <c r="H12" s="12"/>
      <c r="I12" s="12"/>
      <c r="J12" s="12"/>
    </row>
    <row r="13">
      <c r="A13">
        <f>IFERROR(__xludf.DUMMYFUNCTION("""COMPUTED_VALUE"""),21.0)</f>
        <v>21</v>
      </c>
      <c r="B13" s="12" t="str">
        <f>IFERROR(__xludf.DUMMYFUNCTION("""COMPUTED_VALUE"""),"nothing I do it all the time so I do not really think about it")</f>
        <v>nothing I do it all the time so I do not really think about it</v>
      </c>
      <c r="C13" s="3" t="s">
        <v>1608</v>
      </c>
      <c r="D13" s="3"/>
      <c r="E13" s="28"/>
      <c r="F13" s="28"/>
      <c r="G13" s="12"/>
      <c r="H13" s="12"/>
      <c r="I13" s="12"/>
      <c r="J13" s="12"/>
    </row>
    <row r="14">
      <c r="A14">
        <f>IFERROR(__xludf.DUMMYFUNCTION("""COMPUTED_VALUE"""),22.0)</f>
        <v>22</v>
      </c>
      <c r="B14" s="12" t="str">
        <f>IFERROR(__xludf.DUMMYFUNCTION("""COMPUTED_VALUE"""),"security")</f>
        <v>security</v>
      </c>
      <c r="C14" s="3" t="s">
        <v>65</v>
      </c>
      <c r="D14" s="3"/>
      <c r="E14" s="3"/>
      <c r="F14" s="12"/>
      <c r="G14" s="12"/>
      <c r="H14" s="12"/>
      <c r="I14" s="12"/>
      <c r="J14" s="12"/>
    </row>
    <row r="15">
      <c r="A15">
        <f>IFERROR(__xludf.DUMMYFUNCTION("""COMPUTED_VALUE"""),24.0)</f>
        <v>24</v>
      </c>
      <c r="B15" s="41" t="str">
        <f>IFERROR(__xludf.DUMMYFUNCTION("""COMPUTED_VALUE"""),"the effort of making a new account versus sharing my google info")</f>
        <v>the effort of making a new account versus sharing my google info</v>
      </c>
      <c r="C15" s="26" t="s">
        <v>1598</v>
      </c>
      <c r="D15" s="26" t="s">
        <v>1609</v>
      </c>
      <c r="E15" s="26" t="s">
        <v>1610</v>
      </c>
      <c r="F15" s="3" t="s">
        <v>1611</v>
      </c>
      <c r="G15" s="12"/>
      <c r="H15" s="12"/>
      <c r="I15" s="12"/>
      <c r="J15" s="12"/>
    </row>
    <row r="16">
      <c r="A16">
        <f>IFERROR(__xludf.DUMMYFUNCTION("""COMPUTED_VALUE"""),25.0)</f>
        <v>25</v>
      </c>
      <c r="B16" s="12" t="str">
        <f>IFERROR(__xludf.DUMMYFUNCTION("""COMPUTED_VALUE"""),"How easy it was to log in using Google rather than creating a separate account.")</f>
        <v>How easy it was to log in using Google rather than creating a separate account.</v>
      </c>
      <c r="C16" s="26" t="s">
        <v>1598</v>
      </c>
      <c r="D16" s="26" t="s">
        <v>1609</v>
      </c>
      <c r="E16" s="26" t="s">
        <v>1610</v>
      </c>
      <c r="F16" s="26" t="s">
        <v>1612</v>
      </c>
      <c r="G16" s="3" t="s">
        <v>1613</v>
      </c>
      <c r="H16" s="12"/>
      <c r="I16" s="12"/>
      <c r="J16" s="12"/>
    </row>
    <row r="17">
      <c r="A17">
        <f>IFERROR(__xludf.DUMMYFUNCTION("""COMPUTED_VALUE"""),26.0)</f>
        <v>26</v>
      </c>
      <c r="B17" s="12" t="str">
        <f>IFERROR(__xludf.DUMMYFUNCTION("""COMPUTED_VALUE"""),"If it was what I used as the sign-in or had another username")</f>
        <v>If it was what I used as the sign-in or had another username</v>
      </c>
      <c r="C17" s="3" t="s">
        <v>1614</v>
      </c>
      <c r="D17" s="26"/>
      <c r="E17" s="3"/>
      <c r="F17" s="12"/>
      <c r="G17" s="12"/>
      <c r="H17" s="12"/>
      <c r="I17" s="12"/>
      <c r="J17" s="12"/>
    </row>
    <row r="18">
      <c r="A18">
        <f>IFERROR(__xludf.DUMMYFUNCTION("""COMPUTED_VALUE"""),28.0)</f>
        <v>28</v>
      </c>
      <c r="B18" s="12"/>
      <c r="C18" s="3"/>
      <c r="D18" s="3"/>
      <c r="E18" s="3"/>
      <c r="F18" s="12"/>
      <c r="G18" s="12"/>
      <c r="H18" s="12"/>
      <c r="I18" s="12"/>
      <c r="J18" s="12"/>
    </row>
    <row r="19">
      <c r="A19">
        <f>IFERROR(__xludf.DUMMYFUNCTION("""COMPUTED_VALUE"""),29.0)</f>
        <v>29</v>
      </c>
      <c r="B19" s="12" t="str">
        <f>IFERROR(__xludf.DUMMYFUNCTION("""COMPUTED_VALUE"""),"nothing i knew it would be safe with that app and i would not receive any unwanted emails which is the only thing i really would consider using it with third party apps")</f>
        <v>nothing i knew it would be safe with that app and i would not receive any unwanted emails which is the only thing i really would consider using it with third party apps</v>
      </c>
      <c r="C19" s="3" t="s">
        <v>1608</v>
      </c>
      <c r="D19" s="26" t="s">
        <v>1602</v>
      </c>
      <c r="E19" s="3" t="s">
        <v>1615</v>
      </c>
      <c r="F19" s="3" t="s">
        <v>1616</v>
      </c>
      <c r="J19" s="12"/>
    </row>
    <row r="20">
      <c r="A20">
        <f>IFERROR(__xludf.DUMMYFUNCTION("""COMPUTED_VALUE"""),30.0)</f>
        <v>30</v>
      </c>
      <c r="B20" s="12" t="str">
        <f>IFERROR(__xludf.DUMMYFUNCTION("""COMPUTED_VALUE"""),"It is easier and more convenient than making a brand new account to some third party website.")</f>
        <v>It is easier and more convenient than making a brand new account to some third party website.</v>
      </c>
      <c r="C20" s="26" t="s">
        <v>1598</v>
      </c>
      <c r="D20" s="26" t="s">
        <v>1609</v>
      </c>
      <c r="E20" s="3" t="s">
        <v>1613</v>
      </c>
      <c r="F20" s="3"/>
      <c r="G20" s="3"/>
      <c r="J20" s="12"/>
    </row>
    <row r="21">
      <c r="A21">
        <f>IFERROR(__xludf.DUMMYFUNCTION("""COMPUTED_VALUE"""),31.0)</f>
        <v>31</v>
      </c>
      <c r="B21" s="12" t="str">
        <f>IFERROR(__xludf.DUMMYFUNCTION("""COMPUTED_VALUE"""),"If they kept my info.")</f>
        <v>If they kept my info.</v>
      </c>
      <c r="C21" s="3" t="s">
        <v>65</v>
      </c>
      <c r="D21" s="3" t="s">
        <v>1600</v>
      </c>
      <c r="E21" s="37" t="s">
        <v>1605</v>
      </c>
      <c r="F21" s="37" t="s">
        <v>1617</v>
      </c>
      <c r="G21" s="12"/>
      <c r="J21" s="12"/>
    </row>
    <row r="22">
      <c r="A22">
        <f>IFERROR(__xludf.DUMMYFUNCTION("""COMPUTED_VALUE"""),32.0)</f>
        <v>32</v>
      </c>
      <c r="B22" s="12" t="str">
        <f>IFERROR(__xludf.DUMMYFUNCTION("""COMPUTED_VALUE"""),"Nothing.")</f>
        <v>Nothing.</v>
      </c>
      <c r="C22" s="3" t="s">
        <v>1608</v>
      </c>
      <c r="H22" s="12"/>
      <c r="I22" s="12"/>
      <c r="J22" s="12"/>
    </row>
    <row r="23">
      <c r="A23">
        <f>IFERROR(__xludf.DUMMYFUNCTION("""COMPUTED_VALUE"""),35.0)</f>
        <v>35</v>
      </c>
      <c r="B23" s="12" t="str">
        <f>IFERROR(__xludf.DUMMYFUNCTION("""COMPUTED_VALUE"""),"I considered signing in with my usual log in info but i found this to be much faster and simpler.")</f>
        <v>I considered signing in with my usual log in info but i found this to be much faster and simpler.</v>
      </c>
      <c r="C23" s="20" t="s">
        <v>1598</v>
      </c>
      <c r="D23" s="28" t="s">
        <v>1618</v>
      </c>
      <c r="E23" s="3"/>
      <c r="F23" s="12"/>
      <c r="G23" s="12"/>
      <c r="H23" s="12"/>
      <c r="I23" s="3"/>
      <c r="J23" s="12"/>
    </row>
    <row r="24">
      <c r="A24">
        <f>IFERROR(__xludf.DUMMYFUNCTION("""COMPUTED_VALUE"""),36.0)</f>
        <v>36</v>
      </c>
      <c r="B24" s="12" t="str">
        <f>IFERROR(__xludf.DUMMYFUNCTION("""COMPUTED_VALUE"""),"whether I wanted to create a separate account for the service or just use my google account")</f>
        <v>whether I wanted to create a separate account for the service or just use my google account</v>
      </c>
      <c r="C24" s="20" t="s">
        <v>1613</v>
      </c>
      <c r="I24" s="12"/>
      <c r="J24" s="12"/>
    </row>
    <row r="25">
      <c r="A25">
        <f>IFERROR(__xludf.DUMMYFUNCTION("""COMPUTED_VALUE"""),39.0)</f>
        <v>39</v>
      </c>
      <c r="B25" s="12" t="str">
        <f>IFERROR(__xludf.DUMMYFUNCTION("""COMPUTED_VALUE"""),"I tried to remember if I had created an account before and if I remembered my username/password.")</f>
        <v>I tried to remember if I had created an account before and if I remembered my username/password.</v>
      </c>
      <c r="C25" s="20" t="s">
        <v>1614</v>
      </c>
      <c r="I25" s="12"/>
      <c r="J25" s="12"/>
    </row>
    <row r="26">
      <c r="A26">
        <f>IFERROR(__xludf.DUMMYFUNCTION("""COMPUTED_VALUE"""),40.0)</f>
        <v>40</v>
      </c>
      <c r="B26" s="12" t="str">
        <f>IFERROR(__xludf.DUMMYFUNCTION("""COMPUTED_VALUE"""),"Nothing really, I assume google is pretty strict about how applications can use there sign on service. In fact it's just a sign on service, I doubt they have access to anything")</f>
        <v>Nothing really, I assume google is pretty strict about how applications can use there sign on service. In fact it's just a sign on service, I doubt they have access to anything</v>
      </c>
      <c r="C26" s="3" t="s">
        <v>1608</v>
      </c>
      <c r="D26" s="20" t="s">
        <v>1608</v>
      </c>
      <c r="E26" s="3" t="s">
        <v>1619</v>
      </c>
      <c r="F26" s="3" t="s">
        <v>1605</v>
      </c>
      <c r="G26" s="3" t="s">
        <v>1606</v>
      </c>
      <c r="H26" s="12"/>
      <c r="I26" s="12"/>
      <c r="J26" s="12"/>
    </row>
    <row r="27">
      <c r="A27">
        <f>IFERROR(__xludf.DUMMYFUNCTION("""COMPUTED_VALUE"""),42.0)</f>
        <v>42</v>
      </c>
      <c r="B27" s="12" t="str">
        <f>IFERROR(__xludf.DUMMYFUNCTION("""COMPUTED_VALUE"""),"I considered if I was using a safe site, worried that my password may be compromised if I'm entering it into a third-party site.")</f>
        <v>I considered if I was using a safe site, worried that my password may be compromised if I'm entering it into a third-party site.</v>
      </c>
      <c r="C27" s="3" t="s">
        <v>65</v>
      </c>
      <c r="D27" s="3" t="s">
        <v>1603</v>
      </c>
      <c r="E27" s="3"/>
      <c r="F27" s="3"/>
      <c r="G27" s="12"/>
      <c r="H27" s="12"/>
      <c r="I27" s="12"/>
      <c r="J27" s="12"/>
    </row>
    <row r="28">
      <c r="A28">
        <f>IFERROR(__xludf.DUMMYFUNCTION("""COMPUTED_VALUE"""),46.0)</f>
        <v>46</v>
      </c>
      <c r="B28" s="12" t="str">
        <f>IFERROR(__xludf.DUMMYFUNCTION("""COMPUTED_VALUE"""),"I was concerned with the security of my account.")</f>
        <v>I was concerned with the security of my account.</v>
      </c>
      <c r="C28" s="3" t="s">
        <v>65</v>
      </c>
      <c r="D28" s="3"/>
      <c r="E28" s="3"/>
      <c r="F28" s="3"/>
      <c r="G28" s="3"/>
      <c r="H28" s="3"/>
      <c r="I28" s="12"/>
      <c r="J28" s="12"/>
    </row>
    <row r="29">
      <c r="A29">
        <f>IFERROR(__xludf.DUMMYFUNCTION("""COMPUTED_VALUE"""),47.0)</f>
        <v>47</v>
      </c>
      <c r="B29" s="12" t="str">
        <f>IFERROR(__xludf.DUMMYFUNCTION("""COMPUTED_VALUE"""),"The ease of not having to make a new account or remember a new password.")</f>
        <v>The ease of not having to make a new account or remember a new password.</v>
      </c>
      <c r="C29" s="20" t="s">
        <v>1598</v>
      </c>
      <c r="D29" s="3" t="s">
        <v>1609</v>
      </c>
      <c r="E29" s="42" t="s">
        <v>1614</v>
      </c>
      <c r="F29" s="42"/>
      <c r="G29" s="12"/>
      <c r="H29" s="12"/>
      <c r="I29" s="12"/>
      <c r="J29" s="12"/>
    </row>
    <row r="30">
      <c r="A30">
        <f>IFERROR(__xludf.DUMMYFUNCTION("""COMPUTED_VALUE"""),50.0)</f>
        <v>50</v>
      </c>
      <c r="B30" s="12" t="str">
        <f>IFERROR(__xludf.DUMMYFUNCTION("""COMPUTED_VALUE"""),"password")</f>
        <v>password</v>
      </c>
      <c r="C30" s="3" t="s">
        <v>1614</v>
      </c>
      <c r="D30" s="43"/>
      <c r="E30" s="28"/>
      <c r="F30" s="28"/>
      <c r="G30" s="12"/>
      <c r="H30" s="12"/>
      <c r="I30" s="12"/>
      <c r="J30" s="12"/>
    </row>
    <row r="31">
      <c r="A31">
        <f>IFERROR(__xludf.DUMMYFUNCTION("""COMPUTED_VALUE"""),51.0)</f>
        <v>51</v>
      </c>
      <c r="B31" s="12"/>
      <c r="C31" s="28"/>
      <c r="D31" s="3"/>
      <c r="E31" s="28"/>
      <c r="F31" s="12"/>
      <c r="G31" s="12"/>
      <c r="H31" s="12"/>
      <c r="I31" s="12"/>
      <c r="J31" s="12"/>
    </row>
    <row r="32">
      <c r="A32">
        <f>IFERROR(__xludf.DUMMYFUNCTION("""COMPUTED_VALUE"""),52.0)</f>
        <v>52</v>
      </c>
      <c r="B32" s="12" t="str">
        <f>IFERROR(__xludf.DUMMYFUNCTION("""COMPUTED_VALUE"""),"The time it would take to create a new account on that site")</f>
        <v>The time it would take to create a new account on that site</v>
      </c>
      <c r="C32" s="20" t="s">
        <v>1598</v>
      </c>
      <c r="D32" s="3" t="s">
        <v>1609</v>
      </c>
      <c r="E32" s="12"/>
      <c r="F32" s="12"/>
      <c r="G32" s="12"/>
      <c r="H32" s="12"/>
      <c r="I32" s="12"/>
      <c r="J32" s="12"/>
    </row>
    <row r="33">
      <c r="A33">
        <f>IFERROR(__xludf.DUMMYFUNCTION("""COMPUTED_VALUE"""),53.0)</f>
        <v>53</v>
      </c>
      <c r="B33" s="12" t="str">
        <f>IFERROR(__xludf.DUMMYFUNCTION("""COMPUTED_VALUE"""),"nothing specific")</f>
        <v>nothing specific</v>
      </c>
      <c r="C33" s="3" t="s">
        <v>1608</v>
      </c>
      <c r="D33" s="28"/>
      <c r="E33" s="3"/>
      <c r="F33" s="43"/>
      <c r="G33" s="12"/>
      <c r="H33" s="12"/>
      <c r="I33" s="12"/>
      <c r="J33" s="12"/>
    </row>
    <row r="34">
      <c r="A34">
        <f>IFERROR(__xludf.DUMMYFUNCTION("""COMPUTED_VALUE"""),55.0)</f>
        <v>55</v>
      </c>
      <c r="B34" s="12" t="str">
        <f>IFERROR(__xludf.DUMMYFUNCTION("""COMPUTED_VALUE"""),"What other sign in options were provided")</f>
        <v>What other sign in options were provided</v>
      </c>
      <c r="C34" s="28" t="s">
        <v>1620</v>
      </c>
      <c r="D34" s="3"/>
      <c r="E34" s="28"/>
      <c r="F34" s="3"/>
      <c r="G34" s="28"/>
      <c r="H34" s="12"/>
      <c r="I34" s="12"/>
      <c r="J34" s="12"/>
    </row>
    <row r="35">
      <c r="A35">
        <f>IFERROR(__xludf.DUMMYFUNCTION("""COMPUTED_VALUE"""),56.0)</f>
        <v>56</v>
      </c>
      <c r="B35" s="12" t="str">
        <f>IFERROR(__xludf.DUMMYFUNCTION("""COMPUTED_VALUE"""),"I made no considerations.")</f>
        <v>I made no considerations.</v>
      </c>
      <c r="C35" s="3" t="s">
        <v>1608</v>
      </c>
      <c r="D35" s="28"/>
      <c r="E35" s="12"/>
      <c r="F35" s="12"/>
      <c r="G35" s="12"/>
      <c r="H35" s="12"/>
      <c r="I35" s="12"/>
      <c r="J35" s="12"/>
    </row>
    <row r="36">
      <c r="A36">
        <f>IFERROR(__xludf.DUMMYFUNCTION("""COMPUTED_VALUE"""),58.0)</f>
        <v>58</v>
      </c>
      <c r="B36" s="12" t="str">
        <f>IFERROR(__xludf.DUMMYFUNCTION("""COMPUTED_VALUE"""),"It was easier than signing up (creating a new username, password, security questions, 2-step authorization setup, confirming active email, etc).")</f>
        <v>It was easier than signing up (creating a new username, password, security questions, 2-step authorization setup, confirming active email, etc).</v>
      </c>
      <c r="C36" s="3" t="s">
        <v>1598</v>
      </c>
      <c r="D36" s="43" t="s">
        <v>1609</v>
      </c>
      <c r="E36" s="43" t="s">
        <v>1610</v>
      </c>
      <c r="F36" s="3"/>
      <c r="G36" s="28"/>
      <c r="H36" s="12"/>
      <c r="I36" s="12"/>
      <c r="J36" s="12"/>
    </row>
    <row r="37">
      <c r="A37">
        <f>IFERROR(__xludf.DUMMYFUNCTION("""COMPUTED_VALUE"""),59.0)</f>
        <v>59</v>
      </c>
      <c r="B37" s="12" t="str">
        <f>IFERROR(__xludf.DUMMYFUNCTION("""COMPUTED_VALUE"""),"Wether to use facebook sign in or google")</f>
        <v>Wether to use facebook sign in or google</v>
      </c>
      <c r="C37" s="3" t="s">
        <v>1620</v>
      </c>
      <c r="D37" s="43" t="s">
        <v>1621</v>
      </c>
      <c r="E37" s="3"/>
      <c r="F37" s="3"/>
      <c r="G37" s="3"/>
      <c r="H37" s="12"/>
      <c r="I37" s="12"/>
      <c r="J37" s="12"/>
    </row>
    <row r="38">
      <c r="A38">
        <f>IFERROR(__xludf.DUMMYFUNCTION("""COMPUTED_VALUE"""),60.0)</f>
        <v>60</v>
      </c>
      <c r="B38" s="12" t="str">
        <f>IFERROR(__xludf.DUMMYFUNCTION("""COMPUTED_VALUE"""),"Information Third-party would receive")</f>
        <v>Information Third-party would receive</v>
      </c>
      <c r="C38" s="3" t="s">
        <v>1605</v>
      </c>
      <c r="D38" s="43" t="s">
        <v>1622</v>
      </c>
      <c r="E38" s="3"/>
      <c r="F38" s="12"/>
      <c r="G38" s="12"/>
      <c r="H38" s="12"/>
      <c r="I38" s="12"/>
      <c r="J38" s="12"/>
    </row>
    <row r="39">
      <c r="A39">
        <f>IFERROR(__xludf.DUMMYFUNCTION("""COMPUTED_VALUE"""),61.0)</f>
        <v>61</v>
      </c>
      <c r="B39" s="12" t="str">
        <f>IFERROR(__xludf.DUMMYFUNCTION("""COMPUTED_VALUE"""),"What access the third-party would have to my email account")</f>
        <v>What access the third-party would have to my email account</v>
      </c>
      <c r="C39" s="3" t="s">
        <v>1605</v>
      </c>
      <c r="D39" s="43" t="s">
        <v>1623</v>
      </c>
      <c r="E39" s="12"/>
      <c r="F39" s="12"/>
      <c r="G39" s="12"/>
      <c r="H39" s="12"/>
      <c r="I39" s="12"/>
      <c r="J39" s="12"/>
    </row>
    <row r="40">
      <c r="A40">
        <f>IFERROR(__xludf.DUMMYFUNCTION("""COMPUTED_VALUE"""),62.0)</f>
        <v>62</v>
      </c>
      <c r="B40" s="12" t="str">
        <f>IFERROR(__xludf.DUMMYFUNCTION("""COMPUTED_VALUE"""),"In this particular case, not a whole lot given there is no sensitive information involved. However, with other services, I do consider whether I want Google as a company have the information that I am involved in that particular application, or informatio"&amp;"n which I may enter into said application.")</f>
        <v>In this particular case, not a whole lot given there is no sensitive information involved. However, with other services, I do consider whether I want Google as a company have the information that I am involved in that particular application, or information which I may enter into said application.</v>
      </c>
      <c r="C40" s="3" t="s">
        <v>1608</v>
      </c>
      <c r="D40" s="20" t="s">
        <v>1605</v>
      </c>
      <c r="E40" s="3" t="s">
        <v>1606</v>
      </c>
      <c r="F40" s="28" t="s">
        <v>1624</v>
      </c>
      <c r="G40" s="3" t="s">
        <v>1625</v>
      </c>
      <c r="H40" s="12"/>
      <c r="I40" s="12"/>
      <c r="J40" s="12"/>
    </row>
    <row r="41">
      <c r="A41">
        <f>IFERROR(__xludf.DUMMYFUNCTION("""COMPUTED_VALUE"""),64.0)</f>
        <v>64</v>
      </c>
      <c r="B41" s="12" t="str">
        <f>IFERROR(__xludf.DUMMYFUNCTION("""COMPUTED_VALUE"""),"If it was a legitimate website")</f>
        <v>If it was a legitimate website</v>
      </c>
      <c r="C41" s="43" t="s">
        <v>1602</v>
      </c>
      <c r="D41" s="3" t="s">
        <v>1603</v>
      </c>
      <c r="E41" s="12"/>
      <c r="F41" s="12"/>
      <c r="G41" s="12"/>
      <c r="H41" s="12"/>
      <c r="I41" s="12"/>
      <c r="J41" s="12"/>
    </row>
    <row r="42">
      <c r="A42">
        <f>IFERROR(__xludf.DUMMYFUNCTION("""COMPUTED_VALUE"""),66.0)</f>
        <v>66</v>
      </c>
      <c r="B42" s="12" t="str">
        <f>IFERROR(__xludf.DUMMYFUNCTION("""COMPUTED_VALUE"""),"How convenient it would be")</f>
        <v>How convenient it would be</v>
      </c>
      <c r="C42" s="43" t="s">
        <v>1598</v>
      </c>
      <c r="D42" s="12"/>
      <c r="E42" s="12"/>
      <c r="F42" s="12"/>
      <c r="G42" s="12"/>
      <c r="H42" s="12"/>
      <c r="I42" s="12"/>
      <c r="J42" s="12"/>
    </row>
    <row r="43">
      <c r="A43">
        <f>IFERROR(__xludf.DUMMYFUNCTION("""COMPUTED_VALUE"""),67.0)</f>
        <v>67</v>
      </c>
      <c r="B43" s="12" t="str">
        <f>IFERROR(__xludf.DUMMYFUNCTION("""COMPUTED_VALUE"""),"I considered that it would be easier to sign in now that I didn't have to remember a username and password.")</f>
        <v>I considered that it would be easier to sign in now that I didn't have to remember a username and password.</v>
      </c>
      <c r="C43" s="3" t="s">
        <v>1598</v>
      </c>
      <c r="D43" s="3" t="s">
        <v>1609</v>
      </c>
      <c r="E43" s="3" t="s">
        <v>1614</v>
      </c>
      <c r="F43" s="3"/>
      <c r="G43" s="3"/>
      <c r="H43" s="3"/>
      <c r="I43" s="12"/>
      <c r="J43" s="12"/>
    </row>
    <row r="44">
      <c r="A44">
        <f>IFERROR(__xludf.DUMMYFUNCTION("""COMPUTED_VALUE"""),69.0)</f>
        <v>69</v>
      </c>
      <c r="B44" s="12" t="str">
        <f>IFERROR(__xludf.DUMMYFUNCTION("""COMPUTED_VALUE"""),"Whether or not it was safe")</f>
        <v>Whether or not it was safe</v>
      </c>
      <c r="C44" s="3" t="s">
        <v>65</v>
      </c>
      <c r="D44" s="43"/>
      <c r="E44" s="3"/>
      <c r="F44" s="28"/>
      <c r="G44" s="12"/>
      <c r="H44" s="12"/>
      <c r="I44" s="12"/>
      <c r="J44" s="12"/>
    </row>
    <row r="45">
      <c r="A45">
        <f>IFERROR(__xludf.DUMMYFUNCTION("""COMPUTED_VALUE"""),70.0)</f>
        <v>70</v>
      </c>
      <c r="B45" s="12"/>
      <c r="C45" s="3"/>
      <c r="D45" s="28"/>
      <c r="E45" s="12"/>
      <c r="F45" s="12"/>
      <c r="G45" s="12"/>
      <c r="H45" s="12"/>
      <c r="I45" s="12"/>
      <c r="J45" s="12"/>
    </row>
    <row r="46">
      <c r="A46">
        <f>IFERROR(__xludf.DUMMYFUNCTION("""COMPUTED_VALUE"""),72.0)</f>
        <v>72</v>
      </c>
      <c r="B46" s="12" t="str">
        <f>IFERROR(__xludf.DUMMYFUNCTION("""COMPUTED_VALUE"""),"What permissions does this app require, what control will it have over my data, and will it look bad having this app connected to my account?")</f>
        <v>What permissions does this app require, what control will it have over my data, and will it look bad having this app connected to my account?</v>
      </c>
      <c r="C46" s="43" t="s">
        <v>1605</v>
      </c>
      <c r="D46" s="3" t="s">
        <v>1606</v>
      </c>
      <c r="E46" s="3"/>
      <c r="F46" s="12"/>
      <c r="G46" s="12"/>
      <c r="H46" s="12"/>
      <c r="I46" s="12"/>
      <c r="J46" s="12"/>
    </row>
    <row r="47">
      <c r="A47">
        <f>IFERROR(__xludf.DUMMYFUNCTION("""COMPUTED_VALUE"""),73.0)</f>
        <v>73</v>
      </c>
      <c r="B47" s="12" t="str">
        <f>IFERROR(__xludf.DUMMYFUNCTION("""COMPUTED_VALUE"""),"Username and password.")</f>
        <v>Username and password.</v>
      </c>
      <c r="C47" s="3" t="s">
        <v>1614</v>
      </c>
      <c r="D47" s="3"/>
      <c r="E47" s="3"/>
      <c r="F47" s="12"/>
      <c r="G47" s="12"/>
      <c r="H47" s="12"/>
      <c r="I47" s="12"/>
      <c r="J47" s="12"/>
    </row>
    <row r="48">
      <c r="A48">
        <f>IFERROR(__xludf.DUMMYFUNCTION("""COMPUTED_VALUE"""),74.0)</f>
        <v>74</v>
      </c>
      <c r="B48" s="12" t="str">
        <f>IFERROR(__xludf.DUMMYFUNCTION("""COMPUTED_VALUE"""),"what data they would take")</f>
        <v>what data they would take</v>
      </c>
      <c r="C48" s="20" t="s">
        <v>1605</v>
      </c>
      <c r="D48" s="3" t="s">
        <v>1606</v>
      </c>
      <c r="E48" s="12"/>
      <c r="F48" s="12"/>
      <c r="G48" s="12"/>
      <c r="H48" s="12"/>
      <c r="I48" s="12"/>
      <c r="J48" s="12"/>
    </row>
    <row r="49">
      <c r="A49">
        <f>IFERROR(__xludf.DUMMYFUNCTION("""COMPUTED_VALUE"""),75.0)</f>
        <v>75</v>
      </c>
      <c r="B49" s="12" t="str">
        <f>IFERROR(__xludf.DUMMYFUNCTION("""COMPUTED_VALUE"""),"Whether or not I wanted them to have access to my google account details")</f>
        <v>Whether or not I wanted them to have access to my google account details</v>
      </c>
      <c r="C49" s="3" t="s">
        <v>1602</v>
      </c>
      <c r="D49" s="3"/>
      <c r="E49" s="12"/>
      <c r="F49" s="12"/>
      <c r="G49" s="12"/>
      <c r="H49" s="12"/>
      <c r="I49" s="12"/>
      <c r="J49" s="12"/>
    </row>
    <row r="50">
      <c r="A50">
        <f>IFERROR(__xludf.DUMMYFUNCTION("""COMPUTED_VALUE"""),78.0)</f>
        <v>78</v>
      </c>
      <c r="B50" s="12" t="str">
        <f>IFERROR(__xludf.DUMMYFUNCTION("""COMPUTED_VALUE"""),"Privacy reasons, whether I wanted others to see my email")</f>
        <v>Privacy reasons, whether I wanted others to see my email</v>
      </c>
      <c r="C50" s="3" t="s">
        <v>384</v>
      </c>
      <c r="D50" s="3" t="s">
        <v>1605</v>
      </c>
      <c r="E50" s="3" t="s">
        <v>1622</v>
      </c>
      <c r="F50" s="12"/>
      <c r="G50" s="12"/>
      <c r="H50" s="12"/>
      <c r="I50" s="12"/>
      <c r="J50" s="12"/>
    </row>
    <row r="51">
      <c r="A51">
        <f>IFERROR(__xludf.DUMMYFUNCTION("""COMPUTED_VALUE"""),80.0)</f>
        <v>80</v>
      </c>
      <c r="B51" s="12" t="str">
        <f>IFERROR(__xludf.DUMMYFUNCTION("""COMPUTED_VALUE"""),"nothing")</f>
        <v>nothing</v>
      </c>
      <c r="C51" s="20" t="s">
        <v>1608</v>
      </c>
      <c r="D51" s="3"/>
      <c r="E51" s="3"/>
      <c r="F51" s="12"/>
      <c r="G51" s="12"/>
      <c r="H51" s="12"/>
      <c r="I51" s="12"/>
      <c r="J51" s="12"/>
    </row>
    <row r="52">
      <c r="A52">
        <f>IFERROR(__xludf.DUMMYFUNCTION("""COMPUTED_VALUE"""),81.0)</f>
        <v>81</v>
      </c>
      <c r="B52" s="12" t="str">
        <f>IFERROR(__xludf.DUMMYFUNCTION("""COMPUTED_VALUE"""),"I considered the implications of whether the site would get my data. However, I have done so before, so I felt safe signing in this way again.")</f>
        <v>I considered the implications of whether the site would get my data. However, I have done so before, so I felt safe signing in this way again.</v>
      </c>
      <c r="C52" s="3" t="s">
        <v>1608</v>
      </c>
      <c r="D52" s="3" t="s">
        <v>1605</v>
      </c>
      <c r="E52" s="3" t="s">
        <v>1622</v>
      </c>
      <c r="F52" s="12"/>
      <c r="G52" s="12"/>
      <c r="H52" s="12"/>
      <c r="I52" s="12"/>
      <c r="J52" s="12"/>
    </row>
    <row r="53">
      <c r="A53">
        <f>IFERROR(__xludf.DUMMYFUNCTION("""COMPUTED_VALUE"""),84.0)</f>
        <v>84</v>
      </c>
      <c r="B53" s="12" t="str">
        <f>IFERROR(__xludf.DUMMYFUNCTION("""COMPUTED_VALUE"""),"whether I wanted to create a new account or just use my google or facebook")</f>
        <v>whether I wanted to create a new account or just use my google or facebook</v>
      </c>
      <c r="C53" s="3" t="s">
        <v>1613</v>
      </c>
      <c r="D53" s="3" t="s">
        <v>1620</v>
      </c>
      <c r="E53" s="3" t="s">
        <v>1621</v>
      </c>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t="str">
        <f>IFERROR(__xludf.DUMMYFUNCTION("""COMPUTED_VALUE"""),"I was hoping that they would not spam my email with promotional emails.")</f>
        <v>I was hoping that they would not spam my email with promotional emails.</v>
      </c>
      <c r="C55" s="20" t="s">
        <v>1624</v>
      </c>
      <c r="D55" s="3" t="s">
        <v>1626</v>
      </c>
      <c r="E55" s="12"/>
      <c r="F55" s="12"/>
      <c r="G55" s="12"/>
      <c r="H55" s="12"/>
      <c r="I55" s="12"/>
      <c r="J55" s="12"/>
    </row>
    <row r="56">
      <c r="A56">
        <f>IFERROR(__xludf.DUMMYFUNCTION("""COMPUTED_VALUE"""),88.0)</f>
        <v>88</v>
      </c>
      <c r="B56" s="12" t="str">
        <f>IFERROR(__xludf.DUMMYFUNCTION("""COMPUTED_VALUE"""),"I considered whether or not I wanted my Google Account (specifically my gmail) to be associated with that website, and also whether or not I felt it was necessary to have a more secure (individualized) password for that specific website (in this case, the"&amp;" answer was no, and hence I used my Google Account).")</f>
        <v>I considered whether or not I wanted my Google Account (specifically my gmail) to be associated with that website, and also whether or not I felt it was necessary to have a more secure (individualized) password for that specific website (in this case, the answer was no, and hence I used my Google Account).</v>
      </c>
      <c r="C56" s="3" t="s">
        <v>1627</v>
      </c>
      <c r="D56" s="43" t="s">
        <v>65</v>
      </c>
      <c r="E56" s="3" t="s">
        <v>1610</v>
      </c>
      <c r="F56" s="3" t="s">
        <v>1628</v>
      </c>
      <c r="G56" s="3" t="s">
        <v>1605</v>
      </c>
      <c r="H56" s="3" t="s">
        <v>1623</v>
      </c>
      <c r="I56" s="12"/>
      <c r="J56" s="12"/>
    </row>
    <row r="57">
      <c r="A57">
        <f>IFERROR(__xludf.DUMMYFUNCTION("""COMPUTED_VALUE"""),89.0)</f>
        <v>89</v>
      </c>
      <c r="B57" s="12"/>
      <c r="C57" s="3"/>
      <c r="D57" s="3"/>
      <c r="E57" s="3"/>
      <c r="F57" s="12"/>
      <c r="G57" s="12"/>
      <c r="H57" s="12"/>
      <c r="I57" s="12"/>
      <c r="J57" s="12"/>
    </row>
    <row r="58">
      <c r="A58">
        <f>IFERROR(__xludf.DUMMYFUNCTION("""COMPUTED_VALUE"""),90.0)</f>
        <v>90</v>
      </c>
      <c r="B58" s="12" t="str">
        <f>IFERROR(__xludf.DUMMYFUNCTION("""COMPUTED_VALUE"""),"I consider how much I expect to use the app, site, or service. I also consider where I plan to use it. The more that I expect to use something, the more likely I am to create a dedicated account for it. If I expect to use something less frequently, or onl"&amp;"y temporarily, or only on my phone, then I am more likely to just use my Google account to make things faster and easier.")</f>
        <v>I consider how much I expect to use the app, site, or service. I also consider where I plan to use it. The more that I expect to use something, the more likely I am to create a dedicated account for it. If I expect to use something less frequently, or only temporarily, or only on my phone, then I am more likely to just use my Google account to make things faster and easier.</v>
      </c>
      <c r="C58" s="3" t="s">
        <v>1610</v>
      </c>
      <c r="D58" s="3" t="s">
        <v>1629</v>
      </c>
      <c r="E58" s="3" t="s">
        <v>1598</v>
      </c>
      <c r="F58" s="12"/>
      <c r="G58" s="12"/>
      <c r="H58" s="12"/>
      <c r="I58" s="12"/>
      <c r="J58" s="12"/>
    </row>
    <row r="59">
      <c r="A59">
        <f>IFERROR(__xludf.DUMMYFUNCTION("""COMPUTED_VALUE"""),93.0)</f>
        <v>93</v>
      </c>
      <c r="B59" s="12" t="str">
        <f>IFERROR(__xludf.DUMMYFUNCTION("""COMPUTED_VALUE"""),"If it would be a lot easier for me to access it by using a Google Account.")</f>
        <v>If it would be a lot easier for me to access it by using a Google Account.</v>
      </c>
      <c r="C59" s="3" t="s">
        <v>1598</v>
      </c>
      <c r="D59" s="43"/>
      <c r="E59" s="3"/>
      <c r="F59" s="3"/>
      <c r="G59" s="12"/>
      <c r="H59" s="12"/>
      <c r="I59" s="12"/>
      <c r="J59" s="12"/>
    </row>
    <row r="60">
      <c r="A60">
        <f>IFERROR(__xludf.DUMMYFUNCTION("""COMPUTED_VALUE"""),95.0)</f>
        <v>95</v>
      </c>
      <c r="B60" s="12" t="str">
        <f>IFERROR(__xludf.DUMMYFUNCTION("""COMPUTED_VALUE"""),"I, really, mainly considered the convenience for me.
 Of course there were some considerations made towards whether this prospective service I'd sign-on to was reputable.
 (As reputable as a layperson, such as myself, can ensure anyway.)")</f>
        <v>I, really, mainly considered the convenience for me.
 Of course there were some considerations made towards whether this prospective service I'd sign-on to was reputable.
 (As reputable as a layperson, such as myself, can ensure anyway.)</v>
      </c>
      <c r="C60" s="3" t="s">
        <v>1598</v>
      </c>
      <c r="D60" s="43" t="s">
        <v>1602</v>
      </c>
      <c r="E60" s="3"/>
      <c r="F60" s="28"/>
      <c r="G60" s="3"/>
      <c r="H60" s="12"/>
      <c r="I60" s="12"/>
      <c r="J60" s="12"/>
    </row>
    <row r="61">
      <c r="A61">
        <f>IFERROR(__xludf.DUMMYFUNCTION("""COMPUTED_VALUE"""),97.0)</f>
        <v>97</v>
      </c>
      <c r="B61" s="12" t="str">
        <f>IFERROR(__xludf.DUMMYFUNCTION("""COMPUTED_VALUE"""),"I considered whether I even wanted to sign in or needed to. I don't use my gmail account as my primary email so there's less to think about when I use it. It's usually a debate about whether I want to link google to whatever I'm looking at or make a separ"&amp;"ate account.")</f>
        <v>I considered whether I even wanted to sign in or needed to. I don't use my gmail account as my primary email so there's less to think about when I use it. It's usually a debate about whether I want to link google to whatever I'm looking at or make a separate account.</v>
      </c>
      <c r="C61" s="42" t="s">
        <v>1627</v>
      </c>
      <c r="D61" s="3" t="s">
        <v>1608</v>
      </c>
      <c r="E61" s="3" t="s">
        <v>1630</v>
      </c>
      <c r="F61" s="12"/>
      <c r="G61" s="12"/>
      <c r="H61" s="12"/>
      <c r="I61" s="12"/>
      <c r="J61" s="12"/>
    </row>
    <row r="62">
      <c r="A62">
        <f>IFERROR(__xludf.DUMMYFUNCTION("""COMPUTED_VALUE"""),98.0)</f>
        <v>98</v>
      </c>
      <c r="B62" s="12" t="str">
        <f>IFERROR(__xludf.DUMMYFUNCTION("""COMPUTED_VALUE"""),"I did not give it much thought (I did not feel in any way threatened or in danger of having my account compromised)")</f>
        <v>I did not give it much thought (I did not feel in any way threatened or in danger of having my account compromised)</v>
      </c>
      <c r="C62" s="28" t="s">
        <v>1608</v>
      </c>
      <c r="D62" s="3"/>
      <c r="E62" s="12"/>
      <c r="F62" s="12"/>
      <c r="G62" s="12"/>
      <c r="H62" s="12"/>
      <c r="I62" s="12"/>
      <c r="J62" s="12"/>
    </row>
    <row r="63">
      <c r="A63">
        <f>IFERROR(__xludf.DUMMYFUNCTION("""COMPUTED_VALUE"""),99.0)</f>
        <v>99</v>
      </c>
      <c r="B63" s="12" t="str">
        <f>IFERROR(__xludf.DUMMYFUNCTION("""COMPUTED_VALUE"""),"Nothing")</f>
        <v>Nothing</v>
      </c>
      <c r="C63" s="3" t="s">
        <v>1608</v>
      </c>
      <c r="D63" s="3"/>
      <c r="E63" s="12"/>
      <c r="F63" s="3"/>
      <c r="G63" s="3"/>
      <c r="H63" s="12"/>
      <c r="I63" s="12"/>
      <c r="J63" s="12"/>
    </row>
    <row r="64">
      <c r="A64">
        <f>IFERROR(__xludf.DUMMYFUNCTION("""COMPUTED_VALUE"""),100.0)</f>
        <v>100</v>
      </c>
      <c r="B64" s="12"/>
      <c r="C64" s="3"/>
      <c r="D64" s="43"/>
      <c r="E64" s="12"/>
      <c r="F64" s="12"/>
      <c r="G64" s="12"/>
      <c r="H64" s="12"/>
      <c r="I64" s="12"/>
      <c r="J64" s="12"/>
    </row>
    <row r="65">
      <c r="A65">
        <f>IFERROR(__xludf.DUMMYFUNCTION("""COMPUTED_VALUE"""),101.0)</f>
        <v>101</v>
      </c>
      <c r="B65" s="12" t="str">
        <f>IFERROR(__xludf.DUMMYFUNCTION("""COMPUTED_VALUE"""),"I wanted to make a user name and password, but they only gave the ""sign in with Google"" to create an account.")</f>
        <v>I wanted to make a user name and password, but they only gave the "sign in with Google" to create an account.</v>
      </c>
      <c r="C65" s="3" t="s">
        <v>1620</v>
      </c>
      <c r="D65" s="3"/>
      <c r="E65" s="3"/>
      <c r="F65" s="3"/>
      <c r="G65" s="26"/>
      <c r="H65" s="12"/>
      <c r="I65" s="12"/>
      <c r="J65" s="12"/>
    </row>
    <row r="66">
      <c r="A66">
        <f>IFERROR(__xludf.DUMMYFUNCTION("""COMPUTED_VALUE"""),103.0)</f>
        <v>103</v>
      </c>
      <c r="B66" s="12" t="str">
        <f>IFERROR(__xludf.DUMMYFUNCTION("""COMPUTED_VALUE"""),"I asked myself should I sign in via Gmail and did so because it was quicker.")</f>
        <v>I asked myself should I sign in via Gmail and did so because it was quicker.</v>
      </c>
      <c r="C66" s="3" t="s">
        <v>1598</v>
      </c>
      <c r="D66" s="3"/>
      <c r="E66" s="3"/>
      <c r="F66" s="3"/>
      <c r="G66" s="43"/>
      <c r="H66" s="12"/>
      <c r="I66" s="12"/>
      <c r="J66" s="12"/>
    </row>
    <row r="67">
      <c r="A67">
        <f>IFERROR(__xludf.DUMMYFUNCTION("""COMPUTED_VALUE"""),104.0)</f>
        <v>104</v>
      </c>
      <c r="B67" s="12" t="str">
        <f>IFERROR(__xludf.DUMMYFUNCTION("""COMPUTED_VALUE"""),"I consider if the website is trustworthy and if I can trust signing in using my gmail account in their website.")</f>
        <v>I consider if the website is trustworthy and if I can trust signing in using my gmail account in their website.</v>
      </c>
      <c r="C67" s="3" t="s">
        <v>1602</v>
      </c>
      <c r="D67" s="3" t="s">
        <v>1603</v>
      </c>
      <c r="E67" s="42"/>
      <c r="F67" s="26"/>
      <c r="G67" s="3"/>
      <c r="H67" s="3"/>
      <c r="J67" s="12"/>
    </row>
    <row r="68">
      <c r="A68">
        <f>IFERROR(__xludf.DUMMYFUNCTION("""COMPUTED_VALUE"""),105.0)</f>
        <v>105</v>
      </c>
      <c r="B68" s="12" t="str">
        <f>IFERROR(__xludf.DUMMYFUNCTION("""COMPUTED_VALUE"""),"Will my information be safe?")</f>
        <v>Will my information be safe?</v>
      </c>
      <c r="C68" s="28" t="s">
        <v>65</v>
      </c>
      <c r="D68" s="3"/>
      <c r="E68" s="12"/>
      <c r="F68" s="12"/>
      <c r="G68" s="12"/>
      <c r="J68" s="12"/>
    </row>
    <row r="69">
      <c r="A69">
        <f>IFERROR(__xludf.DUMMYFUNCTION("""COMPUTED_VALUE"""),107.0)</f>
        <v>107</v>
      </c>
      <c r="B69" s="12" t="str">
        <f>IFERROR(__xludf.DUMMYFUNCTION("""COMPUTED_VALUE"""),"My privacy")</f>
        <v>My privacy</v>
      </c>
      <c r="C69" s="3" t="s">
        <v>384</v>
      </c>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t="str">
        <f>IFERROR(__xludf.DUMMYFUNCTION("""COMPUTED_VALUE"""),"I considered using a separate user name and password.")</f>
        <v>I considered using a separate user name and password.</v>
      </c>
      <c r="C71" s="3" t="s">
        <v>1620</v>
      </c>
      <c r="D71" s="3"/>
      <c r="E71" s="3"/>
      <c r="F71" s="3"/>
      <c r="G71" s="3"/>
      <c r="H71" s="3"/>
      <c r="I71" s="3"/>
      <c r="J71" s="12"/>
    </row>
    <row r="72">
      <c r="A72">
        <f>IFERROR(__xludf.DUMMYFUNCTION("""COMPUTED_VALUE"""),111.0)</f>
        <v>111</v>
      </c>
      <c r="B72" s="12" t="str">
        <f>IFERROR(__xludf.DUMMYFUNCTION("""COMPUTED_VALUE"""),"Whether it would be better to make a new account on the third party or just use the all encompassing google account.")</f>
        <v>Whether it would be better to make a new account on the third party or just use the all encompassing google account.</v>
      </c>
      <c r="C72" s="3" t="s">
        <v>1620</v>
      </c>
      <c r="D72" s="3"/>
      <c r="E72" s="3"/>
      <c r="F72" s="12"/>
      <c r="G72" s="12"/>
      <c r="H72" s="12"/>
      <c r="I72" s="12"/>
      <c r="J72" s="12"/>
    </row>
    <row r="73">
      <c r="A73">
        <f>IFERROR(__xludf.DUMMYFUNCTION("""COMPUTED_VALUE"""),112.0)</f>
        <v>112</v>
      </c>
      <c r="B73" s="12"/>
      <c r="C73" s="3"/>
      <c r="D73" s="43"/>
      <c r="E73" s="3"/>
      <c r="F73" s="3"/>
      <c r="G73" s="3"/>
      <c r="H73" s="3"/>
      <c r="I73" s="12"/>
      <c r="J73" s="12"/>
    </row>
    <row r="74">
      <c r="A74">
        <f>IFERROR(__xludf.DUMMYFUNCTION("""COMPUTED_VALUE"""),113.0)</f>
        <v>113</v>
      </c>
      <c r="B74" s="12" t="str">
        <f>IFERROR(__xludf.DUMMYFUNCTION("""COMPUTED_VALUE"""),"The information that would be shared with the app/service, the level of access and permissions, as well as whether or not there was a way to participate without having to sign in with Google.")</f>
        <v>The information that would be shared with the app/service, the level of access and permissions, as well as whether or not there was a way to participate without having to sign in with Google.</v>
      </c>
      <c r="C74" s="3" t="s">
        <v>1605</v>
      </c>
      <c r="D74" s="3" t="s">
        <v>1622</v>
      </c>
      <c r="E74" s="28" t="s">
        <v>1620</v>
      </c>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IFERROR(__xludf.DUMMYFUNCTION("""COMPUTED_VALUE"""),"Whether or not I would use the service for long term than I would use my google account.")</f>
        <v>Whether or not I would use the service for long term than I would use my google account.</v>
      </c>
      <c r="C76" s="28" t="s">
        <v>1610</v>
      </c>
      <c r="D76" s="3" t="s">
        <v>1631</v>
      </c>
      <c r="E76" s="3"/>
      <c r="F76" s="12"/>
      <c r="G76" s="12"/>
      <c r="H76" s="12"/>
      <c r="I76" s="12"/>
      <c r="J76" s="12"/>
    </row>
    <row r="77">
      <c r="A77">
        <f>IFERROR(__xludf.DUMMYFUNCTION("""COMPUTED_VALUE"""),117.0)</f>
        <v>117</v>
      </c>
      <c r="B77" s="12" t="str">
        <f>IFERROR(__xludf.DUMMYFUNCTION("""COMPUTED_VALUE"""),"Is this application reputable enough to have invested in data security.")</f>
        <v>Is this application reputable enough to have invested in data security.</v>
      </c>
      <c r="C77" s="28" t="s">
        <v>1602</v>
      </c>
      <c r="D77" s="3" t="s">
        <v>1603</v>
      </c>
      <c r="E77" s="3"/>
      <c r="F77" s="12"/>
      <c r="G77" s="12"/>
      <c r="H77" s="12"/>
      <c r="I77" s="12"/>
      <c r="J77" s="12"/>
    </row>
    <row r="78">
      <c r="A78">
        <f>IFERROR(__xludf.DUMMYFUNCTION("""COMPUTED_VALUE"""),122.0)</f>
        <v>122</v>
      </c>
      <c r="B78" s="12" t="str">
        <f>IFERROR(__xludf.DUMMYFUNCTION("""COMPUTED_VALUE"""),"I wondered if I should just use a normal email or apple ID instead of my google acocunt.")</f>
        <v>I wondered if I should just use a normal email or apple ID instead of my google acocunt.</v>
      </c>
      <c r="C78" s="28" t="s">
        <v>1620</v>
      </c>
      <c r="D78" s="3" t="s">
        <v>1632</v>
      </c>
      <c r="E78" s="12"/>
      <c r="F78" s="12"/>
      <c r="G78" s="12"/>
      <c r="H78" s="12"/>
      <c r="I78" s="12"/>
      <c r="J78" s="12"/>
    </row>
    <row r="79">
      <c r="A79">
        <f>IFERROR(__xludf.DUMMYFUNCTION("""COMPUTED_VALUE"""),123.0)</f>
        <v>123</v>
      </c>
      <c r="B79" s="12" t="str">
        <f>IFERROR(__xludf.DUMMYFUNCTION("""COMPUTED_VALUE"""),"I was worried about security of my Google Account.")</f>
        <v>I was worried about security of my Google Account.</v>
      </c>
      <c r="C79" s="3" t="s">
        <v>65</v>
      </c>
      <c r="D79" s="3"/>
      <c r="E79" s="28"/>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t="str">
        <f>IFERROR(__xludf.DUMMYFUNCTION("""COMPUTED_VALUE"""),"If it was safe to do so, that my Google account wouldn't be harmed")</f>
        <v>If it was safe to do so, that my Google account wouldn't be harmed</v>
      </c>
      <c r="C81" s="35" t="s">
        <v>65</v>
      </c>
      <c r="D81" s="3"/>
      <c r="E81" s="3"/>
      <c r="F81" s="3"/>
      <c r="G81" s="12"/>
      <c r="H81" s="12"/>
      <c r="I81" s="12"/>
      <c r="J81" s="12"/>
    </row>
    <row r="82">
      <c r="A82">
        <f>IFERROR(__xludf.DUMMYFUNCTION("""COMPUTED_VALUE"""),126.0)</f>
        <v>126</v>
      </c>
      <c r="B82" s="12" t="str">
        <f>IFERROR(__xludf.DUMMYFUNCTION("""COMPUTED_VALUE"""),"N/A")</f>
        <v>N/A</v>
      </c>
      <c r="C82" s="35" t="s">
        <v>1608</v>
      </c>
      <c r="D82" s="3"/>
      <c r="E82" s="3"/>
      <c r="F82" s="3"/>
      <c r="G82" s="12"/>
      <c r="H82" s="12"/>
      <c r="I82" s="12"/>
      <c r="J82" s="12"/>
    </row>
    <row r="83">
      <c r="A83">
        <f>IFERROR(__xludf.DUMMYFUNCTION("""COMPUTED_VALUE"""),127.0)</f>
        <v>127</v>
      </c>
      <c r="B83" s="12" t="str">
        <f>IFERROR(__xludf.DUMMYFUNCTION("""COMPUTED_VALUE"""),"I considered what information the service or app would be getting from me.")</f>
        <v>I considered what information the service or app would be getting from me.</v>
      </c>
      <c r="C83" s="28" t="s">
        <v>1605</v>
      </c>
      <c r="D83" s="3" t="s">
        <v>1622</v>
      </c>
      <c r="E83" s="3"/>
      <c r="F83" s="3"/>
      <c r="G83" s="12"/>
      <c r="H83" s="12"/>
      <c r="I83" s="12"/>
      <c r="J83" s="12"/>
    </row>
    <row r="84">
      <c r="A84">
        <f>IFERROR(__xludf.DUMMYFUNCTION("""COMPUTED_VALUE"""),128.0)</f>
        <v>128</v>
      </c>
      <c r="B84" s="12" t="str">
        <f>IFERROR(__xludf.DUMMYFUNCTION("""COMPUTED_VALUE"""),"if I remembered my password...")</f>
        <v>if I remembered my password...</v>
      </c>
      <c r="C84" s="35" t="s">
        <v>1614</v>
      </c>
      <c r="D84" s="43"/>
      <c r="E84" s="3"/>
      <c r="F84" s="3"/>
      <c r="G84" s="3"/>
      <c r="H84" s="12"/>
      <c r="I84" s="12"/>
      <c r="J84" s="12"/>
    </row>
    <row r="85">
      <c r="A85">
        <f>IFERROR(__xludf.DUMMYFUNCTION("""COMPUTED_VALUE"""),129.0)</f>
        <v>129</v>
      </c>
      <c r="B85" s="12" t="str">
        <f>IFERROR(__xludf.DUMMYFUNCTION("""COMPUTED_VALUE"""),"I considered how easy it would be for me rather than inputting my details all over.")</f>
        <v>I considered how easy it would be for me rather than inputting my details all over.</v>
      </c>
      <c r="C85" s="3" t="s">
        <v>1598</v>
      </c>
      <c r="D85" s="3"/>
      <c r="E85" s="28"/>
      <c r="F85" s="12"/>
      <c r="G85" s="12"/>
      <c r="H85" s="12"/>
      <c r="I85" s="12"/>
      <c r="J85" s="12"/>
    </row>
    <row r="86">
      <c r="A86">
        <f>IFERROR(__xludf.DUMMYFUNCTION("""COMPUTED_VALUE"""),130.0)</f>
        <v>130</v>
      </c>
      <c r="B86" s="12" t="str">
        <f>IFERROR(__xludf.DUMMYFUNCTION("""COMPUTED_VALUE"""),"I considered whether or not I trusted the company that the app is being represented by, whether or not trusting that app with my data was a safe choice.")</f>
        <v>I considered whether or not I trusted the company that the app is being represented by, whether or not trusting that app with my data was a safe choice.</v>
      </c>
      <c r="C86" s="3" t="s">
        <v>1602</v>
      </c>
      <c r="D86" s="3" t="s">
        <v>1615</v>
      </c>
      <c r="E86" s="3" t="s">
        <v>65</v>
      </c>
      <c r="F86" s="3"/>
      <c r="G86" s="3"/>
      <c r="H86" s="12"/>
      <c r="I86" s="12"/>
      <c r="J86" s="12"/>
    </row>
    <row r="87">
      <c r="A87">
        <f>IFERROR(__xludf.DUMMYFUNCTION("""COMPUTED_VALUE"""),132.0)</f>
        <v>132</v>
      </c>
      <c r="B87" s="12"/>
      <c r="C87" s="28"/>
      <c r="D87" s="12"/>
      <c r="E87" s="12"/>
      <c r="F87" s="12"/>
      <c r="G87" s="12"/>
      <c r="H87" s="12"/>
      <c r="I87" s="12"/>
      <c r="J87" s="12"/>
    </row>
    <row r="88">
      <c r="A88">
        <f>IFERROR(__xludf.DUMMYFUNCTION("""COMPUTED_VALUE"""),135.0)</f>
        <v>135</v>
      </c>
      <c r="B88" s="12" t="str">
        <f>IFERROR(__xludf.DUMMYFUNCTION("""COMPUTED_VALUE"""),"infinix hot 8")</f>
        <v>infinix hot 8</v>
      </c>
      <c r="C88" s="3"/>
      <c r="D88" s="3"/>
      <c r="E88" s="12"/>
      <c r="F88" s="12"/>
      <c r="G88" s="12"/>
      <c r="H88" s="12"/>
      <c r="I88" s="12"/>
      <c r="J88" s="12"/>
    </row>
    <row r="89">
      <c r="A89">
        <f>IFERROR(__xludf.DUMMYFUNCTION("""COMPUTED_VALUE"""),137.0)</f>
        <v>137</v>
      </c>
      <c r="B89" s="12" t="str">
        <f>IFERROR(__xludf.DUMMYFUNCTION("""COMPUTED_VALUE"""),"if that service has access to information associated with my Google Account")</f>
        <v>if that service has access to information associated with my Google Account</v>
      </c>
      <c r="C89" s="28" t="s">
        <v>1605</v>
      </c>
      <c r="D89" s="3" t="s">
        <v>1622</v>
      </c>
      <c r="E89" s="3"/>
      <c r="F89" s="3"/>
      <c r="G89" s="12"/>
      <c r="H89" s="12"/>
      <c r="I89" s="12"/>
      <c r="J89" s="12"/>
    </row>
    <row r="90">
      <c r="A90">
        <f>IFERROR(__xludf.DUMMYFUNCTION("""COMPUTED_VALUE"""),138.0)</f>
        <v>138</v>
      </c>
      <c r="B90" s="12" t="str">
        <f>IFERROR(__xludf.DUMMYFUNCTION("""COMPUTED_VALUE"""),"I considered what that app would have access to if I signed in through there.")</f>
        <v>I considered what that app would have access to if I signed in through there.</v>
      </c>
      <c r="C90" s="28" t="s">
        <v>1605</v>
      </c>
      <c r="D90" s="3" t="s">
        <v>1622</v>
      </c>
      <c r="E90" s="12"/>
      <c r="F90" s="12"/>
      <c r="G90" s="12"/>
      <c r="H90" s="12"/>
      <c r="I90" s="12"/>
      <c r="J90" s="12"/>
    </row>
    <row r="91">
      <c r="A91">
        <f>IFERROR(__xludf.DUMMYFUNCTION("""COMPUTED_VALUE"""),140.0)</f>
        <v>140</v>
      </c>
      <c r="B91" s="12" t="str">
        <f>IFERROR(__xludf.DUMMYFUNCTION("""COMPUTED_VALUE"""),"Whether my information would be shared between the two.")</f>
        <v>Whether my information would be shared between the two.</v>
      </c>
      <c r="C91" s="3" t="s">
        <v>1605</v>
      </c>
      <c r="D91" s="3" t="s">
        <v>1622</v>
      </c>
      <c r="E91" s="3"/>
      <c r="F91" s="12"/>
      <c r="G91" s="12"/>
      <c r="H91" s="12"/>
      <c r="I91" s="12"/>
      <c r="J91" s="12"/>
    </row>
    <row r="92">
      <c r="A92">
        <f>IFERROR(__xludf.DUMMYFUNCTION("""COMPUTED_VALUE"""),141.0)</f>
        <v>141</v>
      </c>
      <c r="B92" s="12" t="str">
        <f>IFERROR(__xludf.DUMMYFUNCTION("""COMPUTED_VALUE"""),"I considered using facebook instead of google to sign in.")</f>
        <v>I considered using facebook instead of google to sign in.</v>
      </c>
      <c r="C92" s="3" t="s">
        <v>1620</v>
      </c>
      <c r="D92" s="3" t="s">
        <v>1621</v>
      </c>
      <c r="E92" s="3"/>
      <c r="F92" s="12"/>
      <c r="G92" s="12"/>
      <c r="H92" s="12"/>
      <c r="I92" s="12"/>
      <c r="J92" s="12"/>
    </row>
    <row r="93">
      <c r="A93">
        <f>IFERROR(__xludf.DUMMYFUNCTION("""COMPUTED_VALUE"""),142.0)</f>
        <v>142</v>
      </c>
      <c r="B93" s="12" t="str">
        <f>IFERROR(__xludf.DUMMYFUNCTION("""COMPUTED_VALUE"""),"if it was safe")</f>
        <v>if it was safe</v>
      </c>
      <c r="C93" s="28" t="s">
        <v>65</v>
      </c>
      <c r="D93" s="3"/>
      <c r="E93" s="12"/>
      <c r="F93" s="12"/>
      <c r="G93" s="12"/>
      <c r="H93" s="12"/>
      <c r="I93" s="12"/>
      <c r="J93" s="12"/>
    </row>
    <row r="94">
      <c r="A94">
        <f>IFERROR(__xludf.DUMMYFUNCTION("""COMPUTED_VALUE"""),143.0)</f>
        <v>143</v>
      </c>
      <c r="B94" s="12" t="str">
        <f>IFERROR(__xludf.DUMMYFUNCTION("""COMPUTED_VALUE"""),"Whether it would be faster than creating an account specifically for that platform, and whether it would be a safe site to trust with my information")</f>
        <v>Whether it would be faster than creating an account specifically for that platform, and whether it would be a safe site to trust with my information</v>
      </c>
      <c r="C94" s="3" t="s">
        <v>1598</v>
      </c>
      <c r="D94" s="3" t="s">
        <v>1609</v>
      </c>
      <c r="E94" s="12"/>
      <c r="F94" s="12"/>
      <c r="G94" s="12"/>
      <c r="H94" s="12"/>
      <c r="I94" s="12"/>
      <c r="J94" s="12"/>
    </row>
    <row r="95">
      <c r="A95">
        <f>IFERROR(__xludf.DUMMYFUNCTION("""COMPUTED_VALUE"""),146.0)</f>
        <v>146</v>
      </c>
      <c r="B95" s="12" t="str">
        <f>IFERROR(__xludf.DUMMYFUNCTION("""COMPUTED_VALUE"""),"It was easier and faster than creating a separate account")</f>
        <v>It was easier and faster than creating a separate account</v>
      </c>
      <c r="C95" s="3" t="s">
        <v>1598</v>
      </c>
      <c r="D95" s="3" t="s">
        <v>1609</v>
      </c>
      <c r="E95" s="28"/>
      <c r="F95" s="12"/>
      <c r="G95" s="12"/>
      <c r="H95" s="12"/>
      <c r="I95" s="12"/>
      <c r="J95" s="12"/>
    </row>
    <row r="96">
      <c r="A96">
        <f>IFERROR(__xludf.DUMMYFUNCTION("""COMPUTED_VALUE"""),147.0)</f>
        <v>147</v>
      </c>
      <c r="B96" s="12" t="str">
        <f>IFERROR(__xludf.DUMMYFUNCTION("""COMPUTED_VALUE"""),"How much i trust the app, if its a verified app on google play store, if the developer is famous or of trust.")</f>
        <v>How much i trust the app, if its a verified app on google play store, if the developer is famous or of trust.</v>
      </c>
      <c r="C96" s="28" t="s">
        <v>1602</v>
      </c>
      <c r="D96" s="3" t="s">
        <v>1615</v>
      </c>
      <c r="E96" s="3" t="s">
        <v>1633</v>
      </c>
      <c r="F96" s="12"/>
      <c r="G96" s="12"/>
      <c r="H96" s="12"/>
      <c r="I96" s="12"/>
      <c r="J96" s="12"/>
    </row>
    <row r="97">
      <c r="A97">
        <f>IFERROR(__xludf.DUMMYFUNCTION("""COMPUTED_VALUE"""),148.0)</f>
        <v>148</v>
      </c>
      <c r="B97" s="12" t="str">
        <f>IFERROR(__xludf.DUMMYFUNCTION("""COMPUTED_VALUE"""),"if it would work")</f>
        <v>if it would work</v>
      </c>
      <c r="C97" s="28" t="s">
        <v>1605</v>
      </c>
      <c r="D97" s="3"/>
      <c r="E97" s="12"/>
      <c r="F97" s="12"/>
      <c r="G97" s="12"/>
      <c r="H97" s="12"/>
      <c r="I97" s="12"/>
      <c r="J97" s="12"/>
    </row>
    <row r="98">
      <c r="A98">
        <f>IFERROR(__xludf.DUMMYFUNCTION("""COMPUTED_VALUE"""),149.0)</f>
        <v>149</v>
      </c>
      <c r="B98" s="12" t="str">
        <f>IFERROR(__xludf.DUMMYFUNCTION("""COMPUTED_VALUE"""),"I didn't consider much, I use google sign in pretty regularly.")</f>
        <v>I didn't consider much, I use google sign in pretty regularly.</v>
      </c>
      <c r="C98" s="3" t="s">
        <v>1608</v>
      </c>
      <c r="D98" s="28" t="s">
        <v>1634</v>
      </c>
      <c r="E98" s="28"/>
      <c r="F98" s="3"/>
      <c r="G98" s="12"/>
      <c r="H98" s="12"/>
      <c r="I98" s="12"/>
      <c r="J98" s="12"/>
    </row>
    <row r="99">
      <c r="A99">
        <f>IFERROR(__xludf.DUMMYFUNCTION("""COMPUTED_VALUE"""),150.0)</f>
        <v>150</v>
      </c>
      <c r="B99" s="12" t="str">
        <f>IFERROR(__xludf.DUMMYFUNCTION("""COMPUTED_VALUE"""),"There were benefits of linking the software to my google account as a teacher.")</f>
        <v>There were benefits of linking the software to my google account as a teacher.</v>
      </c>
      <c r="C99" s="3" t="s">
        <v>1610</v>
      </c>
      <c r="D99" s="3"/>
      <c r="E99" s="12"/>
      <c r="F99" s="12"/>
      <c r="G99" s="12"/>
      <c r="H99" s="12"/>
      <c r="I99" s="12"/>
      <c r="J99" s="12"/>
    </row>
    <row r="100">
      <c r="A100">
        <f>IFERROR(__xludf.DUMMYFUNCTION("""COMPUTED_VALUE"""),151.0)</f>
        <v>151</v>
      </c>
      <c r="B100" s="12" t="str">
        <f>IFERROR(__xludf.DUMMYFUNCTION("""COMPUTED_VALUE"""),"Mostly I try to look at the permissions and the reputation of the company itself")</f>
        <v>Mostly I try to look at the permissions and the reputation of the company itself</v>
      </c>
      <c r="C100" s="3" t="s">
        <v>1602</v>
      </c>
      <c r="D100" s="3" t="s">
        <v>1633</v>
      </c>
      <c r="E100" s="3" t="s">
        <v>1605</v>
      </c>
      <c r="F100" s="3" t="s">
        <v>1622</v>
      </c>
      <c r="G100" s="12"/>
      <c r="H100" s="12"/>
      <c r="I100" s="12"/>
      <c r="J100" s="12"/>
    </row>
    <row r="101">
      <c r="A101">
        <f>IFERROR(__xludf.DUMMYFUNCTION("""COMPUTED_VALUE"""),152.0)</f>
        <v>152</v>
      </c>
      <c r="B101" s="12" t="str">
        <f>IFERROR(__xludf.DUMMYFUNCTION("""COMPUTED_VALUE"""),"I do consider privacy, but mostly I consider convenience as I have relative trust in Google's privacy measures.")</f>
        <v>I do consider privacy, but mostly I consider convenience as I have relative trust in Google's privacy measures.</v>
      </c>
      <c r="C101" s="3" t="s">
        <v>384</v>
      </c>
      <c r="D101" s="3" t="s">
        <v>1598</v>
      </c>
      <c r="E101" s="3" t="s">
        <v>1602</v>
      </c>
      <c r="F101" s="3" t="s">
        <v>1635</v>
      </c>
      <c r="G101" s="12"/>
      <c r="H101" s="12"/>
      <c r="I101" s="12"/>
      <c r="J101" s="12"/>
    </row>
    <row r="102">
      <c r="A102">
        <f>IFERROR(__xludf.DUMMYFUNCTION("""COMPUTED_VALUE"""),154.0)</f>
        <v>154</v>
      </c>
      <c r="B102" s="12" t="str">
        <f>IFERROR(__xludf.DUMMYFUNCTION("""COMPUTED_VALUE"""),"The ease of signing in via Google.")</f>
        <v>The ease of signing in via Google.</v>
      </c>
      <c r="C102" s="3" t="s">
        <v>1598</v>
      </c>
      <c r="D102" s="3"/>
      <c r="E102" s="3"/>
      <c r="F102" s="12"/>
      <c r="G102" s="12"/>
      <c r="H102" s="12"/>
      <c r="I102" s="12"/>
      <c r="J102" s="12"/>
    </row>
    <row r="103">
      <c r="A103">
        <f>IFERROR(__xludf.DUMMYFUNCTION("""COMPUTED_VALUE"""),155.0)</f>
        <v>155</v>
      </c>
      <c r="B103" s="12" t="str">
        <f>IFERROR(__xludf.DUMMYFUNCTION("""COMPUTED_VALUE"""),"I was trying to figure out if I would remember how I logged into this site. I have dozens and dozens of websites and apps that require user names and passwords. So now I have one more site to remember.")</f>
        <v>I was trying to figure out if I would remember how I logged into this site. I have dozens and dozens of websites and apps that require user names and passwords. So now I have one more site to remember.</v>
      </c>
      <c r="C103" s="3" t="s">
        <v>1614</v>
      </c>
      <c r="D103" s="3" t="s">
        <v>1613</v>
      </c>
      <c r="E103" s="3"/>
      <c r="F103" s="35"/>
      <c r="G103" s="43"/>
      <c r="H103" s="12"/>
      <c r="I103" s="12"/>
      <c r="J103" s="12"/>
    </row>
    <row r="104">
      <c r="A104">
        <f>IFERROR(__xludf.DUMMYFUNCTION("""COMPUTED_VALUE"""),156.0)</f>
        <v>156</v>
      </c>
      <c r="B104" s="12" t="str">
        <f>IFERROR(__xludf.DUMMYFUNCTION("""COMPUTED_VALUE"""),"Do I want to actually go through with this")</f>
        <v>Do I want to actually go through with this</v>
      </c>
      <c r="C104" s="35" t="s">
        <v>1620</v>
      </c>
      <c r="D104" s="3"/>
      <c r="E104" s="12"/>
      <c r="F104" s="12"/>
      <c r="G104" s="12"/>
      <c r="H104" s="12"/>
      <c r="I104" s="12"/>
      <c r="J104" s="12"/>
    </row>
    <row r="105">
      <c r="A105">
        <f>IFERROR(__xludf.DUMMYFUNCTION("""COMPUTED_VALUE"""),157.0)</f>
        <v>157</v>
      </c>
      <c r="B105" s="12" t="str">
        <f>IFERROR(__xludf.DUMMYFUNCTION("""COMPUTED_VALUE"""),"How they would use my info and if my info would be secure")</f>
        <v>How they would use my info and if my info would be secure</v>
      </c>
      <c r="C105" s="3" t="s">
        <v>1605</v>
      </c>
      <c r="D105" s="3" t="s">
        <v>1606</v>
      </c>
      <c r="E105" s="3"/>
      <c r="F105" s="3"/>
      <c r="G105" s="12"/>
      <c r="H105" s="12"/>
      <c r="I105" s="12"/>
      <c r="J105" s="12"/>
    </row>
    <row r="106">
      <c r="A106">
        <f>IFERROR(__xludf.DUMMYFUNCTION("""COMPUTED_VALUE"""),158.0)</f>
        <v>158</v>
      </c>
      <c r="B106" s="12" t="str">
        <f>IFERROR(__xludf.DUMMYFUNCTION("""COMPUTED_VALUE"""),"If I wanted to use my Google or Facebook account to log on.")</f>
        <v>If I wanted to use my Google or Facebook account to log on.</v>
      </c>
      <c r="C106" s="3" t="s">
        <v>1620</v>
      </c>
      <c r="D106" s="3" t="s">
        <v>1621</v>
      </c>
      <c r="E106" s="12"/>
      <c r="F106" s="12"/>
      <c r="G106" s="12"/>
      <c r="H106" s="12"/>
      <c r="I106" s="12"/>
      <c r="J106" s="12"/>
    </row>
    <row r="107">
      <c r="A107">
        <f>IFERROR(__xludf.DUMMYFUNCTION("""COMPUTED_VALUE"""),159.0)</f>
        <v>159</v>
      </c>
      <c r="B107" s="12" t="str">
        <f>IFERROR(__xludf.DUMMYFUNCTION("""COMPUTED_VALUE"""),"Nothing. I often sign in with my Google Account, so it's easy to access my apps.")</f>
        <v>Nothing. I often sign in with my Google Account, so it's easy to access my apps.</v>
      </c>
      <c r="C107" s="3" t="s">
        <v>1608</v>
      </c>
      <c r="D107" s="3" t="s">
        <v>1608</v>
      </c>
      <c r="E107" s="3" t="s">
        <v>1634</v>
      </c>
      <c r="F107" s="3"/>
      <c r="G107" s="12"/>
      <c r="H107" s="12"/>
      <c r="I107" s="12"/>
      <c r="J107" s="12"/>
    </row>
    <row r="108">
      <c r="A108">
        <f>IFERROR(__xludf.DUMMYFUNCTION("""COMPUTED_VALUE"""),160.0)</f>
        <v>160</v>
      </c>
      <c r="B108" s="12" t="str">
        <f>IFERROR(__xludf.DUMMYFUNCTION("""COMPUTED_VALUE"""),"Its mainly a matter of convenience its gets old making new accounts for everything.")</f>
        <v>Its mainly a matter of convenience its gets old making new accounts for everything.</v>
      </c>
      <c r="C108" s="3" t="s">
        <v>1598</v>
      </c>
      <c r="D108" s="3" t="s">
        <v>1613</v>
      </c>
      <c r="E108" s="3"/>
      <c r="F108" s="12"/>
      <c r="G108" s="12"/>
      <c r="H108" s="12"/>
      <c r="I108" s="12"/>
      <c r="J108" s="12"/>
    </row>
    <row r="109">
      <c r="A109">
        <f>IFERROR(__xludf.DUMMYFUNCTION("""COMPUTED_VALUE"""),162.0)</f>
        <v>162</v>
      </c>
      <c r="B109" s="12" t="str">
        <f>IFERROR(__xludf.DUMMYFUNCTION("""COMPUTED_VALUE"""),"Nothing really, I figure if it's educational it's pretty safe.")</f>
        <v>Nothing really, I figure if it's educational it's pretty safe.</v>
      </c>
      <c r="C109" s="3" t="s">
        <v>1608</v>
      </c>
      <c r="D109" s="3" t="s">
        <v>1602</v>
      </c>
      <c r="E109" s="12"/>
      <c r="F109" s="12"/>
      <c r="G109" s="12"/>
      <c r="H109" s="12"/>
      <c r="I109" s="12"/>
      <c r="J109" s="12"/>
    </row>
    <row r="110">
      <c r="A110">
        <f>IFERROR(__xludf.DUMMYFUNCTION("""COMPUTED_VALUE"""),163.0)</f>
        <v>163</v>
      </c>
      <c r="B110" s="12" t="str">
        <f>IFERROR(__xludf.DUMMYFUNCTION("""COMPUTED_VALUE"""),"I considered how much information they'd receive from me and if it would make an account.")</f>
        <v>I considered how much information they'd receive from me and if it would make an account.</v>
      </c>
      <c r="C110" s="3" t="s">
        <v>1605</v>
      </c>
      <c r="D110" s="3" t="s">
        <v>1622</v>
      </c>
      <c r="E110" s="3"/>
      <c r="F110" s="12"/>
      <c r="G110" s="12"/>
      <c r="H110" s="12"/>
      <c r="I110" s="12"/>
      <c r="J110" s="12"/>
    </row>
    <row r="111">
      <c r="A111">
        <f>IFERROR(__xludf.DUMMYFUNCTION("""COMPUTED_VALUE"""),164.0)</f>
        <v>164</v>
      </c>
      <c r="B111" s="12" t="str">
        <f>IFERROR(__xludf.DUMMYFUNCTION("""COMPUTED_VALUE"""),"If my information would be stolen.")</f>
        <v>If my information would be stolen.</v>
      </c>
      <c r="C111" s="26" t="s">
        <v>65</v>
      </c>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t="str">
        <f>IFERROR(__xludf.DUMMYFUNCTION("""COMPUTED_VALUE"""),"I considered signing in with a username and password but google account was easier")</f>
        <v>I considered signing in with a username and password but google account was easier</v>
      </c>
      <c r="C113" s="3" t="s">
        <v>1598</v>
      </c>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t="str">
        <f>IFERROR(__xludf.DUMMYFUNCTION("""COMPUTED_VALUE"""),"That it was more convenient")</f>
        <v>That it was more convenient</v>
      </c>
      <c r="C115" s="3" t="s">
        <v>1598</v>
      </c>
      <c r="D115" s="12"/>
      <c r="E115" s="12"/>
      <c r="F115" s="12"/>
      <c r="G115" s="12"/>
      <c r="H115" s="12"/>
      <c r="I115" s="12"/>
      <c r="J115" s="12"/>
    </row>
    <row r="116">
      <c r="A116">
        <f>IFERROR(__xludf.DUMMYFUNCTION("""COMPUTED_VALUE"""),170.0)</f>
        <v>170</v>
      </c>
      <c r="B116" s="12" t="str">
        <f>IFERROR(__xludf.DUMMYFUNCTION("""COMPUTED_VALUE"""),"I didn't consider much, my google account has always been good to me and offered ease of use with many things.")</f>
        <v>I didn't consider much, my google account has always been good to me and offered ease of use with many things.</v>
      </c>
      <c r="C116" s="3" t="s">
        <v>1608</v>
      </c>
      <c r="D116" s="3" t="s">
        <v>1602</v>
      </c>
      <c r="E116" s="3" t="s">
        <v>1635</v>
      </c>
      <c r="F116" s="3"/>
      <c r="G116" s="12"/>
      <c r="H116" s="12"/>
      <c r="I116" s="12"/>
      <c r="J116" s="12"/>
    </row>
    <row r="117">
      <c r="A117">
        <f>IFERROR(__xludf.DUMMYFUNCTION("""COMPUTED_VALUE"""),171.0)</f>
        <v>171</v>
      </c>
      <c r="B117" s="12" t="str">
        <f>IFERROR(__xludf.DUMMYFUNCTION("""COMPUTED_VALUE"""),"nothing, I often use this for software I use frequently")</f>
        <v>nothing, I often use this for software I use frequently</v>
      </c>
      <c r="C117" s="3" t="s">
        <v>1608</v>
      </c>
      <c r="D117" s="3"/>
      <c r="E117" s="12"/>
      <c r="F117" s="12"/>
      <c r="G117" s="12"/>
      <c r="H117" s="12"/>
      <c r="I117" s="12"/>
      <c r="J117" s="12"/>
    </row>
    <row r="118">
      <c r="A118">
        <f>IFERROR(__xludf.DUMMYFUNCTION("""COMPUTED_VALUE"""),172.0)</f>
        <v>172</v>
      </c>
      <c r="B118" s="12" t="str">
        <f>IFERROR(__xludf.DUMMYFUNCTION("""COMPUTED_VALUE"""),"Security")</f>
        <v>Security</v>
      </c>
      <c r="C118" s="3" t="s">
        <v>65</v>
      </c>
      <c r="D118" s="3"/>
      <c r="E118" s="12"/>
      <c r="F118" s="12"/>
      <c r="G118" s="12"/>
      <c r="H118" s="12"/>
      <c r="I118" s="12"/>
      <c r="J118" s="12"/>
    </row>
    <row r="119">
      <c r="A119">
        <f>IFERROR(__xludf.DUMMYFUNCTION("""COMPUTED_VALUE"""),174.0)</f>
        <v>174</v>
      </c>
      <c r="B119" s="12" t="str">
        <f>IFERROR(__xludf.DUMMYFUNCTION("""COMPUTED_VALUE"""),"I knew that I only really needed to use Lumin PDF for a quick task related to some job application, so I wasn't bothered to try to actually make an account on their service, I knew that using my google account to sign in was convenient and easy.")</f>
        <v>I knew that I only really needed to use Lumin PDF for a quick task related to some job application, so I wasn't bothered to try to actually make an account on their service, I knew that using my google account to sign in was convenient and easy.</v>
      </c>
      <c r="C119" s="3" t="s">
        <v>1598</v>
      </c>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t="str">
        <f>IFERROR(__xludf.DUMMYFUNCTION("""COMPUTED_VALUE"""),"I don't usually sign in with my Google account because I don't want to start getting a bunch of spam to my Gmail account, but I didn't think this was very likely in this case.")</f>
        <v>I don't usually sign in with my Google account because I don't want to start getting a bunch of spam to my Gmail account, but I didn't think this was very likely in this case.</v>
      </c>
      <c r="C121" s="20" t="s">
        <v>1624</v>
      </c>
      <c r="D121" t="s">
        <v>1626</v>
      </c>
      <c r="E121" s="3"/>
      <c r="F121" s="3"/>
      <c r="G121" s="12"/>
      <c r="H121" s="12"/>
      <c r="I121" s="12"/>
      <c r="J121" s="12"/>
    </row>
    <row r="122">
      <c r="A122">
        <f>IFERROR(__xludf.DUMMYFUNCTION("""COMPUTED_VALUE"""),179.0)</f>
        <v>179</v>
      </c>
      <c r="B122" s="12" t="str">
        <f>IFERROR(__xludf.DUMMYFUNCTION("""COMPUTED_VALUE"""),"Will this lead to shady, unclear recurring payments?")</f>
        <v>Will this lead to shady, unclear recurring payments?</v>
      </c>
      <c r="C122" s="3" t="s">
        <v>1605</v>
      </c>
      <c r="D122" s="3" t="s">
        <v>1636</v>
      </c>
      <c r="E122" s="3"/>
      <c r="F122" s="12"/>
      <c r="G122" s="12"/>
      <c r="H122" s="12"/>
      <c r="I122" s="12"/>
      <c r="J122" s="12"/>
    </row>
    <row r="123">
      <c r="A123">
        <f>IFERROR(__xludf.DUMMYFUNCTION("""COMPUTED_VALUE"""),180.0)</f>
        <v>180</v>
      </c>
      <c r="B123" s="12" t="str">
        <f>IFERROR(__xludf.DUMMYFUNCTION("""COMPUTED_VALUE"""),"Creating an account with email just in case there was inter-data mingling. I'm usually really precautious of my information.")</f>
        <v>Creating an account with email just in case there was inter-data mingling. I'm usually really precautious of my information.</v>
      </c>
      <c r="C123" s="3" t="s">
        <v>65</v>
      </c>
      <c r="D123" s="3"/>
      <c r="E123" s="3"/>
      <c r="F123" s="3"/>
      <c r="G123" s="12"/>
      <c r="H123" s="12"/>
      <c r="I123" s="12"/>
      <c r="J123" s="12"/>
    </row>
    <row r="124">
      <c r="A124">
        <f>IFERROR(__xludf.DUMMYFUNCTION("""COMPUTED_VALUE"""),182.0)</f>
        <v>182</v>
      </c>
      <c r="B124" s="12" t="str">
        <f>IFERROR(__xludf.DUMMYFUNCTION("""COMPUTED_VALUE"""),"Whether my account on the site was truly linked to my Google Account or not")</f>
        <v>Whether my account on the site was truly linked to my Google Account or not</v>
      </c>
      <c r="C124" s="3" t="s">
        <v>1605</v>
      </c>
      <c r="D124" s="3" t="s">
        <v>1622</v>
      </c>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t="str">
        <f>IFERROR(__xludf.DUMMYFUNCTION("""COMPUTED_VALUE"""),"I didn't consider anything.")</f>
        <v>I didn't consider anything.</v>
      </c>
      <c r="C126" s="3" t="s">
        <v>1608</v>
      </c>
      <c r="D126" s="3"/>
      <c r="E126" s="12"/>
      <c r="F126" s="12"/>
      <c r="G126" s="12"/>
      <c r="H126" s="12"/>
      <c r="I126" s="12"/>
      <c r="J126" s="12"/>
    </row>
    <row r="127">
      <c r="A127">
        <f>IFERROR(__xludf.DUMMYFUNCTION("""COMPUTED_VALUE"""),187.0)</f>
        <v>187</v>
      </c>
      <c r="B127" s="12" t="str">
        <f>IFERROR(__xludf.DUMMYFUNCTION("""COMPUTED_VALUE"""),"I find that signing in with my Google account is much faster and easier than to remember many different login information pieces.")</f>
        <v>I find that signing in with my Google account is much faster and easier than to remember many different login information pieces.</v>
      </c>
      <c r="C127" s="3" t="s">
        <v>1598</v>
      </c>
      <c r="D127" s="3" t="s">
        <v>1613</v>
      </c>
      <c r="E127" s="3" t="s">
        <v>1614</v>
      </c>
      <c r="F127" s="12"/>
      <c r="G127" s="12"/>
      <c r="H127" s="12"/>
      <c r="I127" s="12"/>
      <c r="J127" s="12"/>
    </row>
    <row r="128">
      <c r="A128">
        <f>IFERROR(__xludf.DUMMYFUNCTION("""COMPUTED_VALUE"""),188.0)</f>
        <v>188</v>
      </c>
      <c r="B128" s="12" t="str">
        <f>IFERROR(__xludf.DUMMYFUNCTION("""COMPUTED_VALUE"""),"I did not consider anything, as I thought that it was completely safe.")</f>
        <v>I did not consider anything, as I thought that it was completely safe.</v>
      </c>
      <c r="C128" s="3" t="s">
        <v>1608</v>
      </c>
      <c r="D128" s="3" t="s">
        <v>1608</v>
      </c>
      <c r="E128" s="3"/>
      <c r="F128" s="3"/>
      <c r="G128" s="12"/>
      <c r="H128" s="12"/>
      <c r="I128" s="12"/>
      <c r="J128" s="12"/>
    </row>
    <row r="129">
      <c r="A129">
        <f>IFERROR(__xludf.DUMMYFUNCTION("""COMPUTED_VALUE"""),189.0)</f>
        <v>189</v>
      </c>
      <c r="B129" s="12" t="str">
        <f>IFERROR(__xludf.DUMMYFUNCTION("""COMPUTED_VALUE"""),"Facebook sign in")</f>
        <v>Facebook sign in</v>
      </c>
      <c r="C129" s="3" t="s">
        <v>1620</v>
      </c>
      <c r="D129" s="35" t="s">
        <v>1621</v>
      </c>
      <c r="E129" s="12"/>
      <c r="F129" s="12"/>
      <c r="G129" s="12"/>
      <c r="H129" s="12"/>
      <c r="I129" s="12"/>
      <c r="J129" s="12"/>
    </row>
    <row r="130">
      <c r="A130">
        <f>IFERROR(__xludf.DUMMYFUNCTION("""COMPUTED_VALUE"""),191.0)</f>
        <v>191</v>
      </c>
      <c r="B130" s="12" t="str">
        <f>IFERROR(__xludf.DUMMYFUNCTION("""COMPUTED_VALUE"""),"If I remembered my email.")</f>
        <v>If I remembered my email.</v>
      </c>
      <c r="C130" s="3" t="s">
        <v>1614</v>
      </c>
      <c r="D130" s="3"/>
      <c r="E130" s="3"/>
      <c r="F130" s="3"/>
      <c r="G130" s="12"/>
      <c r="H130" s="12"/>
      <c r="I130" s="12"/>
      <c r="J130" s="12"/>
    </row>
    <row r="131">
      <c r="A131">
        <f>IFERROR(__xludf.DUMMYFUNCTION("""COMPUTED_VALUE"""),192.0)</f>
        <v>192</v>
      </c>
      <c r="B131" s="12" t="str">
        <f>IFERROR(__xludf.DUMMYFUNCTION("""COMPUTED_VALUE"""),"If it was safe and if my info would be safe.")</f>
        <v>If it was safe and if my info would be safe.</v>
      </c>
      <c r="C131" s="3" t="s">
        <v>65</v>
      </c>
      <c r="D131" s="3"/>
      <c r="E131" s="12"/>
      <c r="F131" s="12"/>
      <c r="G131" s="12"/>
      <c r="H131" s="12"/>
      <c r="I131" s="12"/>
      <c r="J131" s="12"/>
    </row>
    <row r="132">
      <c r="A132">
        <f>IFERROR(__xludf.DUMMYFUNCTION("""COMPUTED_VALUE"""),194.0)</f>
        <v>194</v>
      </c>
      <c r="B132" s="12" t="str">
        <f>IFERROR(__xludf.DUMMYFUNCTION("""COMPUTED_VALUE"""),"creating an account on the site, or use the federated login to create an account.")</f>
        <v>creating an account on the site, or use the federated login to create an account.</v>
      </c>
      <c r="C132" s="3" t="s">
        <v>1620</v>
      </c>
      <c r="D132" s="3"/>
      <c r="E132" s="12"/>
      <c r="F132" s="12"/>
      <c r="G132" s="12"/>
      <c r="H132" s="12"/>
      <c r="I132" s="12"/>
      <c r="J132" s="12"/>
    </row>
    <row r="133">
      <c r="A133">
        <f>IFERROR(__xludf.DUMMYFUNCTION("""COMPUTED_VALUE"""),195.0)</f>
        <v>195</v>
      </c>
      <c r="B133" s="12" t="str">
        <f>IFERROR(__xludf.DUMMYFUNCTION("""COMPUTED_VALUE"""),"whether or not to sign in using my facebook account instead")</f>
        <v>whether or not to sign in using my facebook account instead</v>
      </c>
      <c r="C133" s="3" t="s">
        <v>1620</v>
      </c>
      <c r="D133" s="3" t="s">
        <v>1621</v>
      </c>
      <c r="E133" s="12"/>
      <c r="F133" s="12"/>
      <c r="G133" s="12"/>
      <c r="H133" s="12"/>
      <c r="I133" s="12"/>
      <c r="J133" s="12"/>
    </row>
    <row r="134">
      <c r="A134">
        <f>IFERROR(__xludf.DUMMYFUNCTION("""COMPUTED_VALUE"""),198.0)</f>
        <v>198</v>
      </c>
      <c r="B134" s="12" t="str">
        <f>IFERROR(__xludf.DUMMYFUNCTION("""COMPUTED_VALUE"""),"if it was safe")</f>
        <v>if it was safe</v>
      </c>
      <c r="C134" s="3" t="s">
        <v>65</v>
      </c>
      <c r="D134" s="3"/>
      <c r="E134" s="3"/>
      <c r="F134" s="12"/>
      <c r="G134" s="12"/>
      <c r="H134" s="12"/>
      <c r="I134" s="12"/>
      <c r="J134" s="12"/>
    </row>
    <row r="135">
      <c r="A135">
        <f>IFERROR(__xludf.DUMMYFUNCTION("""COMPUTED_VALUE"""),199.0)</f>
        <v>199</v>
      </c>
      <c r="B135" s="12" t="str">
        <f>IFERROR(__xludf.DUMMYFUNCTION("""COMPUTED_VALUE"""),"Making an account")</f>
        <v>Making an account</v>
      </c>
      <c r="C135" s="3" t="s">
        <v>1620</v>
      </c>
      <c r="D135" s="3"/>
      <c r="E135" s="12"/>
      <c r="F135" s="12"/>
      <c r="G135" s="12"/>
      <c r="H135" s="12"/>
      <c r="I135" s="12"/>
      <c r="J135" s="12"/>
    </row>
    <row r="136">
      <c r="A136">
        <f>IFERROR(__xludf.DUMMYFUNCTION("""COMPUTED_VALUE"""),200.0)</f>
        <v>200</v>
      </c>
      <c r="B136" s="12" t="str">
        <f>IFERROR(__xludf.DUMMYFUNCTION("""COMPUTED_VALUE"""),"How much information I want to share")</f>
        <v>How much information I want to share</v>
      </c>
      <c r="C136" s="3" t="s">
        <v>384</v>
      </c>
      <c r="D136" s="3"/>
      <c r="E136" s="3"/>
      <c r="F136" s="12"/>
      <c r="G136" s="12"/>
      <c r="H136" s="12"/>
      <c r="I136" s="12"/>
      <c r="J136" s="12"/>
    </row>
    <row r="137">
      <c r="A137">
        <f>IFERROR(__xludf.DUMMYFUNCTION("""COMPUTED_VALUE"""),201.0)</f>
        <v>201</v>
      </c>
      <c r="B137" s="12" t="str">
        <f>IFERROR(__xludf.DUMMYFUNCTION("""COMPUTED_VALUE"""),"I didn't consider much, except how much quicker and easier it would be to sign on using this method.")</f>
        <v>I didn't consider much, except how much quicker and easier it would be to sign on using this method.</v>
      </c>
      <c r="C137" s="3" t="s">
        <v>1608</v>
      </c>
      <c r="D137" s="3" t="s">
        <v>1598</v>
      </c>
      <c r="E137" s="12"/>
      <c r="F137" s="12"/>
      <c r="G137" s="12"/>
      <c r="H137" s="12"/>
      <c r="I137" s="12"/>
      <c r="J137" s="12"/>
    </row>
    <row r="138">
      <c r="A138">
        <f>IFERROR(__xludf.DUMMYFUNCTION("""COMPUTED_VALUE"""),202.0)</f>
        <v>202</v>
      </c>
      <c r="B138" s="12" t="str">
        <f>IFERROR(__xludf.DUMMYFUNCTION("""COMPUTED_VALUE"""),"I considered if I wanted to create an account or conveniently use my google account.")</f>
        <v>I considered if I wanted to create an account or conveniently use my google account.</v>
      </c>
      <c r="C138" s="3" t="s">
        <v>1598</v>
      </c>
      <c r="D138" s="3"/>
      <c r="E138" s="3"/>
      <c r="F138" s="12"/>
      <c r="G138" s="12"/>
      <c r="H138" s="12"/>
      <c r="I138" s="12"/>
      <c r="J138" s="12"/>
    </row>
    <row r="139">
      <c r="A139">
        <f>IFERROR(__xludf.DUMMYFUNCTION("""COMPUTED_VALUE"""),203.0)</f>
        <v>203</v>
      </c>
      <c r="B139" s="12" t="str">
        <f>IFERROR(__xludf.DUMMYFUNCTION("""COMPUTED_VALUE"""),"How they would see my information, and if they would market it. What data they would get on my profile, and if anything were unnecessary. I personally prefer Sign in with Apple as it's more private but I digress.")</f>
        <v>How they would see my information, and if they would market it. What data they would get on my profile, and if anything were unnecessary. I personally prefer Sign in with Apple as it's more private but I digress.</v>
      </c>
      <c r="C139" s="3" t="s">
        <v>1605</v>
      </c>
      <c r="D139" s="3" t="s">
        <v>1622</v>
      </c>
      <c r="E139" s="3" t="s">
        <v>1606</v>
      </c>
      <c r="F139" s="3" t="s">
        <v>1620</v>
      </c>
      <c r="G139" s="3" t="s">
        <v>1632</v>
      </c>
      <c r="H139" s="12"/>
      <c r="I139" s="12"/>
      <c r="J139" s="12"/>
    </row>
    <row r="140">
      <c r="A140">
        <f>IFERROR(__xludf.DUMMYFUNCTION("""COMPUTED_VALUE"""),204.0)</f>
        <v>204</v>
      </c>
      <c r="B140" s="12" t="str">
        <f>IFERROR(__xludf.DUMMYFUNCTION("""COMPUTED_VALUE"""),"I considered the amount of ease that it would take to just sign in with that account and not have to enter all of my information.")</f>
        <v>I considered the amount of ease that it would take to just sign in with that account and not have to enter all of my information.</v>
      </c>
      <c r="C140" s="3" t="s">
        <v>1598</v>
      </c>
      <c r="D140" s="3"/>
      <c r="E140" s="3"/>
      <c r="F140" s="3"/>
      <c r="G140" s="12"/>
      <c r="H140" s="12"/>
      <c r="I140" s="12"/>
      <c r="J140" s="12"/>
    </row>
    <row r="141">
      <c r="A141">
        <f>IFERROR(__xludf.DUMMYFUNCTION("""COMPUTED_VALUE"""),207.0)</f>
        <v>207</v>
      </c>
      <c r="B141" s="12" t="str">
        <f>IFERROR(__xludf.DUMMYFUNCTION("""COMPUTED_VALUE"""),"if it tracked my video analytics")</f>
        <v>if it tracked my video analytics</v>
      </c>
      <c r="C141" s="3" t="s">
        <v>1605</v>
      </c>
      <c r="D141" s="3" t="s">
        <v>1622</v>
      </c>
      <c r="E141" s="12"/>
      <c r="F141" s="12"/>
      <c r="G141" s="12"/>
      <c r="H141" s="12"/>
      <c r="I141" s="12"/>
      <c r="J141" s="12"/>
    </row>
    <row r="142">
      <c r="A142">
        <f>IFERROR(__xludf.DUMMYFUNCTION("""COMPUTED_VALUE"""),208.0)</f>
        <v>208</v>
      </c>
      <c r="B142" s="12" t="str">
        <f>IFERROR(__xludf.DUMMYFUNCTION("""COMPUTED_VALUE"""),"Trying to figure out if it would be better to try and create an account or if I wanted to do it the easy way.")</f>
        <v>Trying to figure out if it would be better to try and create an account or if I wanted to do it the easy way.</v>
      </c>
      <c r="C142" s="3" t="s">
        <v>1598</v>
      </c>
      <c r="D142" s="3" t="s">
        <v>1609</v>
      </c>
      <c r="E142" s="12"/>
      <c r="F142" s="12"/>
      <c r="G142" s="12"/>
      <c r="H142" s="12"/>
      <c r="I142" s="12"/>
      <c r="J142" s="12"/>
    </row>
    <row r="143">
      <c r="A143">
        <f>IFERROR(__xludf.DUMMYFUNCTION("""COMPUTED_VALUE"""),209.0)</f>
        <v>209</v>
      </c>
      <c r="B143" s="12" t="str">
        <f>IFERROR(__xludf.DUMMYFUNCTION("""COMPUTED_VALUE"""),"I was hungry and wanted a fast login.")</f>
        <v>I was hungry and wanted a fast login.</v>
      </c>
      <c r="C143" s="3" t="s">
        <v>1598</v>
      </c>
      <c r="D143" s="3" t="s">
        <v>1609</v>
      </c>
      <c r="E143" s="3"/>
      <c r="F143" s="12"/>
      <c r="G143" s="12"/>
      <c r="H143" s="12"/>
      <c r="I143" s="12"/>
      <c r="J143" s="12"/>
    </row>
    <row r="144">
      <c r="A144">
        <f>IFERROR(__xludf.DUMMYFUNCTION("""COMPUTED_VALUE"""),210.0)</f>
        <v>210</v>
      </c>
      <c r="B144" s="12" t="str">
        <f>IFERROR(__xludf.DUMMYFUNCTION("""COMPUTED_VALUE"""),"oh, well I considered whether I wanted to be pestered by the site or not.")</f>
        <v>oh, well I considered whether I wanted to be pestered by the site or not.</v>
      </c>
      <c r="C144" s="3" t="s">
        <v>1624</v>
      </c>
      <c r="D144" s="3" t="s">
        <v>1626</v>
      </c>
      <c r="E144" s="3"/>
      <c r="F144" s="3"/>
      <c r="G144" s="3"/>
      <c r="H144" s="12"/>
      <c r="I144" s="12"/>
      <c r="J144" s="12"/>
    </row>
    <row r="145">
      <c r="A145">
        <f>IFERROR(__xludf.DUMMYFUNCTION("""COMPUTED_VALUE"""),212.0)</f>
        <v>212</v>
      </c>
      <c r="B145" s="12" t="str">
        <f>IFERROR(__xludf.DUMMYFUNCTION("""COMPUTED_VALUE"""),"nothing")</f>
        <v>nothing</v>
      </c>
      <c r="C145" s="3" t="s">
        <v>1608</v>
      </c>
      <c r="D145" s="3"/>
      <c r="E145" s="3"/>
      <c r="F145" s="12"/>
      <c r="G145" s="12"/>
      <c r="H145" s="12"/>
      <c r="I145" s="12"/>
      <c r="J145" s="12"/>
    </row>
    <row r="146">
      <c r="A146">
        <f>IFERROR(__xludf.DUMMYFUNCTION("""COMPUTED_VALUE"""),213.0)</f>
        <v>213</v>
      </c>
      <c r="B146" s="12" t="str">
        <f>IFERROR(__xludf.DUMMYFUNCTION("""COMPUTED_VALUE"""),"How easily the service could be hacked")</f>
        <v>How easily the service could be hacked</v>
      </c>
      <c r="C146" s="3" t="s">
        <v>65</v>
      </c>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t="str">
        <f>IFERROR(__xludf.DUMMYFUNCTION("""COMPUTED_VALUE"""),"I considered using facebook because most of my accounts are linked to my facebook instead.")</f>
        <v>I considered using facebook because most of my accounts are linked to my facebook instead.</v>
      </c>
      <c r="C148" s="3" t="s">
        <v>1620</v>
      </c>
      <c r="D148" s="3" t="s">
        <v>1621</v>
      </c>
      <c r="E148" s="12"/>
      <c r="F148" s="12"/>
      <c r="H148" s="12"/>
      <c r="I148" s="12"/>
      <c r="J148" s="12"/>
    </row>
    <row r="149">
      <c r="A149">
        <f>IFERROR(__xludf.DUMMYFUNCTION("""COMPUTED_VALUE"""),216.0)</f>
        <v>216</v>
      </c>
      <c r="B149" s="12" t="str">
        <f>IFERROR(__xludf.DUMMYFUNCTION("""COMPUTED_VALUE"""),"I thought it would more convenient to use my existing account rather than make a new one specifically for the service.")</f>
        <v>I thought it would more convenient to use my existing account rather than make a new one specifically for the service.</v>
      </c>
      <c r="C149" s="3" t="s">
        <v>1598</v>
      </c>
      <c r="D149" s="3" t="s">
        <v>1609</v>
      </c>
      <c r="E149" s="12"/>
      <c r="F149" s="12"/>
      <c r="H149" s="12"/>
      <c r="I149" s="12"/>
      <c r="J149" s="12"/>
    </row>
    <row r="150">
      <c r="A150">
        <f>IFERROR(__xludf.DUMMYFUNCTION("""COMPUTED_VALUE"""),217.0)</f>
        <v>217</v>
      </c>
      <c r="B150" s="12" t="str">
        <f>IFERROR(__xludf.DUMMYFUNCTION("""COMPUTED_VALUE"""),"Would google be tracking what I do on site.
 Is site privy to my other uses of google login.
 will the site log me into other sites automatically using login.")</f>
        <v>Would google be tracking what I do on site.
 Is site privy to my other uses of google login.
 will the site log me into other sites automatically using login.</v>
      </c>
      <c r="C150" s="3" t="s">
        <v>1624</v>
      </c>
      <c r="D150" s="3" t="s">
        <v>1625</v>
      </c>
      <c r="E150" s="20" t="s">
        <v>1637</v>
      </c>
      <c r="F150" s="3" t="s">
        <v>1605</v>
      </c>
      <c r="G150" s="3" t="s">
        <v>1622</v>
      </c>
      <c r="H150" s="12"/>
      <c r="I150" s="12"/>
      <c r="J150" s="12"/>
    </row>
    <row r="151">
      <c r="A151">
        <f>IFERROR(__xludf.DUMMYFUNCTION("""COMPUTED_VALUE"""),220.0)</f>
        <v>220</v>
      </c>
      <c r="B151" s="12" t="str">
        <f>IFERROR(__xludf.DUMMYFUNCTION("""COMPUTED_VALUE"""),"I considered the ease of use that logging in with Google would bring, but also balanced the potential privacy issue that could arise if the third-party app turned out to be malicious and use my Google information nefariously")</f>
        <v>I considered the ease of use that logging in with Google would bring, but also balanced the potential privacy issue that could arise if the third-party app turned out to be malicious and use my Google information nefariously</v>
      </c>
      <c r="C151" s="3" t="s">
        <v>1598</v>
      </c>
      <c r="D151" s="3" t="s">
        <v>65</v>
      </c>
      <c r="E151" s="3" t="s">
        <v>1605</v>
      </c>
      <c r="F151" s="3" t="s">
        <v>1622</v>
      </c>
      <c r="G151" s="20" t="s">
        <v>384</v>
      </c>
      <c r="H151" s="12"/>
      <c r="I151" s="12"/>
      <c r="J151" s="12"/>
    </row>
    <row r="152">
      <c r="A152">
        <f>IFERROR(__xludf.DUMMYFUNCTION("""COMPUTED_VALUE"""),221.0)</f>
        <v>221</v>
      </c>
      <c r="B152" s="12" t="str">
        <f>IFERROR(__xludf.DUMMYFUNCTION("""COMPUTED_VALUE"""),"If I would be able to remember my gmail password")</f>
        <v>If I would be able to remember my gmail password</v>
      </c>
      <c r="C152" s="3" t="s">
        <v>1614</v>
      </c>
      <c r="D152" s="3"/>
      <c r="E152" s="12"/>
      <c r="F152" s="12"/>
      <c r="H152" s="12"/>
      <c r="I152" s="12"/>
      <c r="J152" s="12"/>
    </row>
    <row r="153">
      <c r="A153">
        <f>IFERROR(__xludf.DUMMYFUNCTION("""COMPUTED_VALUE"""),222.0)</f>
        <v>222</v>
      </c>
      <c r="B153" s="12" t="str">
        <f>IFERROR(__xludf.DUMMYFUNCTION("""COMPUTED_VALUE"""),"Do I want this account to be associated with what I'm signing into?")</f>
        <v>Do I want this account to be associated with what I'm signing into?</v>
      </c>
      <c r="C153" s="3" t="s">
        <v>1605</v>
      </c>
      <c r="D153" s="3"/>
      <c r="E153" s="12"/>
      <c r="F153" s="12"/>
      <c r="H153" s="12"/>
      <c r="I153" s="12"/>
      <c r="J153" s="12"/>
    </row>
    <row r="154">
      <c r="A154">
        <f>IFERROR(__xludf.DUMMYFUNCTION("""COMPUTED_VALUE"""),223.0)</f>
        <v>223</v>
      </c>
      <c r="B154" s="12" t="str">
        <f>IFERROR(__xludf.DUMMYFUNCTION("""COMPUTED_VALUE"""),"Convenience versus privacy")</f>
        <v>Convenience versus privacy</v>
      </c>
      <c r="C154" s="3" t="s">
        <v>1598</v>
      </c>
      <c r="D154" s="3" t="s">
        <v>384</v>
      </c>
      <c r="E154" s="3"/>
      <c r="F154" s="3"/>
      <c r="H154" s="12"/>
      <c r="I154" s="12"/>
      <c r="J154" s="12"/>
    </row>
    <row r="155">
      <c r="A155">
        <f>IFERROR(__xludf.DUMMYFUNCTION("""COMPUTED_VALUE"""),225.0)</f>
        <v>225</v>
      </c>
      <c r="B155" s="12" t="str">
        <f>IFERROR(__xludf.DUMMYFUNCTION("""COMPUTED_VALUE"""),"How secure I feel it is.")</f>
        <v>How secure I feel it is.</v>
      </c>
      <c r="C155" s="3" t="s">
        <v>65</v>
      </c>
      <c r="D155" s="12"/>
      <c r="E155" s="12"/>
      <c r="F155" s="12"/>
      <c r="G155" s="12"/>
      <c r="H155" s="12"/>
      <c r="I155" s="12"/>
      <c r="J155" s="12"/>
    </row>
    <row r="156">
      <c r="A156">
        <f>IFERROR(__xludf.DUMMYFUNCTION("""COMPUTED_VALUE"""),226.0)</f>
        <v>226</v>
      </c>
      <c r="B156" s="12" t="str">
        <f>IFERROR(__xludf.DUMMYFUNCTION("""COMPUTED_VALUE"""),"Are they safe and legitiment")</f>
        <v>Are they safe and legitiment</v>
      </c>
      <c r="C156" s="3" t="s">
        <v>1602</v>
      </c>
      <c r="D156" s="3" t="s">
        <v>1615</v>
      </c>
      <c r="E156" s="12"/>
      <c r="F156" s="12"/>
      <c r="G156" s="12"/>
      <c r="H156" s="12"/>
      <c r="I156" s="12"/>
      <c r="J156" s="12"/>
    </row>
    <row r="157">
      <c r="A157">
        <f>IFERROR(__xludf.DUMMYFUNCTION("""COMPUTED_VALUE"""),228.0)</f>
        <v>228</v>
      </c>
      <c r="B157" s="12" t="str">
        <f>IFERROR(__xludf.DUMMYFUNCTION("""COMPUTED_VALUE"""),"I wasn't sure if the app would spam me emails or not.")</f>
        <v>I wasn't sure if the app would spam me emails or not.</v>
      </c>
      <c r="C157" s="20" t="s">
        <v>1624</v>
      </c>
      <c r="D157" s="3" t="s">
        <v>1626</v>
      </c>
      <c r="E157" s="12"/>
      <c r="F157" s="12"/>
      <c r="G157" s="12"/>
      <c r="H157" s="12"/>
      <c r="I157" s="12"/>
      <c r="J157" s="12"/>
    </row>
    <row r="158">
      <c r="A158">
        <f>IFERROR(__xludf.DUMMYFUNCTION("""COMPUTED_VALUE"""),230.0)</f>
        <v>230</v>
      </c>
      <c r="B158" s="12" t="str">
        <f>IFERROR(__xludf.DUMMYFUNCTION("""COMPUTED_VALUE"""),"I did not wanted to create account on Loopnet, and it is easier to sign in with my Google account")</f>
        <v>I did not wanted to create account on Loopnet, and it is easier to sign in with my Google account</v>
      </c>
      <c r="C158" s="3" t="s">
        <v>1598</v>
      </c>
      <c r="D158" s="12"/>
      <c r="E158" s="12"/>
      <c r="F158" s="12"/>
      <c r="G158" s="12"/>
      <c r="H158" s="12"/>
      <c r="I158" s="12"/>
      <c r="J158" s="12"/>
    </row>
    <row r="159">
      <c r="A159">
        <f>IFERROR(__xludf.DUMMYFUNCTION("""COMPUTED_VALUE"""),231.0)</f>
        <v>231</v>
      </c>
      <c r="B159" s="12" t="str">
        <f>IFERROR(__xludf.DUMMYFUNCTION("""COMPUTED_VALUE"""),"whether it was secure")</f>
        <v>whether it was secure</v>
      </c>
      <c r="C159" s="3" t="s">
        <v>65</v>
      </c>
      <c r="D159" s="12"/>
      <c r="E159" s="12"/>
      <c r="F159" s="12"/>
      <c r="G159" s="12"/>
      <c r="H159" s="12"/>
      <c r="I159" s="12"/>
      <c r="J159" s="12"/>
    </row>
    <row r="160">
      <c r="A160">
        <f>IFERROR(__xludf.DUMMYFUNCTION("""COMPUTED_VALUE"""),233.0)</f>
        <v>233</v>
      </c>
      <c r="B160" s="12" t="str">
        <f>IFERROR(__xludf.DUMMYFUNCTION("""COMPUTED_VALUE"""),"Nothing! I trust the SSO thing that's built into websites, I just think that it'll be significantly easier to log in even though I use a password manager")</f>
        <v>Nothing! I trust the SSO thing that's built into websites, I just think that it'll be significantly easier to log in even though I use a password manager</v>
      </c>
      <c r="C160" s="3" t="s">
        <v>1608</v>
      </c>
      <c r="D160" s="3" t="s">
        <v>1602</v>
      </c>
      <c r="E160" s="3" t="s">
        <v>1608</v>
      </c>
      <c r="F160" s="12"/>
      <c r="G160" s="12"/>
      <c r="H160" s="12"/>
      <c r="I160" s="12"/>
      <c r="J160" s="12"/>
    </row>
    <row r="161">
      <c r="A161">
        <f>IFERROR(__xludf.DUMMYFUNCTION("""COMPUTED_VALUE"""),234.0)</f>
        <v>234</v>
      </c>
      <c r="B161" s="12" t="str">
        <f>IFERROR(__xludf.DUMMYFUNCTION("""COMPUTED_VALUE"""),"Reliability of the website is usually crucial to me. I don't typically use Google Accounts to sign in unless I know the website is legitimate. I don't know if Google checks what third-party apps or service use their API, but if they do, I don't think they"&amp;" do a great job. Just want to make sure I don't get my primary email spammed before applying it and signing in.")</f>
        <v>Reliability of the website is usually crucial to me. I don't typically use Google Accounts to sign in unless I know the website is legitimate. I don't know if Google checks what third-party apps or service use their API, but if they do, I don't think they do a great job. Just want to make sure I don't get my primary email spammed before applying it and signing in.</v>
      </c>
      <c r="C161" s="3" t="s">
        <v>1602</v>
      </c>
      <c r="D161" s="3" t="s">
        <v>1603</v>
      </c>
      <c r="E161" s="3" t="s">
        <v>1605</v>
      </c>
      <c r="F161" s="3" t="s">
        <v>1622</v>
      </c>
      <c r="G161" s="3" t="s">
        <v>1624</v>
      </c>
      <c r="H161" s="3" t="s">
        <v>1625</v>
      </c>
      <c r="I161" s="3" t="s">
        <v>1626</v>
      </c>
      <c r="J161" s="12"/>
    </row>
    <row r="162">
      <c r="A162">
        <f>IFERROR(__xludf.DUMMYFUNCTION("""COMPUTED_VALUE"""),235.0)</f>
        <v>235</v>
      </c>
      <c r="B162" s="12" t="str">
        <f>IFERROR(__xludf.DUMMYFUNCTION("""COMPUTED_VALUE"""),"I considered who could access my data and what the consequences would be.")</f>
        <v>I considered who could access my data and what the consequences would be.</v>
      </c>
      <c r="C162" s="3" t="s">
        <v>384</v>
      </c>
      <c r="D162" s="3" t="s">
        <v>1622</v>
      </c>
      <c r="E162" s="3" t="s">
        <v>1605</v>
      </c>
      <c r="H162" s="12"/>
      <c r="I162" s="12"/>
      <c r="J162" s="12"/>
    </row>
    <row r="163">
      <c r="A163">
        <f>IFERROR(__xludf.DUMMYFUNCTION("""COMPUTED_VALUE"""),236.0)</f>
        <v>236</v>
      </c>
      <c r="B163" s="12" t="str">
        <f>IFERROR(__xludf.DUMMYFUNCTION("""COMPUTED_VALUE"""),"If they're not a well-known, trusted site, then I don't do that 3rd party sign-in because I don't want it linked to my email because I've been hacked before.")</f>
        <v>If they're not a well-known, trusted site, then I don't do that 3rd party sign-in because I don't want it linked to my email because I've been hacked before.</v>
      </c>
      <c r="C163" s="3" t="s">
        <v>1602</v>
      </c>
      <c r="D163" s="3" t="s">
        <v>1603</v>
      </c>
      <c r="E163" s="3" t="s">
        <v>65</v>
      </c>
      <c r="H163" s="12"/>
      <c r="I163" s="12"/>
      <c r="J163" s="12"/>
    </row>
    <row r="164">
      <c r="A164">
        <f>IFERROR(__xludf.DUMMYFUNCTION("""COMPUTED_VALUE"""),237.0)</f>
        <v>237</v>
      </c>
      <c r="B164" s="12" t="str">
        <f>IFERROR(__xludf.DUMMYFUNCTION("""COMPUTED_VALUE"""),"I didn't have to think twice, just signed in using google")</f>
        <v>I didn't have to think twice, just signed in using google</v>
      </c>
      <c r="C164" s="3" t="s">
        <v>1608</v>
      </c>
      <c r="D164" s="3" t="s">
        <v>1608</v>
      </c>
      <c r="E164" s="12"/>
      <c r="H164" s="12"/>
      <c r="I164" s="12"/>
      <c r="J164" s="12"/>
    </row>
    <row r="165">
      <c r="A165">
        <f>IFERROR(__xludf.DUMMYFUNCTION("""COMPUTED_VALUE"""),238.0)</f>
        <v>238</v>
      </c>
      <c r="B165" s="12"/>
      <c r="C165" s="12"/>
      <c r="D165" s="12"/>
      <c r="E165" s="12"/>
      <c r="H165" s="12"/>
      <c r="I165" s="12"/>
      <c r="J165" s="12"/>
    </row>
    <row r="166">
      <c r="A166">
        <f>IFERROR(__xludf.DUMMYFUNCTION("""COMPUTED_VALUE"""),239.0)</f>
        <v>239</v>
      </c>
      <c r="B166" s="12" t="str">
        <f>IFERROR(__xludf.DUMMYFUNCTION("""COMPUTED_VALUE"""),"If I wanted to create an account or not")</f>
        <v>If I wanted to create an account or not</v>
      </c>
      <c r="C166" s="3" t="s">
        <v>1610</v>
      </c>
      <c r="D166" s="3" t="s">
        <v>1638</v>
      </c>
      <c r="E166" s="12"/>
      <c r="H166" s="12"/>
      <c r="I166" s="12"/>
      <c r="J166" s="12"/>
    </row>
    <row r="167">
      <c r="A167">
        <f>IFERROR(__xludf.DUMMYFUNCTION("""COMPUTED_VALUE"""),241.0)</f>
        <v>241</v>
      </c>
      <c r="B167" s="12" t="str">
        <f>IFERROR(__xludf.DUMMYFUNCTION("""COMPUTED_VALUE"""),"nothing")</f>
        <v>nothing</v>
      </c>
      <c r="C167" s="3" t="s">
        <v>1608</v>
      </c>
      <c r="D167" s="12"/>
      <c r="E167" s="12"/>
      <c r="H167" s="12"/>
      <c r="I167" s="12"/>
      <c r="J167" s="12"/>
    </row>
    <row r="168">
      <c r="A168">
        <f>IFERROR(__xludf.DUMMYFUNCTION("""COMPUTED_VALUE"""),242.0)</f>
        <v>242</v>
      </c>
      <c r="B168" s="12" t="str">
        <f>IFERROR(__xludf.DUMMYFUNCTION("""COMPUTED_VALUE"""),"If I was logging into the correct google account")</f>
        <v>If I was logging into the correct google account</v>
      </c>
      <c r="C168" s="3" t="s">
        <v>1614</v>
      </c>
      <c r="D168" s="12"/>
      <c r="E168" s="12"/>
      <c r="F168" s="12"/>
      <c r="G168" s="12"/>
      <c r="H168" s="12"/>
      <c r="I168" s="12"/>
      <c r="J168" s="12"/>
    </row>
    <row r="169">
      <c r="A169">
        <f>IFERROR(__xludf.DUMMYFUNCTION("""COMPUTED_VALUE"""),245.0)</f>
        <v>245</v>
      </c>
      <c r="B169" s="12" t="str">
        <f>IFERROR(__xludf.DUMMYFUNCTION("""COMPUTED_VALUE"""),"I didn't consider anything. OAuth is a no-brainer to me.")</f>
        <v>I didn't consider anything. OAuth is a no-brainer to me.</v>
      </c>
      <c r="C169" s="3" t="s">
        <v>1608</v>
      </c>
      <c r="D169" s="3" t="s">
        <v>1608</v>
      </c>
      <c r="E169" s="12"/>
      <c r="F169" s="12"/>
      <c r="G169" s="12"/>
      <c r="H169" s="12"/>
      <c r="I169" s="12"/>
      <c r="J169" s="12"/>
    </row>
    <row r="170">
      <c r="A170">
        <f>IFERROR(__xludf.DUMMYFUNCTION("""COMPUTED_VALUE"""),246.0)</f>
        <v>246</v>
      </c>
      <c r="B170" s="12" t="str">
        <f>IFERROR(__xludf.DUMMYFUNCTION("""COMPUTED_VALUE"""),"I didn't consider anything beyond knowing that it would give me personalized access to the app by creating an account linked to my google account.")</f>
        <v>I didn't consider anything beyond knowing that it would give me personalized access to the app by creating an account linked to my google account.</v>
      </c>
      <c r="C170" s="3" t="s">
        <v>1608</v>
      </c>
      <c r="D170" s="3" t="s">
        <v>1608</v>
      </c>
      <c r="E170" s="12"/>
      <c r="F170" s="12"/>
      <c r="G170" s="12"/>
      <c r="H170" s="12"/>
      <c r="I170" s="12"/>
      <c r="J170" s="12"/>
    </row>
    <row r="171">
      <c r="A171">
        <f>IFERROR(__xludf.DUMMYFUNCTION("""COMPUTED_VALUE"""),248.0)</f>
        <v>248</v>
      </c>
      <c r="B171" s="12" t="str">
        <f>IFERROR(__xludf.DUMMYFUNCTION("""COMPUTED_VALUE"""),"that i didnt want to make yet another password, so i just signed in with my gmail instead")</f>
        <v>that i didnt want to make yet another password, so i just signed in with my gmail instead</v>
      </c>
      <c r="C171" s="3" t="s">
        <v>1613</v>
      </c>
      <c r="D171" s="12"/>
      <c r="E171" s="12"/>
      <c r="F171" s="12"/>
      <c r="G171" s="12"/>
      <c r="H171" s="12"/>
      <c r="I171" s="12"/>
      <c r="J171" s="12"/>
    </row>
    <row r="172">
      <c r="A172">
        <f>IFERROR(__xludf.DUMMYFUNCTION("""COMPUTED_VALUE"""),249.0)</f>
        <v>249</v>
      </c>
      <c r="B172" s="12" t="str">
        <f>IFERROR(__xludf.DUMMYFUNCTION("""COMPUTED_VALUE"""),"How well known the company publishing the app was.")</f>
        <v>How well known the company publishing the app was.</v>
      </c>
      <c r="C172" s="3" t="s">
        <v>1602</v>
      </c>
      <c r="D172" s="3" t="s">
        <v>1633</v>
      </c>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t="str">
        <f>IFERROR(__xludf.DUMMYFUNCTION("""COMPUTED_VALUE"""),"i thought it might not be a great idea safetywise but still did it")</f>
        <v>i thought it might not be a great idea safetywise but still did it</v>
      </c>
      <c r="C176" s="3" t="s">
        <v>65</v>
      </c>
      <c r="D176" s="3" t="s">
        <v>1610</v>
      </c>
      <c r="E176" s="12"/>
      <c r="F176" s="12"/>
      <c r="G176" s="12"/>
      <c r="H176" s="12"/>
      <c r="I176" s="12"/>
      <c r="J176" s="12"/>
    </row>
    <row r="177">
      <c r="A177">
        <f>IFERROR(__xludf.DUMMYFUNCTION("""COMPUTED_VALUE"""),256.0)</f>
        <v>256</v>
      </c>
      <c r="B177" s="12" t="str">
        <f>IFERROR(__xludf.DUMMYFUNCTION("""COMPUTED_VALUE"""),"I didn't really consider much - if anything I thought about whether I wanted the app tied to my Google or Facebook account. I chose Google since Facebook seems to open up a bit more personal information during SSO than Google does.")</f>
        <v>I didn't really consider much - if anything I thought about whether I wanted the app tied to my Google or Facebook account. I chose Google since Facebook seems to open up a bit more personal information during SSO than Google does.</v>
      </c>
      <c r="C177" s="3" t="s">
        <v>1608</v>
      </c>
      <c r="D177" s="3" t="s">
        <v>1620</v>
      </c>
      <c r="E177" s="3" t="s">
        <v>1621</v>
      </c>
      <c r="F177" s="12"/>
      <c r="G177" s="12"/>
      <c r="H177" s="12"/>
      <c r="I177" s="12"/>
      <c r="J177" s="12"/>
    </row>
    <row r="178">
      <c r="A178">
        <f>IFERROR(__xludf.DUMMYFUNCTION("""COMPUTED_VALUE"""),257.0)</f>
        <v>257</v>
      </c>
      <c r="B178" s="12" t="str">
        <f>IFERROR(__xludf.DUMMYFUNCTION("""COMPUTED_VALUE"""),"If my Google account password could possibly be compromised by signing in that way")</f>
        <v>If my Google account password could possibly be compromised by signing in that way</v>
      </c>
      <c r="C178" s="3" t="s">
        <v>65</v>
      </c>
      <c r="D178" s="12"/>
      <c r="E178" s="12"/>
      <c r="F178" s="12"/>
      <c r="G178" s="12"/>
      <c r="H178" s="12"/>
      <c r="I178" s="12"/>
      <c r="J178" s="12"/>
    </row>
    <row r="179">
      <c r="A179">
        <f>IFERROR(__xludf.DUMMYFUNCTION("""COMPUTED_VALUE"""),258.0)</f>
        <v>258</v>
      </c>
      <c r="B179" s="12" t="str">
        <f>IFERROR(__xludf.DUMMYFUNCTION("""COMPUTED_VALUE"""),"Usually I weigh whether it's more convenient to make a specific account for that site/service or just use my google account to log-in")</f>
        <v>Usually I weigh whether it's more convenient to make a specific account for that site/service or just use my google account to log-in</v>
      </c>
      <c r="C179" s="3" t="s">
        <v>1610</v>
      </c>
      <c r="D179" s="3" t="s">
        <v>1598</v>
      </c>
      <c r="E179" s="12"/>
      <c r="F179" s="12"/>
      <c r="G179" s="12"/>
      <c r="H179" s="12"/>
      <c r="I179" s="12"/>
      <c r="J179" s="12"/>
    </row>
    <row r="180">
      <c r="A180">
        <f>IFERROR(__xludf.DUMMYFUNCTION("""COMPUTED_VALUE"""),259.0)</f>
        <v>259</v>
      </c>
      <c r="B180" s="12" t="str">
        <f>IFERROR(__xludf.DUMMYFUNCTION("""COMPUTED_VALUE"""),"I considered using my email and password instead.")</f>
        <v>I considered using my email and password instead.</v>
      </c>
      <c r="C180" s="3" t="s">
        <v>1620</v>
      </c>
      <c r="D180" s="12"/>
      <c r="E180" s="12"/>
      <c r="F180" s="12"/>
      <c r="G180" s="12"/>
      <c r="H180" s="12"/>
      <c r="I180" s="12"/>
      <c r="J180" s="12"/>
    </row>
    <row r="181">
      <c r="A181">
        <f>IFERROR(__xludf.DUMMYFUNCTION("""COMPUTED_VALUE"""),260.0)</f>
        <v>260</v>
      </c>
      <c r="B181" s="12" t="str">
        <f>IFERROR(__xludf.DUMMYFUNCTION("""COMPUTED_VALUE"""),"How hard it would be to create another account with that third party app or service compared to how easy it would be to sign in with Google")</f>
        <v>How hard it would be to create another account with that third party app or service compared to how easy it would be to sign in with Google</v>
      </c>
      <c r="C181" s="3" t="s">
        <v>1610</v>
      </c>
      <c r="D181" s="3" t="s">
        <v>1598</v>
      </c>
      <c r="E181" s="12"/>
      <c r="F181" s="12"/>
      <c r="G181" s="12"/>
      <c r="H181" s="12"/>
      <c r="I181" s="12"/>
      <c r="J181" s="12"/>
    </row>
    <row r="182">
      <c r="A182">
        <f>IFERROR(__xludf.DUMMYFUNCTION("""COMPUTED_VALUE"""),261.0)</f>
        <v>261</v>
      </c>
      <c r="B182" s="12" t="str">
        <f>IFERROR(__xludf.DUMMYFUNCTION("""COMPUTED_VALUE"""),"I try to keep it to a minimum and only allow apps that are widely known and trusted.")</f>
        <v>I try to keep it to a minimum and only allow apps that are widely known and trusted.</v>
      </c>
      <c r="C182" s="3" t="s">
        <v>1602</v>
      </c>
      <c r="D182" s="3" t="s">
        <v>1615</v>
      </c>
      <c r="E182" s="12"/>
      <c r="F182" s="12"/>
      <c r="G182" s="12"/>
      <c r="H182" s="12"/>
      <c r="I182" s="12"/>
      <c r="J182" s="12"/>
    </row>
    <row r="183">
      <c r="A183">
        <f>IFERROR(__xludf.DUMMYFUNCTION("""COMPUTED_VALUE"""),262.0)</f>
        <v>262</v>
      </c>
      <c r="B183" s="12" t="str">
        <f>IFERROR(__xludf.DUMMYFUNCTION("""COMPUTED_VALUE"""),"I looked to see how easy it was to log in to the application and whether or not I wanted to share the information with FaceBook.")</f>
        <v>I looked to see how easy it was to log in to the application and whether or not I wanted to share the information with FaceBook.</v>
      </c>
      <c r="C183" s="3" t="s">
        <v>1620</v>
      </c>
      <c r="D183" s="3" t="s">
        <v>1621</v>
      </c>
      <c r="E183" s="3" t="s">
        <v>1598</v>
      </c>
      <c r="F183" s="12"/>
      <c r="G183" s="12"/>
      <c r="H183" s="12"/>
      <c r="I183" s="12"/>
      <c r="J183" s="12"/>
    </row>
    <row r="184">
      <c r="A184">
        <f>IFERROR(__xludf.DUMMYFUNCTION("""COMPUTED_VALUE"""),263.0)</f>
        <v>263</v>
      </c>
      <c r="B184" s="12" t="str">
        <f>IFERROR(__xludf.DUMMYFUNCTION("""COMPUTED_VALUE"""),"signing up through regular email and password")</f>
        <v>signing up through regular email and password</v>
      </c>
      <c r="C184" s="3" t="s">
        <v>1620</v>
      </c>
      <c r="D184" s="12"/>
      <c r="E184" s="12"/>
      <c r="F184" s="12"/>
      <c r="G184" s="12"/>
      <c r="H184" s="12"/>
      <c r="I184" s="12"/>
      <c r="J184" s="12"/>
    </row>
    <row r="185">
      <c r="A185">
        <f>IFERROR(__xludf.DUMMYFUNCTION("""COMPUTED_VALUE"""),264.0)</f>
        <v>264</v>
      </c>
      <c r="B185" s="12" t="str">
        <f>IFERROR(__xludf.DUMMYFUNCTION("""COMPUTED_VALUE"""),"how much faster it is than making an account")</f>
        <v>how much faster it is than making an account</v>
      </c>
      <c r="C185" s="3" t="s">
        <v>1598</v>
      </c>
      <c r="D185" s="12"/>
      <c r="E185" s="12"/>
      <c r="F185" s="12"/>
      <c r="G185" s="12"/>
      <c r="H185" s="12"/>
      <c r="I185" s="12"/>
      <c r="J185" s="12"/>
    </row>
    <row r="186">
      <c r="A186">
        <f>IFERROR(__xludf.DUMMYFUNCTION("""COMPUTED_VALUE"""),266.0)</f>
        <v>266</v>
      </c>
      <c r="B186" s="12" t="str">
        <f>IFERROR(__xludf.DUMMYFUNCTION("""COMPUTED_VALUE"""),"I considered creating an individual account, but figured it'd be easier to just log in with google.")</f>
        <v>I considered creating an individual account, but figured it'd be easier to just log in with google.</v>
      </c>
      <c r="C186" s="3" t="s">
        <v>1598</v>
      </c>
      <c r="D186" s="12"/>
      <c r="E186" s="12"/>
      <c r="F186" s="12"/>
      <c r="G186" s="12"/>
      <c r="H186" s="12"/>
      <c r="I186" s="12"/>
      <c r="J186" s="12"/>
    </row>
    <row r="187">
      <c r="A187">
        <f>IFERROR(__xludf.DUMMYFUNCTION("""COMPUTED_VALUE"""),268.0)</f>
        <v>268</v>
      </c>
      <c r="B187" s="12" t="str">
        <f>IFERROR(__xludf.DUMMYFUNCTION("""COMPUTED_VALUE"""),"If the app would know anything except my name")</f>
        <v>If the app would know anything except my name</v>
      </c>
      <c r="C187" s="3" t="s">
        <v>1605</v>
      </c>
      <c r="D187" s="3" t="s">
        <v>1622</v>
      </c>
      <c r="E187" s="12"/>
      <c r="F187" s="12"/>
      <c r="G187" s="12"/>
      <c r="H187" s="12"/>
      <c r="I187" s="12"/>
      <c r="J187" s="12"/>
    </row>
    <row r="188">
      <c r="A188">
        <f>IFERROR(__xludf.DUMMYFUNCTION("""COMPUTED_VALUE"""),270.0)</f>
        <v>270</v>
      </c>
      <c r="B188" s="12" t="str">
        <f>IFERROR(__xludf.DUMMYFUNCTION("""COMPUTED_VALUE"""),"If they will use my information")</f>
        <v>If they will use my information</v>
      </c>
      <c r="C188" s="3" t="s">
        <v>1605</v>
      </c>
      <c r="D188" s="3" t="s">
        <v>1606</v>
      </c>
      <c r="E188" s="12"/>
      <c r="F188" s="12"/>
      <c r="G188" s="12"/>
      <c r="H188" s="12"/>
      <c r="I188" s="12"/>
      <c r="J188" s="12"/>
    </row>
    <row r="189">
      <c r="A189">
        <f>IFERROR(__xludf.DUMMYFUNCTION("""COMPUTED_VALUE"""),271.0)</f>
        <v>271</v>
      </c>
      <c r="B189" s="12" t="str">
        <f>IFERROR(__xludf.DUMMYFUNCTION("""COMPUTED_VALUE"""),"If it was going to take longer doing it that way vs just typing in my information")</f>
        <v>If it was going to take longer doing it that way vs just typing in my information</v>
      </c>
      <c r="C189" s="3" t="s">
        <v>1598</v>
      </c>
      <c r="D189" s="12"/>
      <c r="E189" s="12"/>
      <c r="F189" s="12"/>
      <c r="G189" s="12"/>
      <c r="H189" s="12"/>
      <c r="I189" s="12"/>
      <c r="J189" s="12"/>
    </row>
    <row r="190">
      <c r="A190">
        <f>IFERROR(__xludf.DUMMYFUNCTION("""COMPUTED_VALUE"""),273.0)</f>
        <v>273</v>
      </c>
      <c r="B190" s="12" t="str">
        <f>IFERROR(__xludf.DUMMYFUNCTION("""COMPUTED_VALUE"""),"I didn't consider anything.")</f>
        <v>I didn't consider anything.</v>
      </c>
      <c r="C190" s="3" t="s">
        <v>1608</v>
      </c>
      <c r="D190" s="12"/>
      <c r="E190" s="12"/>
      <c r="F190" s="12"/>
      <c r="G190" s="12"/>
      <c r="H190" s="12"/>
      <c r="I190" s="12"/>
      <c r="J190" s="12"/>
    </row>
    <row r="191">
      <c r="A191">
        <f>IFERROR(__xludf.DUMMYFUNCTION("""COMPUTED_VALUE"""),275.0)</f>
        <v>275</v>
      </c>
      <c r="B191" s="12" t="str">
        <f>IFERROR(__xludf.DUMMYFUNCTION("""COMPUTED_VALUE"""),"If I always wanted to sign in with my google account in the future.")</f>
        <v>If I always wanted to sign in with my google account in the future.</v>
      </c>
      <c r="C191" s="3" t="s">
        <v>1614</v>
      </c>
      <c r="D191" s="12"/>
      <c r="E191" s="12"/>
      <c r="F191" s="12"/>
      <c r="G191" s="12"/>
      <c r="H191" s="12"/>
      <c r="I191" s="12"/>
      <c r="J191" s="12"/>
    </row>
    <row r="192">
      <c r="A192">
        <f>IFERROR(__xludf.DUMMYFUNCTION("""COMPUTED_VALUE"""),276.0)</f>
        <v>276</v>
      </c>
      <c r="B192" s="12" t="str">
        <f>IFERROR(__xludf.DUMMYFUNCTION("""COMPUTED_VALUE"""),"resetting my password")</f>
        <v>resetting my password</v>
      </c>
      <c r="C192" s="3" t="s">
        <v>1614</v>
      </c>
      <c r="D192" s="12"/>
      <c r="E192" s="12"/>
      <c r="F192" s="12"/>
      <c r="G192" s="12"/>
      <c r="H192" s="12"/>
      <c r="I192" s="12"/>
      <c r="J192" s="12"/>
    </row>
    <row r="193">
      <c r="A193">
        <f>IFERROR(__xludf.DUMMYFUNCTION("""COMPUTED_VALUE"""),277.0)</f>
        <v>277</v>
      </c>
      <c r="B193" s="12" t="str">
        <f>IFERROR(__xludf.DUMMYFUNCTION("""COMPUTED_VALUE"""),"I considered whether or not the process would be easier than creating a new account. I also thought about what info from my Google account it may have access to.")</f>
        <v>I considered whether or not the process would be easier than creating a new account. I also thought about what info from my Google account it may have access to.</v>
      </c>
      <c r="C193" s="3" t="s">
        <v>1598</v>
      </c>
      <c r="D193" s="3" t="s">
        <v>1622</v>
      </c>
      <c r="E193" s="12"/>
      <c r="F193" s="12"/>
      <c r="G193" s="12"/>
      <c r="H193" s="12"/>
      <c r="I193" s="12"/>
      <c r="J193" s="12"/>
    </row>
    <row r="194">
      <c r="A194">
        <f>IFERROR(__xludf.DUMMYFUNCTION("""COMPUTED_VALUE"""),278.0)</f>
        <v>278</v>
      </c>
      <c r="B194" s="12" t="str">
        <f>IFERROR(__xludf.DUMMYFUNCTION("""COMPUTED_VALUE"""),"If I already had an account")</f>
        <v>If I already had an account</v>
      </c>
      <c r="C194" s="3" t="s">
        <v>1614</v>
      </c>
      <c r="D194" s="12"/>
      <c r="E194" s="12"/>
      <c r="F194" s="12"/>
      <c r="G194" s="12"/>
      <c r="H194" s="12"/>
      <c r="I194" s="12"/>
      <c r="J194" s="12"/>
    </row>
    <row r="195">
      <c r="A195">
        <f>IFERROR(__xludf.DUMMYFUNCTION("""COMPUTED_VALUE"""),279.0)</f>
        <v>279</v>
      </c>
      <c r="B195" s="12" t="str">
        <f>IFERROR(__xludf.DUMMYFUNCTION("""COMPUTED_VALUE"""),"Privacy concerns-- what info the company would get from my gmail account")</f>
        <v>Privacy concerns-- what info the company would get from my gmail account</v>
      </c>
      <c r="C195" s="3" t="s">
        <v>1605</v>
      </c>
      <c r="D195" s="3" t="s">
        <v>1622</v>
      </c>
      <c r="E195" s="12"/>
      <c r="F195" s="12"/>
      <c r="G195" s="12"/>
      <c r="H195" s="12"/>
      <c r="I195" s="12"/>
      <c r="J195" s="12"/>
    </row>
    <row r="196">
      <c r="A196">
        <f>IFERROR(__xludf.DUMMYFUNCTION("""COMPUTED_VALUE"""),284.0)</f>
        <v>284</v>
      </c>
      <c r="B196" s="12" t="str">
        <f>IFERROR(__xludf.DUMMYFUNCTION("""COMPUTED_VALUE"""),"Nothing")</f>
        <v>Nothing</v>
      </c>
      <c r="C196" s="3" t="s">
        <v>1608</v>
      </c>
      <c r="D196" s="12"/>
      <c r="E196" s="12"/>
      <c r="F196" s="12"/>
      <c r="G196" s="12"/>
      <c r="H196" s="12"/>
      <c r="I196" s="12"/>
      <c r="J196" s="12"/>
    </row>
    <row r="197">
      <c r="A197">
        <f>IFERROR(__xludf.DUMMYFUNCTION("""COMPUTED_VALUE"""),285.0)</f>
        <v>285</v>
      </c>
      <c r="B197" s="12" t="str">
        <f>IFERROR(__xludf.DUMMYFUNCTION("""COMPUTED_VALUE"""),"If it was worth using my account")</f>
        <v>If it was worth using my account</v>
      </c>
      <c r="C197" s="3" t="s">
        <v>1610</v>
      </c>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t="str">
        <f>IFERROR(__xludf.DUMMYFUNCTION("""COMPUTED_VALUE"""),"I pause for a second to make sure the site doesn't seem sketchy or fraudulent")</f>
        <v>I pause for a second to make sure the site doesn't seem sketchy or fraudulent</v>
      </c>
      <c r="C199" s="3" t="s">
        <v>1602</v>
      </c>
      <c r="D199" s="3" t="s">
        <v>1603</v>
      </c>
      <c r="E199" s="12"/>
      <c r="F199" s="12"/>
      <c r="G199" s="12"/>
      <c r="H199" s="12"/>
      <c r="I199" s="12"/>
      <c r="J199" s="12"/>
    </row>
    <row r="200">
      <c r="A200">
        <f>IFERROR(__xludf.DUMMYFUNCTION("""COMPUTED_VALUE"""),291.0)</f>
        <v>291</v>
      </c>
      <c r="B200" s="12" t="str">
        <f>IFERROR(__xludf.DUMMYFUNCTION("""COMPUTED_VALUE"""),"WHether my info would be shared.")</f>
        <v>WHether my info would be shared.</v>
      </c>
      <c r="C200" s="20" t="s">
        <v>1605</v>
      </c>
      <c r="D200" s="3" t="s">
        <v>1622</v>
      </c>
      <c r="E200" s="12"/>
      <c r="F200" s="12"/>
      <c r="G200" s="12"/>
      <c r="H200" s="12"/>
      <c r="I200" s="12"/>
      <c r="J200" s="12"/>
    </row>
    <row r="201">
      <c r="A201">
        <f>IFERROR(__xludf.DUMMYFUNCTION("""COMPUTED_VALUE"""),292.0)</f>
        <v>292</v>
      </c>
      <c r="B201" s="12" t="str">
        <f>IFERROR(__xludf.DUMMYFUNCTION("""COMPUTED_VALUE"""),"Who I wanted to have my data")</f>
        <v>Who I wanted to have my data</v>
      </c>
      <c r="C201" s="20" t="s">
        <v>1605</v>
      </c>
      <c r="D201" s="3" t="s">
        <v>1622</v>
      </c>
      <c r="E201" s="12"/>
      <c r="F201" s="12"/>
      <c r="G201" s="12"/>
      <c r="H201" s="12"/>
      <c r="I201" s="12"/>
      <c r="J201" s="12"/>
    </row>
    <row r="202">
      <c r="A202">
        <f>IFERROR(__xludf.DUMMYFUNCTION("""COMPUTED_VALUE"""),295.0)</f>
        <v>295</v>
      </c>
      <c r="B202" s="12" t="str">
        <f>IFERROR(__xludf.DUMMYFUNCTION("""COMPUTED_VALUE"""),"Whether my Google data would be available to them.")</f>
        <v>Whether my Google data would be available to them.</v>
      </c>
      <c r="C202" s="20" t="s">
        <v>1605</v>
      </c>
      <c r="D202" s="3" t="s">
        <v>1622</v>
      </c>
      <c r="E202" s="12"/>
      <c r="F202" s="12"/>
      <c r="G202" s="12"/>
      <c r="H202" s="12"/>
      <c r="I202" s="12"/>
      <c r="J202" s="12"/>
    </row>
    <row r="203">
      <c r="A203">
        <f>IFERROR(__xludf.DUMMYFUNCTION("""COMPUTED_VALUE"""),296.0)</f>
        <v>296</v>
      </c>
      <c r="B203" s="12" t="str">
        <f>IFERROR(__xludf.DUMMYFUNCTION("""COMPUTED_VALUE"""),"I considered entering my password, but I don't think I remember it so I just signed in using my connected google account.")</f>
        <v>I considered entering my password, but I don't think I remember it so I just signed in using my connected google account.</v>
      </c>
      <c r="C203" s="20" t="s">
        <v>1614</v>
      </c>
      <c r="D203" s="3"/>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t="str">
        <f>IFERROR(__xludf.DUMMYFUNCTION("""COMPUTED_VALUE"""),"I considered the convenience of using this account across multiple devices, whether I would want to create a unique password for this service (I would not use Google and create a unique password if the account was sensitive/involved my finances), and ease"&amp;" of subsequent logins.")</f>
        <v>I considered the convenience of using this account across multiple devices, whether I would want to create a unique password for this service (I would not use Google and create a unique password if the account was sensitive/involved my finances), and ease of subsequent logins.</v>
      </c>
      <c r="C205" s="3" t="s">
        <v>1598</v>
      </c>
      <c r="D205" s="3" t="s">
        <v>65</v>
      </c>
      <c r="E205" s="12"/>
      <c r="F205" s="12"/>
      <c r="G205" s="12"/>
      <c r="H205" s="12"/>
      <c r="I205" s="12"/>
      <c r="J205" s="12"/>
    </row>
    <row r="206">
      <c r="A206">
        <f>IFERROR(__xludf.DUMMYFUNCTION("""COMPUTED_VALUE"""),299.0)</f>
        <v>299</v>
      </c>
      <c r="B206" s="12" t="str">
        <f>IFERROR(__xludf.DUMMYFUNCTION("""COMPUTED_VALUE"""),"How much spam I may or may not receive is the biggest concern when connecting my gmail account to websites and services. Also, convenience.")</f>
        <v>How much spam I may or may not receive is the biggest concern when connecting my gmail account to websites and services. Also, convenience.</v>
      </c>
      <c r="C206" s="3" t="s">
        <v>1598</v>
      </c>
      <c r="D206" s="3" t="s">
        <v>1605</v>
      </c>
      <c r="E206" s="3" t="s">
        <v>1639</v>
      </c>
      <c r="F206" s="12"/>
      <c r="G206" s="12"/>
      <c r="H206" s="12"/>
      <c r="I206" s="12"/>
      <c r="J206" s="12"/>
    </row>
    <row r="207">
      <c r="A207">
        <f>IFERROR(__xludf.DUMMYFUNCTION("""COMPUTED_VALUE"""),300.0)</f>
        <v>300</v>
      </c>
      <c r="B207" s="12" t="str">
        <f>IFERROR(__xludf.DUMMYFUNCTION("""COMPUTED_VALUE"""),"That it would be easier than coming up with a new password or to remember what that password was in the future.")</f>
        <v>That it would be easier than coming up with a new password or to remember what that password was in the future.</v>
      </c>
      <c r="C207" s="3" t="s">
        <v>1598</v>
      </c>
      <c r="D207" s="3" t="s">
        <v>1614</v>
      </c>
      <c r="E207" s="12"/>
      <c r="F207" s="12"/>
      <c r="G207" s="12"/>
      <c r="H207" s="12"/>
      <c r="I207" s="12"/>
      <c r="J207" s="12"/>
    </row>
    <row r="208">
      <c r="A208">
        <f>IFERROR(__xludf.DUMMYFUNCTION("""COMPUTED_VALUE"""),301.0)</f>
        <v>301</v>
      </c>
      <c r="B208" s="12" t="str">
        <f>IFERROR(__xludf.DUMMYFUNCTION("""COMPUTED_VALUE"""),"privacy")</f>
        <v>privacy</v>
      </c>
      <c r="C208" s="3" t="s">
        <v>384</v>
      </c>
      <c r="D208" s="12"/>
      <c r="E208" s="12"/>
      <c r="F208" s="12"/>
      <c r="G208" s="12"/>
      <c r="H208" s="12"/>
      <c r="I208" s="12"/>
      <c r="J208" s="12"/>
    </row>
    <row r="209">
      <c r="A209">
        <f>IFERROR(__xludf.DUMMYFUNCTION("""COMPUTED_VALUE"""),302.0)</f>
        <v>302</v>
      </c>
      <c r="B209" s="12" t="str">
        <f>IFERROR(__xludf.DUMMYFUNCTION("""COMPUTED_VALUE"""),"I thought about how prolific the website was, and if it would be trustworthy. I also though about the hassle of creating a new account versus just signing up with my existing Google Account.")</f>
        <v>I thought about how prolific the website was, and if it would be trustworthy. I also though about the hassle of creating a new account versus just signing up with my existing Google Account.</v>
      </c>
      <c r="C209" s="3" t="s">
        <v>1602</v>
      </c>
      <c r="D209" s="3" t="s">
        <v>1603</v>
      </c>
      <c r="E209" s="3" t="s">
        <v>1598</v>
      </c>
      <c r="F209" s="3" t="s">
        <v>1613</v>
      </c>
      <c r="G209" s="12"/>
      <c r="H209" s="12"/>
      <c r="I209" s="12"/>
      <c r="J209" s="12"/>
    </row>
    <row r="210">
      <c r="A210">
        <f>IFERROR(__xludf.DUMMYFUNCTION("""COMPUTED_VALUE"""),303.0)</f>
        <v>303</v>
      </c>
      <c r="B210" s="12" t="str">
        <f>IFERROR(__xludf.DUMMYFUNCTION("""COMPUTED_VALUE"""),"I considered whether it was connected to ESPN or not.")</f>
        <v>I considered whether it was connected to ESPN or not.</v>
      </c>
      <c r="C210" s="3" t="s">
        <v>1605</v>
      </c>
      <c r="D210" s="12"/>
      <c r="E210" s="12"/>
      <c r="F210" s="12"/>
      <c r="G210" s="12"/>
      <c r="H210" s="12"/>
      <c r="I210" s="12"/>
      <c r="J210" s="12"/>
    </row>
    <row r="211">
      <c r="A211">
        <f>IFERROR(__xludf.DUMMYFUNCTION("""COMPUTED_VALUE"""),305.0)</f>
        <v>305</v>
      </c>
      <c r="B211" s="12" t="str">
        <f>IFERROR(__xludf.DUMMYFUNCTION("""COMPUTED_VALUE"""),"It's how I made the account, so my gmail address is linked to the account.")</f>
        <v>It's how I made the account, so my gmail address is linked to the account.</v>
      </c>
      <c r="C211" s="3" t="s">
        <v>1627</v>
      </c>
      <c r="D211" s="12"/>
      <c r="E211" s="12"/>
      <c r="F211" s="12"/>
      <c r="G211" s="12"/>
      <c r="H211" s="12"/>
      <c r="I211" s="12"/>
      <c r="J211" s="12"/>
    </row>
    <row r="212">
      <c r="A212">
        <f>IFERROR(__xludf.DUMMYFUNCTION("""COMPUTED_VALUE"""),306.0)</f>
        <v>306</v>
      </c>
      <c r="B212" s="12" t="str">
        <f>IFERROR(__xludf.DUMMYFUNCTION("""COMPUTED_VALUE"""),"I considered whether I would get spam email from the website")</f>
        <v>I considered whether I would get spam email from the website</v>
      </c>
      <c r="C212" s="3" t="s">
        <v>1605</v>
      </c>
      <c r="D212" s="3" t="s">
        <v>1639</v>
      </c>
      <c r="E212" s="12"/>
      <c r="F212" s="12"/>
      <c r="G212" s="12"/>
      <c r="H212" s="12"/>
      <c r="I212" s="12"/>
      <c r="J212" s="12"/>
    </row>
    <row r="213">
      <c r="A213">
        <f>IFERROR(__xludf.DUMMYFUNCTION("""COMPUTED_VALUE"""),307.0)</f>
        <v>307</v>
      </c>
      <c r="B213" s="12" t="str">
        <f>IFERROR(__xludf.DUMMYFUNCTION("""COMPUTED_VALUE"""),"Whether the website was secure")</f>
        <v>Whether the website was secure</v>
      </c>
      <c r="C213" s="3" t="s">
        <v>65</v>
      </c>
      <c r="D213" s="3" t="s">
        <v>1602</v>
      </c>
      <c r="E213" s="3" t="s">
        <v>1603</v>
      </c>
      <c r="F213" s="12"/>
      <c r="G213" s="12"/>
      <c r="H213" s="12"/>
      <c r="I213" s="12"/>
      <c r="J213" s="12"/>
    </row>
    <row r="214">
      <c r="A214">
        <f>IFERROR(__xludf.DUMMYFUNCTION("""COMPUTED_VALUE"""),308.0)</f>
        <v>308</v>
      </c>
      <c r="B214" s="12" t="str">
        <f>IFERROR(__xludf.DUMMYFUNCTION("""COMPUTED_VALUE"""),"ease of continued login")</f>
        <v>ease of continued login</v>
      </c>
      <c r="C214" s="3" t="s">
        <v>1598</v>
      </c>
      <c r="D214" s="12"/>
      <c r="E214" s="12"/>
      <c r="F214" s="12"/>
      <c r="G214" s="12"/>
      <c r="H214" s="12"/>
      <c r="I214" s="12"/>
      <c r="J214" s="12"/>
    </row>
    <row r="215">
      <c r="A215">
        <f>IFERROR(__xludf.DUMMYFUNCTION("""COMPUTED_VALUE"""),309.0)</f>
        <v>309</v>
      </c>
      <c r="B215" s="12" t="str">
        <f>IFERROR(__xludf.DUMMYFUNCTION("""COMPUTED_VALUE"""),"Should I just make an account with email instead?")</f>
        <v>Should I just make an account with email instead?</v>
      </c>
      <c r="C215" s="3" t="s">
        <v>1620</v>
      </c>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t="str">
        <f>IFERROR(__xludf.DUMMYFUNCTION("""COMPUTED_VALUE"""),"what info they would have access to")</f>
        <v>what info they would have access to</v>
      </c>
      <c r="C217" s="3" t="s">
        <v>1605</v>
      </c>
      <c r="D217" s="3" t="s">
        <v>1622</v>
      </c>
      <c r="E217" s="12"/>
      <c r="F217" s="12"/>
      <c r="G217" s="12"/>
      <c r="H217" s="12"/>
      <c r="I217" s="12"/>
      <c r="J217" s="12"/>
    </row>
    <row r="218">
      <c r="A218">
        <f>IFERROR(__xludf.DUMMYFUNCTION("""COMPUTED_VALUE"""),312.0)</f>
        <v>312</v>
      </c>
      <c r="B218" s="12" t="str">
        <f>IFERROR(__xludf.DUMMYFUNCTION("""COMPUTED_VALUE"""),"If I had to make an account for that site or not")</f>
        <v>If I had to make an account for that site or not</v>
      </c>
      <c r="C218" s="3" t="s">
        <v>1627</v>
      </c>
      <c r="D218" s="12"/>
      <c r="E218" s="12"/>
      <c r="F218" s="12"/>
      <c r="G218" s="12"/>
      <c r="H218" s="12"/>
      <c r="I218" s="12"/>
      <c r="J218" s="12"/>
    </row>
    <row r="219">
      <c r="A219">
        <f>IFERROR(__xludf.DUMMYFUNCTION("""COMPUTED_VALUE"""),313.0)</f>
        <v>313</v>
      </c>
      <c r="B219" s="12" t="str">
        <f>IFERROR(__xludf.DUMMYFUNCTION("""COMPUTED_VALUE"""),"What personal information would be released by doing so.")</f>
        <v>What personal information would be released by doing so.</v>
      </c>
      <c r="C219" s="3" t="s">
        <v>1605</v>
      </c>
      <c r="D219" s="3" t="s">
        <v>1622</v>
      </c>
      <c r="E219" s="3" t="s">
        <v>384</v>
      </c>
      <c r="F219" s="12"/>
      <c r="G219" s="12"/>
      <c r="H219" s="12"/>
      <c r="I219" s="12"/>
      <c r="J219" s="12"/>
    </row>
    <row r="220">
      <c r="A220">
        <f>IFERROR(__xludf.DUMMYFUNCTION("""COMPUTED_VALUE"""),314.0)</f>
        <v>314</v>
      </c>
      <c r="B220" s="12" t="str">
        <f>IFERROR(__xludf.DUMMYFUNCTION("""COMPUTED_VALUE"""),"Facebook")</f>
        <v>Facebook</v>
      </c>
      <c r="C220" s="3" t="s">
        <v>1620</v>
      </c>
      <c r="D220" s="3" t="s">
        <v>1621</v>
      </c>
      <c r="E220" s="12"/>
      <c r="F220" s="12"/>
      <c r="G220" s="12"/>
      <c r="H220" s="12"/>
      <c r="I220" s="12"/>
      <c r="J220" s="12"/>
    </row>
    <row r="221">
      <c r="A221">
        <f>IFERROR(__xludf.DUMMYFUNCTION("""COMPUTED_VALUE"""),315.0)</f>
        <v>315</v>
      </c>
      <c r="B221" s="12" t="str">
        <f>IFERROR(__xludf.DUMMYFUNCTION("""COMPUTED_VALUE"""),"I just clicked the ""sign-in with Google"" button and then selected which Gmail account I wanted to link to the app I was using.")</f>
        <v>I just clicked the "sign-in with Google" button and then selected which Gmail account I wanted to link to the app I was using.</v>
      </c>
      <c r="C221" s="3" t="s">
        <v>1598</v>
      </c>
      <c r="D221" s="12"/>
      <c r="E221" s="12"/>
      <c r="F221" s="12"/>
      <c r="G221" s="12"/>
      <c r="H221" s="12"/>
      <c r="I221" s="12"/>
      <c r="J221" s="12"/>
    </row>
    <row r="222">
      <c r="A222">
        <f>IFERROR(__xludf.DUMMYFUNCTION("""COMPUTED_VALUE"""),317.0)</f>
        <v>317</v>
      </c>
      <c r="B222" s="12" t="str">
        <f>IFERROR(__xludf.DUMMYFUNCTION("""COMPUTED_VALUE"""),"I considered ease of remembering sign-on info and ease of registering")</f>
        <v>I considered ease of remembering sign-on info and ease of registering</v>
      </c>
      <c r="C222" s="3" t="s">
        <v>1598</v>
      </c>
      <c r="D222" s="3" t="s">
        <v>1614</v>
      </c>
      <c r="E222" s="12"/>
      <c r="F222" s="12"/>
      <c r="G222" s="12"/>
      <c r="H222" s="12"/>
      <c r="I222" s="12"/>
      <c r="J222" s="12"/>
    </row>
    <row r="223">
      <c r="A223">
        <f>IFERROR(__xludf.DUMMYFUNCTION("""COMPUTED_VALUE"""),318.0)</f>
        <v>318</v>
      </c>
      <c r="B223" s="12" t="str">
        <f>IFERROR(__xludf.DUMMYFUNCTION("""COMPUTED_VALUE"""),"If my information will be automatically synced to their servers then I will be added to a mailing list.")</f>
        <v>If my information will be automatically synced to their servers then I will be added to a mailing list.</v>
      </c>
      <c r="C223" s="3" t="s">
        <v>1605</v>
      </c>
      <c r="D223" s="3" t="s">
        <v>1639</v>
      </c>
      <c r="E223" s="3" t="s">
        <v>1606</v>
      </c>
      <c r="F223" s="12"/>
      <c r="G223" s="12"/>
      <c r="H223" s="12"/>
      <c r="I223" s="12"/>
      <c r="J223" s="12"/>
    </row>
    <row r="224">
      <c r="A224">
        <f>IFERROR(__xludf.DUMMYFUNCTION("""COMPUTED_VALUE"""),319.0)</f>
        <v>319</v>
      </c>
      <c r="B224" s="12" t="str">
        <f>IFERROR(__xludf.DUMMYFUNCTION("""COMPUTED_VALUE"""),"Mostly private data and concerns regarding hacking")</f>
        <v>Mostly private data and concerns regarding hacking</v>
      </c>
      <c r="C224" s="3" t="s">
        <v>65</v>
      </c>
      <c r="D224" s="3" t="s">
        <v>384</v>
      </c>
      <c r="E224" s="12"/>
      <c r="F224" s="12"/>
      <c r="G224" s="12"/>
      <c r="H224" s="12"/>
      <c r="I224" s="12"/>
      <c r="J224" s="12"/>
    </row>
    <row r="225">
      <c r="A225">
        <f>IFERROR(__xludf.DUMMYFUNCTION("""COMPUTED_VALUE"""),321.0)</f>
        <v>321</v>
      </c>
      <c r="B225" s="12" t="str">
        <f>IFERROR(__xludf.DUMMYFUNCTION("""COMPUTED_VALUE"""),"Nothing")</f>
        <v>Nothing</v>
      </c>
      <c r="C225" s="3" t="s">
        <v>1608</v>
      </c>
      <c r="D225" s="12"/>
      <c r="E225" s="12"/>
      <c r="F225" s="12"/>
      <c r="G225" s="12"/>
      <c r="H225" s="12"/>
      <c r="I225" s="12"/>
      <c r="J225" s="12"/>
    </row>
    <row r="226">
      <c r="A226">
        <f>IFERROR(__xludf.DUMMYFUNCTION("""COMPUTED_VALUE"""),322.0)</f>
        <v>322</v>
      </c>
      <c r="B226" s="12" t="str">
        <f>IFERROR(__xludf.DUMMYFUNCTION("""COMPUTED_VALUE"""),"I didn't consider anything in particular. I was simply logging in after having to switch my browser.")</f>
        <v>I didn't consider anything in particular. I was simply logging in after having to switch my browser.</v>
      </c>
      <c r="C226" s="3" t="s">
        <v>1608</v>
      </c>
      <c r="D226" s="12"/>
      <c r="E226" s="12"/>
      <c r="F226" s="12"/>
      <c r="G226" s="12"/>
      <c r="H226" s="12"/>
      <c r="I226" s="12"/>
      <c r="J226" s="12"/>
    </row>
    <row r="227">
      <c r="A227">
        <f>IFERROR(__xludf.DUMMYFUNCTION("""COMPUTED_VALUE"""),323.0)</f>
        <v>323</v>
      </c>
      <c r="B227" s="12" t="str">
        <f>IFERROR(__xludf.DUMMYFUNCTION("""COMPUTED_VALUE"""),"I considered the effort it would take to make a whole new account.")</f>
        <v>I considered the effort it would take to make a whole new account.</v>
      </c>
      <c r="C227" s="3" t="s">
        <v>1613</v>
      </c>
      <c r="D227" s="3" t="s">
        <v>1598</v>
      </c>
      <c r="E227" s="12"/>
      <c r="F227" s="12"/>
      <c r="G227" s="12"/>
      <c r="H227" s="12"/>
      <c r="I227" s="12"/>
      <c r="J227" s="12"/>
    </row>
    <row r="228">
      <c r="A228">
        <f>IFERROR(__xludf.DUMMYFUNCTION("""COMPUTED_VALUE"""),325.0)</f>
        <v>325</v>
      </c>
      <c r="B228" s="12" t="str">
        <f>IFERROR(__xludf.DUMMYFUNCTION("""COMPUTED_VALUE"""),"Nothing really. I've used my Google account for this for a long time and have had no issues.")</f>
        <v>Nothing really. I've used my Google account for this for a long time and have had no issues.</v>
      </c>
      <c r="C228" s="3" t="s">
        <v>1608</v>
      </c>
      <c r="D228" s="3" t="s">
        <v>1602</v>
      </c>
      <c r="E228" s="3" t="s">
        <v>1635</v>
      </c>
      <c r="F228" s="12"/>
      <c r="G228" s="12"/>
      <c r="H228" s="12"/>
      <c r="I228" s="12"/>
      <c r="J228" s="12"/>
    </row>
    <row r="229">
      <c r="A229">
        <f>IFERROR(__xludf.DUMMYFUNCTION("""COMPUTED_VALUE"""),326.0)</f>
        <v>326</v>
      </c>
      <c r="B229" s="12" t="str">
        <f>IFERROR(__xludf.DUMMYFUNCTION("""COMPUTED_VALUE"""),"Whether I should use my google account, or just create a new account for the site I was trying to use.")</f>
        <v>Whether I should use my google account, or just create a new account for the site I was trying to use.</v>
      </c>
      <c r="C229" s="3" t="s">
        <v>1620</v>
      </c>
      <c r="D229" s="12"/>
      <c r="E229" s="12"/>
      <c r="F229" s="12"/>
      <c r="G229" s="12"/>
      <c r="H229" s="12"/>
      <c r="I229" s="12"/>
      <c r="J229" s="12"/>
    </row>
    <row r="230">
      <c r="A230">
        <f>IFERROR(__xludf.DUMMYFUNCTION("""COMPUTED_VALUE"""),327.0)</f>
        <v>327</v>
      </c>
      <c r="B230" s="12" t="str">
        <f>IFERROR(__xludf.DUMMYFUNCTION("""COMPUTED_VALUE"""),"I had some privacy concerns when signing in using my Google Account.")</f>
        <v>I had some privacy concerns when signing in using my Google Account.</v>
      </c>
      <c r="C230" s="3" t="s">
        <v>384</v>
      </c>
      <c r="D230" s="12"/>
      <c r="E230" s="12"/>
      <c r="F230" s="12"/>
      <c r="G230" s="12"/>
      <c r="H230" s="12"/>
      <c r="I230" s="12"/>
      <c r="J230" s="12"/>
    </row>
    <row r="231">
      <c r="A231">
        <f>IFERROR(__xludf.DUMMYFUNCTION("""COMPUTED_VALUE"""),328.0)</f>
        <v>328</v>
      </c>
      <c r="B231" s="12" t="str">
        <f>IFERROR(__xludf.DUMMYFUNCTION("""COMPUTED_VALUE"""),"If it was more convenient to have a separate account for the service rather than just using Google to get an account quickly.")</f>
        <v>If it was more convenient to have a separate account for the service rather than just using Google to get an account quickly.</v>
      </c>
      <c r="C231" s="3" t="s">
        <v>1598</v>
      </c>
      <c r="D231" s="12"/>
      <c r="E231" s="12"/>
      <c r="F231" s="12"/>
      <c r="G231" s="12"/>
      <c r="H231" s="12"/>
      <c r="I231" s="12"/>
      <c r="J231" s="12"/>
    </row>
    <row r="232">
      <c r="A232">
        <f>IFERROR(__xludf.DUMMYFUNCTION("""COMPUTED_VALUE"""),329.0)</f>
        <v>329</v>
      </c>
      <c r="B232" s="12" t="str">
        <f>IFERROR(__xludf.DUMMYFUNCTION("""COMPUTED_VALUE"""),"Usage of my name/profile picture")</f>
        <v>Usage of my name/profile picture</v>
      </c>
      <c r="C232" s="3" t="s">
        <v>1605</v>
      </c>
      <c r="D232" s="3" t="s">
        <v>1606</v>
      </c>
      <c r="E232" s="3" t="s">
        <v>384</v>
      </c>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t="str">
        <f>IFERROR(__xludf.DUMMYFUNCTION("""COMPUTED_VALUE"""),"Whether I had a google authenticated account or a normal login with my gmail address and would it distinguish a difference.")</f>
        <v>Whether I had a google authenticated account or a normal login with my gmail address and would it distinguish a difference.</v>
      </c>
      <c r="C234" s="3" t="s">
        <v>1620</v>
      </c>
      <c r="D234" s="12"/>
      <c r="E234" s="12"/>
      <c r="F234" s="12"/>
      <c r="G234" s="12"/>
      <c r="H234" s="12"/>
      <c r="I234" s="12"/>
      <c r="J234" s="12"/>
    </row>
    <row r="235">
      <c r="A235">
        <f>IFERROR(__xludf.DUMMYFUNCTION("""COMPUTED_VALUE"""),332.0)</f>
        <v>332</v>
      </c>
      <c r="B235" s="12" t="str">
        <f>IFERROR(__xludf.DUMMYFUNCTION("""COMPUTED_VALUE"""),"Whether I trusted the third-party app or service to keep my information safe, and if I wanted Google to know that I was using that third-party app.")</f>
        <v>Whether I trusted the third-party app or service to keep my information safe, and if I wanted Google to know that I was using that third-party app.</v>
      </c>
      <c r="C235" s="3" t="s">
        <v>1602</v>
      </c>
      <c r="D235" s="3" t="s">
        <v>1615</v>
      </c>
      <c r="E235" s="3" t="s">
        <v>384</v>
      </c>
      <c r="F235" s="12"/>
      <c r="G235" s="12"/>
      <c r="H235" s="12"/>
      <c r="I235" s="12"/>
      <c r="J235" s="12"/>
    </row>
    <row r="236">
      <c r="A236">
        <f>IFERROR(__xludf.DUMMYFUNCTION("""COMPUTED_VALUE"""),333.0)</f>
        <v>333</v>
      </c>
      <c r="B236" s="12" t="str">
        <f>IFERROR(__xludf.DUMMYFUNCTION("""COMPUTED_VALUE"""),"I consider whether I want that site or app to have access to my google data.")</f>
        <v>I consider whether I want that site or app to have access to my google data.</v>
      </c>
      <c r="C236" s="3" t="s">
        <v>1605</v>
      </c>
      <c r="D236" s="3" t="s">
        <v>1622</v>
      </c>
      <c r="E236" s="3" t="s">
        <v>1602</v>
      </c>
      <c r="F236" s="3"/>
      <c r="G236" s="12"/>
      <c r="H236" s="12"/>
      <c r="I236" s="12"/>
      <c r="J236" s="12"/>
    </row>
    <row r="237">
      <c r="A237">
        <f>IFERROR(__xludf.DUMMYFUNCTION("""COMPUTED_VALUE"""),335.0)</f>
        <v>335</v>
      </c>
      <c r="B237" s="12" t="str">
        <f>IFERROR(__xludf.DUMMYFUNCTION("""COMPUTED_VALUE"""),"Whether I could trust the app")</f>
        <v>Whether I could trust the app</v>
      </c>
      <c r="C237" s="3" t="s">
        <v>1602</v>
      </c>
      <c r="D237" s="3" t="s">
        <v>1615</v>
      </c>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t="str">
        <f>IFERROR(__xludf.DUMMYFUNCTION("""COMPUTED_VALUE"""),"I feel a little weird about them linking stuff to my google account, and wonder how much info they have. But then I am like... ehh, but it's so easy, and just try not to think about it.")</f>
        <v>I feel a little weird about them linking stuff to my google account, and wonder how much info they have. But then I am like... ehh, but it's so easy, and just try not to think about it.</v>
      </c>
      <c r="C239" s="3" t="s">
        <v>1605</v>
      </c>
      <c r="D239" s="3" t="s">
        <v>1622</v>
      </c>
      <c r="E239" s="3" t="s">
        <v>1598</v>
      </c>
      <c r="F239" s="12"/>
      <c r="G239" s="12"/>
      <c r="H239" s="12"/>
      <c r="I239" s="12"/>
      <c r="J239" s="12"/>
    </row>
    <row r="240">
      <c r="A240">
        <f>IFERROR(__xludf.DUMMYFUNCTION("""COMPUTED_VALUE"""),338.0)</f>
        <v>338</v>
      </c>
      <c r="B240" s="12" t="str">
        <f>IFERROR(__xludf.DUMMYFUNCTION("""COMPUTED_VALUE"""),"I considered if I already had an account at ASOS and if I remembered a specific password, usually it is easier to log in using my google account.")</f>
        <v>I considered if I already had an account at ASOS and if I remembered a specific password, usually it is easier to log in using my google account.</v>
      </c>
      <c r="C240" s="3" t="s">
        <v>1614</v>
      </c>
      <c r="D240" s="3" t="s">
        <v>1598</v>
      </c>
      <c r="E240" s="12"/>
      <c r="F240" s="12"/>
      <c r="G240" s="12"/>
      <c r="H240" s="12"/>
      <c r="I240" s="12"/>
      <c r="J240" s="12"/>
    </row>
    <row r="241">
      <c r="A241">
        <f>IFERROR(__xludf.DUMMYFUNCTION("""COMPUTED_VALUE"""),339.0)</f>
        <v>339</v>
      </c>
      <c r="B241" s="12" t="str">
        <f>IFERROR(__xludf.DUMMYFUNCTION("""COMPUTED_VALUE"""),"I considered how much easier it is to sign in through my google account")</f>
        <v>I considered how much easier it is to sign in through my google account</v>
      </c>
      <c r="C241" s="3" t="s">
        <v>1598</v>
      </c>
      <c r="D241" s="12"/>
      <c r="E241" s="12"/>
      <c r="F241" s="12"/>
      <c r="G241" s="12"/>
      <c r="H241" s="12"/>
      <c r="I241" s="12"/>
      <c r="J241" s="12"/>
    </row>
    <row r="242">
      <c r="A242">
        <f>IFERROR(__xludf.DUMMYFUNCTION("""COMPUTED_VALUE"""),340.0)</f>
        <v>340</v>
      </c>
      <c r="B242" s="12" t="str">
        <f>IFERROR(__xludf.DUMMYFUNCTION("""COMPUTED_VALUE"""),"If it was worth making an account not using the email to sign in.")</f>
        <v>If it was worth making an account not using the email to sign in.</v>
      </c>
      <c r="C242" s="3" t="s">
        <v>1598</v>
      </c>
      <c r="D242" s="12"/>
      <c r="E242" s="12"/>
      <c r="F242" s="12"/>
      <c r="G242" s="12"/>
      <c r="H242" s="12"/>
      <c r="I242" s="12"/>
      <c r="J242" s="12"/>
    </row>
    <row r="243">
      <c r="A243">
        <f>IFERROR(__xludf.DUMMYFUNCTION("""COMPUTED_VALUE"""),341.0)</f>
        <v>341</v>
      </c>
      <c r="B243" s="12" t="str">
        <f>IFERROR(__xludf.DUMMYFUNCTION("""COMPUTED_VALUE"""),"Nothing")</f>
        <v>Nothing</v>
      </c>
      <c r="C243" s="3" t="s">
        <v>1608</v>
      </c>
      <c r="D243" s="12"/>
      <c r="E243" s="12"/>
      <c r="F243" s="12"/>
      <c r="G243" s="12"/>
      <c r="H243" s="12"/>
      <c r="I243" s="12"/>
      <c r="J243" s="12"/>
    </row>
    <row r="244">
      <c r="A244">
        <f>IFERROR(__xludf.DUMMYFUNCTION("""COMPUTED_VALUE"""),342.0)</f>
        <v>342</v>
      </c>
      <c r="B244" s="12" t="str">
        <f>IFERROR(__xludf.DUMMYFUNCTION("""COMPUTED_VALUE"""),"if i didn't use google i'd have to remember my password and username")</f>
        <v>if i didn't use google i'd have to remember my password and username</v>
      </c>
      <c r="C244" s="3" t="s">
        <v>1614</v>
      </c>
      <c r="D244" s="3" t="s">
        <v>1598</v>
      </c>
      <c r="E244" s="12"/>
      <c r="F244" s="12"/>
      <c r="G244" s="12"/>
      <c r="H244" s="12"/>
      <c r="I244" s="12"/>
      <c r="J244" s="12"/>
    </row>
    <row r="245">
      <c r="A245">
        <f>IFERROR(__xludf.DUMMYFUNCTION("""COMPUTED_VALUE"""),345.0)</f>
        <v>345</v>
      </c>
      <c r="B245" s="12" t="str">
        <f>IFERROR(__xludf.DUMMYFUNCTION("""COMPUTED_VALUE"""),"I considered how signing in with my google account worked")</f>
        <v>I considered how signing in with my google account worked</v>
      </c>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IFERROR(__xludf.DUMMYFUNCTION("""COMPUTED_VALUE"""),"I considered my privacy as well as the convenience and ease of simply logging in through Google.")</f>
        <v>I considered my privacy as well as the convenience and ease of simply logging in through Google.</v>
      </c>
      <c r="C247" s="12"/>
      <c r="D247" s="12"/>
      <c r="E247" s="12"/>
      <c r="F247" s="12"/>
      <c r="G247" s="12"/>
      <c r="H247" s="12"/>
      <c r="I247" s="12"/>
      <c r="J247" s="12"/>
    </row>
    <row r="248">
      <c r="A248">
        <f>IFERROR(__xludf.DUMMYFUNCTION("""COMPUTED_VALUE"""),351.0)</f>
        <v>351</v>
      </c>
      <c r="B248" s="12" t="str">
        <f>IFERROR(__xludf.DUMMYFUNCTION("""COMPUTED_VALUE"""),"If it was secure")</f>
        <v>If it was secure</v>
      </c>
      <c r="C248" s="12"/>
      <c r="D248" s="12"/>
      <c r="E248" s="12"/>
      <c r="F248" s="12"/>
      <c r="G248" s="12"/>
      <c r="H248" s="12"/>
      <c r="I248" s="12"/>
      <c r="J248" s="12"/>
    </row>
    <row r="249">
      <c r="A249">
        <f>IFERROR(__xludf.DUMMYFUNCTION("""COMPUTED_VALUE"""),352.0)</f>
        <v>352</v>
      </c>
      <c r="B249" s="12" t="str">
        <f>IFERROR(__xludf.DUMMYFUNCTION("""COMPUTED_VALUE"""),"Playing the game well. Didn't consider anything related to the account.")</f>
        <v>Playing the game well. Didn't consider anything related to the account.</v>
      </c>
      <c r="C249" s="12"/>
      <c r="D249" s="12"/>
      <c r="E249" s="12"/>
      <c r="F249" s="12"/>
      <c r="G249" s="12"/>
      <c r="H249" s="12"/>
      <c r="I249" s="12"/>
      <c r="J249" s="12"/>
    </row>
    <row r="250">
      <c r="A250">
        <f>IFERROR(__xludf.DUMMYFUNCTION("""COMPUTED_VALUE"""),354.0)</f>
        <v>354</v>
      </c>
      <c r="B250" s="12" t="str">
        <f>IFERROR(__xludf.DUMMYFUNCTION("""COMPUTED_VALUE"""),"If I trusted the service enough to have it linked to my google.")</f>
        <v>If I trusted the service enough to have it linked to my google.</v>
      </c>
      <c r="C250" s="12"/>
      <c r="D250" s="12"/>
      <c r="E250" s="12"/>
      <c r="F250" s="12"/>
      <c r="G250" s="12"/>
      <c r="H250" s="12"/>
      <c r="I250" s="12"/>
      <c r="J250" s="12"/>
    </row>
    <row r="251">
      <c r="A251">
        <f>IFERROR(__xludf.DUMMYFUNCTION("""COMPUTED_VALUE"""),355.0)</f>
        <v>355</v>
      </c>
      <c r="B251" s="12" t="str">
        <f>IFERROR(__xludf.DUMMYFUNCTION("""COMPUTED_VALUE"""),"I didn't consider anything really, I just thought it would be easier")</f>
        <v>I didn't consider anything really, I just thought it would be easier</v>
      </c>
      <c r="C251" s="12"/>
      <c r="D251" s="12"/>
      <c r="E251" s="12"/>
      <c r="F251" s="12"/>
      <c r="G251" s="12"/>
      <c r="H251" s="12"/>
      <c r="I251" s="12"/>
      <c r="J251" s="12"/>
    </row>
    <row r="252">
      <c r="A252">
        <f>IFERROR(__xludf.DUMMYFUNCTION("""COMPUTED_VALUE"""),357.0)</f>
        <v>357</v>
      </c>
      <c r="B252" s="12" t="str">
        <f>IFERROR(__xludf.DUMMYFUNCTION("""COMPUTED_VALUE"""),"thet i wouldnt have to deal with making a whole new account with all of my information since google already has it")</f>
        <v>thet i wouldnt have to deal with making a whole new account with all of my information since google already has it</v>
      </c>
      <c r="C252" s="12"/>
      <c r="D252" s="12"/>
      <c r="E252" s="12"/>
      <c r="F252" s="12"/>
      <c r="G252" s="12"/>
      <c r="H252" s="12"/>
      <c r="I252" s="12"/>
      <c r="J252" s="12"/>
    </row>
    <row r="253">
      <c r="A253">
        <f>IFERROR(__xludf.DUMMYFUNCTION("""COMPUTED_VALUE"""),358.0)</f>
        <v>358</v>
      </c>
      <c r="B253" s="12" t="str">
        <f>IFERROR(__xludf.DUMMYFUNCTION("""COMPUTED_VALUE"""),"I considered how large and secure the company was and I felt like Zoom was reputable enough to sign in to my google account with.")</f>
        <v>I considered how large and secure the company was and I felt like Zoom was reputable enough to sign in to my google account with.</v>
      </c>
      <c r="C253" s="12"/>
      <c r="D253" s="12"/>
      <c r="E253" s="12"/>
      <c r="F253" s="12"/>
      <c r="G253" s="12"/>
      <c r="H253" s="12"/>
      <c r="I253" s="12"/>
      <c r="J253" s="12"/>
    </row>
    <row r="254">
      <c r="A254">
        <f>IFERROR(__xludf.DUMMYFUNCTION("""COMPUTED_VALUE"""),360.0)</f>
        <v>360</v>
      </c>
      <c r="B254" s="12" t="str">
        <f>IFERROR(__xludf.DUMMYFUNCTION("""COMPUTED_VALUE"""),"I didn't.")</f>
        <v>I didn't.</v>
      </c>
      <c r="C254" s="12"/>
      <c r="D254" s="12"/>
      <c r="E254" s="12"/>
      <c r="F254" s="12"/>
      <c r="G254" s="12"/>
      <c r="H254" s="12"/>
      <c r="I254" s="12"/>
      <c r="J254" s="12"/>
    </row>
    <row r="255">
      <c r="A255">
        <f>IFERROR(__xludf.DUMMYFUNCTION("""COMPUTED_VALUE"""),361.0)</f>
        <v>361</v>
      </c>
      <c r="B255" s="12" t="str">
        <f>IFERROR(__xludf.DUMMYFUNCTION("""COMPUTED_VALUE"""),"If they would use my account and hack it")</f>
        <v>If they would use my account and hack it</v>
      </c>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t="str">
        <f>IFERROR(__xludf.DUMMYFUNCTION("""COMPUTED_VALUE"""),"I consider privacy and security when using my Google Account.")</f>
        <v>I consider privacy and security when using my Google Account.</v>
      </c>
      <c r="C257" s="12"/>
      <c r="D257" s="12"/>
      <c r="E257" s="12"/>
      <c r="F257" s="12"/>
      <c r="G257" s="12"/>
      <c r="H257" s="12"/>
      <c r="I257" s="12"/>
      <c r="J257" s="12"/>
    </row>
    <row r="258">
      <c r="A258">
        <f>IFERROR(__xludf.DUMMYFUNCTION("""COMPUTED_VALUE"""),364.0)</f>
        <v>364</v>
      </c>
      <c r="B258" s="12" t="str">
        <f>IFERROR(__xludf.DUMMYFUNCTION("""COMPUTED_VALUE"""),"Nothing.")</f>
        <v>Nothing.</v>
      </c>
      <c r="C258" s="12"/>
      <c r="D258" s="12"/>
      <c r="E258" s="12"/>
      <c r="F258" s="12"/>
      <c r="G258" s="12"/>
      <c r="H258" s="12"/>
      <c r="I258" s="12"/>
      <c r="J258" s="12"/>
    </row>
    <row r="259">
      <c r="A259">
        <f>IFERROR(__xludf.DUMMYFUNCTION("""COMPUTED_VALUE"""),365.0)</f>
        <v>365</v>
      </c>
      <c r="B259" s="12" t="str">
        <f>IFERROR(__xludf.DUMMYFUNCTION("""COMPUTED_VALUE"""),"I didn't consider anything. I wanted to buy something and not enter all of my information.")</f>
        <v>I didn't consider anything. I wanted to buy something and not enter all of my information.</v>
      </c>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t="str">
        <f>IFERROR(__xludf.DUMMYFUNCTION("""COMPUTED_VALUE"""),"Security &amp; data privacy")</f>
        <v>Security &amp; data privacy</v>
      </c>
      <c r="C261" s="12"/>
      <c r="D261" s="12"/>
      <c r="E261" s="12"/>
      <c r="F261" s="12"/>
      <c r="G261" s="12"/>
      <c r="H261" s="12"/>
      <c r="I261" s="12"/>
      <c r="J261" s="12"/>
    </row>
    <row r="262">
      <c r="A262">
        <f>IFERROR(__xludf.DUMMYFUNCTION("""COMPUTED_VALUE"""),368.0)</f>
        <v>368</v>
      </c>
      <c r="B262" s="12" t="str">
        <f>IFERROR(__xludf.DUMMYFUNCTION("""COMPUTED_VALUE"""),"I did not consider much just how convenient it was")</f>
        <v>I did not consider much just how convenient it was</v>
      </c>
      <c r="C262" s="12"/>
      <c r="D262" s="12"/>
      <c r="E262" s="12"/>
      <c r="F262" s="12"/>
      <c r="G262" s="12"/>
      <c r="H262" s="12"/>
      <c r="I262" s="12"/>
      <c r="J262" s="12"/>
    </row>
    <row r="263">
      <c r="A263">
        <f>IFERROR(__xludf.DUMMYFUNCTION("""COMPUTED_VALUE"""),372.0)</f>
        <v>372</v>
      </c>
      <c r="B263" s="12" t="str">
        <f>IFERROR(__xludf.DUMMYFUNCTION("""COMPUTED_VALUE"""),"I wasn't sure whether I wanted my data for this website to be shared with Google.")</f>
        <v>I wasn't sure whether I wanted my data for this website to be shared with Google.</v>
      </c>
      <c r="C263" s="12"/>
      <c r="D263" s="12"/>
      <c r="E263" s="12"/>
      <c r="F263" s="12"/>
      <c r="G263" s="12"/>
      <c r="H263" s="12"/>
      <c r="I263" s="12"/>
      <c r="J263" s="12"/>
    </row>
    <row r="264">
      <c r="A264">
        <f>IFERROR(__xludf.DUMMYFUNCTION("""COMPUTED_VALUE"""),373.0)</f>
        <v>373</v>
      </c>
      <c r="B264" s="12" t="str">
        <f>IFERROR(__xludf.DUMMYFUNCTION("""COMPUTED_VALUE"""),"I didnt consider much, companies already have all of my info.")</f>
        <v>I didnt consider much, companies already have all of my info.</v>
      </c>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t="str">
        <f>IFERROR(__xludf.DUMMYFUNCTION("""COMPUTED_VALUE"""),"I was considering how safe it would be to use this method. I was satisfied that it would involve the use of a one-time code and that the site wouldn't be able to capture my password.")</f>
        <v>I was considering how safe it would be to use this method. I was satisfied that it would involve the use of a one-time code and that the site wouldn't be able to capture my password.</v>
      </c>
      <c r="C266" s="12"/>
      <c r="D266" s="12"/>
      <c r="E266" s="12"/>
      <c r="F266" s="12"/>
      <c r="G266" s="12"/>
      <c r="H266" s="12"/>
      <c r="I266" s="12"/>
      <c r="J266" s="12"/>
    </row>
    <row r="267">
      <c r="A267">
        <f>IFERROR(__xludf.DUMMYFUNCTION("""COMPUTED_VALUE"""),377.0)</f>
        <v>377</v>
      </c>
      <c r="B267" s="12" t="str">
        <f>IFERROR(__xludf.DUMMYFUNCTION("""COMPUTED_VALUE"""),"I considered whether the information being taken from my Google Account was being used improperly or not before I signed up.")</f>
        <v>I considered whether the information being taken from my Google Account was being used improperly or not before I signed up.</v>
      </c>
      <c r="C267" s="12"/>
      <c r="D267" s="12"/>
      <c r="E267" s="12"/>
      <c r="F267" s="12"/>
      <c r="G267" s="12"/>
      <c r="H267" s="12"/>
      <c r="I267" s="12"/>
      <c r="J267" s="12"/>
    </row>
    <row r="268">
      <c r="A268">
        <f>IFERROR(__xludf.DUMMYFUNCTION("""COMPUTED_VALUE"""),379.0)</f>
        <v>379</v>
      </c>
      <c r="B268" s="12" t="str">
        <f>IFERROR(__xludf.DUMMYFUNCTION("""COMPUTED_VALUE"""),"I wondered what information saved on my Google account would be shared with Samsung.")</f>
        <v>I wondered what information saved on my Google account would be shared with Samsung.</v>
      </c>
      <c r="C268" s="12"/>
      <c r="D268" s="12"/>
      <c r="E268" s="12"/>
      <c r="F268" s="12"/>
      <c r="G268" s="12"/>
      <c r="H268" s="12"/>
      <c r="I268" s="12"/>
      <c r="J268" s="12"/>
    </row>
    <row r="269">
      <c r="A269">
        <f>IFERROR(__xludf.DUMMYFUNCTION("""COMPUTED_VALUE"""),381.0)</f>
        <v>381</v>
      </c>
      <c r="B269" s="12" t="str">
        <f>IFERROR(__xludf.DUMMYFUNCTION("""COMPUTED_VALUE"""),"I was feeling lazy")</f>
        <v>I was feeling lazy</v>
      </c>
      <c r="C269" s="12"/>
      <c r="D269" s="12"/>
      <c r="E269" s="12"/>
      <c r="F269" s="12"/>
      <c r="G269" s="12"/>
      <c r="H269" s="12"/>
      <c r="I269" s="12"/>
      <c r="J269" s="12"/>
    </row>
    <row r="270">
      <c r="A270">
        <f>IFERROR(__xludf.DUMMYFUNCTION("""COMPUTED_VALUE"""),382.0)</f>
        <v>382</v>
      </c>
      <c r="B270" s="12" t="str">
        <f>IFERROR(__xludf.DUMMYFUNCTION("""COMPUTED_VALUE"""),"The private data that this application was going to read, in other words, I worry about my privacy.")</f>
        <v>The private data that this application was going to read, in other words, I worry about my privacy.</v>
      </c>
      <c r="C270" s="12"/>
      <c r="D270" s="12"/>
      <c r="E270" s="12"/>
      <c r="F270" s="12"/>
      <c r="G270" s="12"/>
      <c r="H270" s="12"/>
      <c r="I270" s="12"/>
      <c r="J270" s="12"/>
    </row>
    <row r="271">
      <c r="A271">
        <f>IFERROR(__xludf.DUMMYFUNCTION("""COMPUTED_VALUE"""),383.0)</f>
        <v>383</v>
      </c>
      <c r="B271" s="12" t="str">
        <f>IFERROR(__xludf.DUMMYFUNCTION("""COMPUTED_VALUE"""),"convience")</f>
        <v>convience</v>
      </c>
      <c r="C271" s="12"/>
      <c r="D271" s="12"/>
      <c r="E271" s="12"/>
      <c r="F271" s="12"/>
      <c r="G271" s="12"/>
      <c r="H271" s="12"/>
      <c r="I271" s="12"/>
      <c r="J271" s="12"/>
    </row>
    <row r="272">
      <c r="A272">
        <f>IFERROR(__xludf.DUMMYFUNCTION("""COMPUTED_VALUE"""),384.0)</f>
        <v>384</v>
      </c>
      <c r="B272" s="12" t="str">
        <f>IFERROR(__xludf.DUMMYFUNCTION("""COMPUTED_VALUE"""),"The ease of clicking on ""google sign in"" without needing to create a new account for the website or app.")</f>
        <v>The ease of clicking on "google sign in" without needing to create a new account for the website or app.</v>
      </c>
      <c r="C272" s="12"/>
      <c r="D272" s="12"/>
      <c r="E272" s="12"/>
      <c r="F272" s="12"/>
      <c r="G272" s="12"/>
      <c r="H272" s="12"/>
      <c r="I272" s="12"/>
      <c r="J272" s="12"/>
    </row>
    <row r="273">
      <c r="A273">
        <f>IFERROR(__xludf.DUMMYFUNCTION("""COMPUTED_VALUE"""),385.0)</f>
        <v>385</v>
      </c>
      <c r="B273" s="12" t="str">
        <f>IFERROR(__xludf.DUMMYFUNCTION("""COMPUTED_VALUE"""),"I don't think there was much to consider.")</f>
        <v>I don't think there was much to consider.</v>
      </c>
      <c r="C273" s="12"/>
      <c r="D273" s="12"/>
      <c r="E273" s="12"/>
      <c r="F273" s="12"/>
      <c r="G273" s="12"/>
      <c r="H273" s="12"/>
      <c r="I273" s="12"/>
      <c r="J273" s="12"/>
    </row>
    <row r="274">
      <c r="A274">
        <f>IFERROR(__xludf.DUMMYFUNCTION("""COMPUTED_VALUE"""),386.0)</f>
        <v>386</v>
      </c>
      <c r="B274" s="12" t="str">
        <f>IFERROR(__xludf.DUMMYFUNCTION("""COMPUTED_VALUE"""),"The convenience of using Google Account")</f>
        <v>The convenience of using Google Account</v>
      </c>
      <c r="C274" s="12"/>
      <c r="D274" s="12"/>
      <c r="E274" s="12"/>
      <c r="F274" s="12"/>
      <c r="G274" s="12"/>
      <c r="H274" s="12"/>
      <c r="I274" s="12"/>
      <c r="J274" s="12"/>
    </row>
    <row r="275">
      <c r="A275">
        <f>IFERROR(__xludf.DUMMYFUNCTION("""COMPUTED_VALUE"""),387.0)</f>
        <v>387</v>
      </c>
      <c r="B275" s="12" t="str">
        <f>IFERROR(__xludf.DUMMYFUNCTION("""COMPUTED_VALUE"""),"I considered whether using my gmail account to sign in might allow Facebook to steal some information about me that I didn't want to share with facebook.")</f>
        <v>I considered whether using my gmail account to sign in might allow Facebook to steal some information about me that I didn't want to share with facebook.</v>
      </c>
      <c r="C275" s="12"/>
      <c r="D275" s="12"/>
      <c r="E275" s="12"/>
      <c r="F275" s="12"/>
      <c r="G275" s="12"/>
      <c r="H275" s="12"/>
      <c r="I275" s="12"/>
      <c r="J275" s="12"/>
    </row>
    <row r="276">
      <c r="A276">
        <f>IFERROR(__xludf.DUMMYFUNCTION("""COMPUTED_VALUE"""),388.0)</f>
        <v>388</v>
      </c>
      <c r="B276" s="12" t="str">
        <f>IFERROR(__xludf.DUMMYFUNCTION("""COMPUTED_VALUE"""),"I consider whether it'd be more convenient for me to create a regular account for the website, or whether I'd prefer to use a secondary email in the specific case (i.e. the spare email I set aside for one-off accounts I make in order to get ""membership"""&amp;" discounts on online shopping websites/apps)")</f>
        <v>I consider whether it'd be more convenient for me to create a regular account for the website, or whether I'd prefer to use a secondary email in the specific case (i.e. the spare email I set aside for one-off accounts I make in order to get "membership" discounts on online shopping websites/apps)</v>
      </c>
      <c r="C276" s="12"/>
      <c r="D276" s="12"/>
      <c r="E276" s="12"/>
      <c r="F276" s="12"/>
      <c r="G276" s="12"/>
      <c r="H276" s="12"/>
      <c r="I276" s="12"/>
      <c r="J276" s="12"/>
    </row>
    <row r="277">
      <c r="A277">
        <f>IFERROR(__xludf.DUMMYFUNCTION("""COMPUTED_VALUE"""),389.0)</f>
        <v>389</v>
      </c>
      <c r="B277" s="12" t="str">
        <f>IFERROR(__xludf.DUMMYFUNCTION("""COMPUTED_VALUE"""),"That using the Google Account Sign In was easiest")</f>
        <v>That using the Google Account Sign In was easiest</v>
      </c>
      <c r="C277" s="12"/>
      <c r="D277" s="12"/>
      <c r="E277" s="12"/>
      <c r="F277" s="12"/>
      <c r="G277" s="12"/>
      <c r="H277" s="12"/>
      <c r="I277" s="12"/>
      <c r="J277" s="12"/>
    </row>
    <row r="278">
      <c r="A278">
        <f>IFERROR(__xludf.DUMMYFUNCTION("""COMPUTED_VALUE"""),391.0)</f>
        <v>391</v>
      </c>
      <c r="B278" s="12" t="str">
        <f>IFERROR(__xludf.DUMMYFUNCTION("""COMPUTED_VALUE"""),"whether they were going to spam me with junk mail")</f>
        <v>whether they were going to spam me with junk mail</v>
      </c>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t="str">
        <f>IFERROR(__xludf.DUMMYFUNCTION("""COMPUTED_VALUE"""),"using an an alternate email")</f>
        <v>using an an alternate email</v>
      </c>
      <c r="C280" s="12"/>
      <c r="D280" s="12"/>
      <c r="E280" s="12"/>
      <c r="F280" s="12"/>
      <c r="G280" s="12"/>
      <c r="H280" s="12"/>
      <c r="I280" s="12"/>
      <c r="J280" s="12"/>
    </row>
    <row r="281">
      <c r="A281">
        <f>IFERROR(__xludf.DUMMYFUNCTION("""COMPUTED_VALUE"""),394.0)</f>
        <v>394</v>
      </c>
      <c r="B281" s="12" t="str">
        <f>IFERROR(__xludf.DUMMYFUNCTION("""COMPUTED_VALUE"""),"If I felt like making a whole new account or if it was worth sharing my account data.")</f>
        <v>If I felt like making a whole new account or if it was worth sharing my account data.</v>
      </c>
      <c r="C281" s="12"/>
      <c r="D281" s="12"/>
      <c r="E281" s="12"/>
      <c r="F281" s="12"/>
      <c r="G281" s="12"/>
      <c r="H281" s="12"/>
      <c r="I281" s="12"/>
      <c r="J281" s="12"/>
    </row>
    <row r="282">
      <c r="A282">
        <f>IFERROR(__xludf.DUMMYFUNCTION("""COMPUTED_VALUE"""),395.0)</f>
        <v>395</v>
      </c>
      <c r="B282" s="12" t="str">
        <f>IFERROR(__xludf.DUMMYFUNCTION("""COMPUTED_VALUE"""),"I considered if there was a security risk of them having my account information.")</f>
        <v>I considered if there was a security risk of them having my account information.</v>
      </c>
      <c r="C282" s="12"/>
      <c r="D282" s="12"/>
      <c r="E282" s="12"/>
      <c r="F282" s="12"/>
      <c r="G282" s="12"/>
      <c r="H282" s="12"/>
      <c r="I282" s="12"/>
      <c r="J282" s="12"/>
    </row>
    <row r="283">
      <c r="A283">
        <f>IFERROR(__xludf.DUMMYFUNCTION("""COMPUTED_VALUE"""),396.0)</f>
        <v>396</v>
      </c>
      <c r="B283" s="12" t="str">
        <f>IFERROR(__xludf.DUMMYFUNCTION("""COMPUTED_VALUE"""),"I made sure I read everything before selecting it.")</f>
        <v>I made sure I read everything before selecting it.</v>
      </c>
      <c r="C283" s="12"/>
      <c r="D283" s="12"/>
      <c r="E283" s="12"/>
      <c r="F283" s="12"/>
      <c r="G283" s="12"/>
      <c r="H283" s="12"/>
      <c r="I283" s="12"/>
      <c r="J283" s="12"/>
    </row>
    <row r="284">
      <c r="A284">
        <f>IFERROR(__xludf.DUMMYFUNCTION("""COMPUTED_VALUE"""),397.0)</f>
        <v>397</v>
      </c>
      <c r="B284" s="12" t="str">
        <f>IFERROR(__xludf.DUMMYFUNCTION("""COMPUTED_VALUE"""),"I briefly considered that it might compromise my security of my google account")</f>
        <v>I briefly considered that it might compromise my security of my google account</v>
      </c>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t="str">
        <f>IFERROR(__xludf.DUMMYFUNCTION("""COMPUTED_VALUE"""),"I consider if the login was secure")</f>
        <v>I consider if the login was secure</v>
      </c>
      <c r="C286" s="12"/>
      <c r="D286" s="12"/>
      <c r="E286" s="12"/>
      <c r="F286" s="12"/>
      <c r="G286" s="12"/>
      <c r="H286" s="12"/>
      <c r="I286" s="12"/>
      <c r="J286" s="12"/>
    </row>
    <row r="287">
      <c r="A287">
        <f>IFERROR(__xludf.DUMMYFUNCTION("""COMPUTED_VALUE"""),400.0)</f>
        <v>400</v>
      </c>
      <c r="B287" s="12" t="str">
        <f>IFERROR(__xludf.DUMMYFUNCTION("""COMPUTED_VALUE"""),"trust. will allowing to sign in this way get my account hacked.")</f>
        <v>trust. will allowing to sign in this way get my account hacked.</v>
      </c>
      <c r="C287" s="12"/>
      <c r="D287" s="12"/>
      <c r="E287" s="12"/>
      <c r="F287" s="12"/>
      <c r="G287" s="12"/>
      <c r="H287" s="12"/>
      <c r="I287" s="12"/>
      <c r="J287" s="12"/>
    </row>
    <row r="288">
      <c r="A288">
        <f>IFERROR(__xludf.DUMMYFUNCTION("""COMPUTED_VALUE"""),401.0)</f>
        <v>401</v>
      </c>
      <c r="B288" s="12" t="str">
        <f>IFERROR(__xludf.DUMMYFUNCTION("""COMPUTED_VALUE"""),"Nothing really.")</f>
        <v>Nothing really.</v>
      </c>
      <c r="C288" s="12"/>
      <c r="D288" s="12"/>
      <c r="E288" s="12"/>
      <c r="F288" s="12"/>
      <c r="G288" s="12"/>
      <c r="H288" s="12"/>
      <c r="I288" s="12"/>
      <c r="J288" s="12"/>
    </row>
    <row r="289">
      <c r="A289">
        <f>IFERROR(__xludf.DUMMYFUNCTION("""COMPUTED_VALUE"""),402.0)</f>
        <v>402</v>
      </c>
      <c r="B289" s="12" t="str">
        <f>IFERROR(__xludf.DUMMYFUNCTION("""COMPUTED_VALUE"""),"ease of use")</f>
        <v>ease of use</v>
      </c>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t="str">
        <f>IFERROR(__xludf.DUMMYFUNCTION("""COMPUTED_VALUE"""),"What type of privacy am I giving up from my Google Account?")</f>
        <v>What type of privacy am I giving up from my Google Account?</v>
      </c>
      <c r="C291" s="12"/>
      <c r="D291" s="12"/>
      <c r="E291" s="12"/>
      <c r="F291" s="12"/>
      <c r="G291" s="12"/>
      <c r="H291" s="12"/>
      <c r="I291" s="12"/>
      <c r="J291" s="12"/>
    </row>
    <row r="292">
      <c r="A292">
        <f>IFERROR(__xludf.DUMMYFUNCTION("""COMPUTED_VALUE"""),405.0)</f>
        <v>405</v>
      </c>
      <c r="B292" s="12" t="str">
        <f>IFERROR(__xludf.DUMMYFUNCTION("""COMPUTED_VALUE"""),"I think about not wanting to register for a website and make a new password.")</f>
        <v>I think about not wanting to register for a website and make a new password.</v>
      </c>
      <c r="C292" s="12"/>
      <c r="D292" s="12"/>
      <c r="E292" s="12"/>
      <c r="F292" s="12"/>
      <c r="G292" s="12"/>
      <c r="H292" s="12"/>
      <c r="I292" s="12"/>
      <c r="J292" s="12"/>
    </row>
    <row r="293">
      <c r="A293">
        <f>IFERROR(__xludf.DUMMYFUNCTION("""COMPUTED_VALUE"""),406.0)</f>
        <v>406</v>
      </c>
      <c r="B293" s="12" t="str">
        <f>IFERROR(__xludf.DUMMYFUNCTION("""COMPUTED_VALUE"""),"I considered whether or not they are a trustworthy website and if they would send me spam emails")</f>
        <v>I considered whether or not they are a trustworthy website and if they would send me spam emails</v>
      </c>
      <c r="C293" s="12"/>
      <c r="D293" s="12"/>
      <c r="E293" s="12"/>
      <c r="F293" s="12"/>
      <c r="G293" s="12"/>
      <c r="H293" s="12"/>
      <c r="I293" s="12"/>
      <c r="J293" s="12"/>
    </row>
    <row r="294">
      <c r="A294">
        <f>IFERROR(__xludf.DUMMYFUNCTION("""COMPUTED_VALUE"""),407.0)</f>
        <v>407</v>
      </c>
      <c r="B294" s="12" t="str">
        <f>IFERROR(__xludf.DUMMYFUNCTION("""COMPUTED_VALUE"""),"I considered whether or not I wanted to make a new log in information but decided it was easier to use my google account.")</f>
        <v>I considered whether or not I wanted to make a new log in information but decided it was easier to use my google account.</v>
      </c>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IFERROR(__xludf.DUMMYFUNCTION("""COMPUTED_VALUE"""),"It was safe as it is partnered with Google")</f>
        <v>It was safe as it is partnered with Google</v>
      </c>
      <c r="C296" s="12"/>
      <c r="D296" s="12"/>
      <c r="E296" s="12"/>
      <c r="F296" s="12"/>
      <c r="G296" s="12"/>
      <c r="H296" s="12"/>
      <c r="I296" s="12"/>
      <c r="J296" s="12"/>
    </row>
    <row r="297">
      <c r="A297">
        <f>IFERROR(__xludf.DUMMYFUNCTION("""COMPUTED_VALUE"""),411.0)</f>
        <v>411</v>
      </c>
      <c r="B297" s="12" t="str">
        <f>IFERROR(__xludf.DUMMYFUNCTION("""COMPUTED_VALUE"""),"What's the easiest way, the usefulness of not having to set-up an entirely new account.")</f>
        <v>What's the easiest way, the usefulness of not having to set-up an entirely new account.</v>
      </c>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IFERROR(__xludf.DUMMYFUNCTION("""COMPUTED_VALUE"""),"What kind of information would be shared with Juno")</f>
        <v>What kind of information would be shared with Juno</v>
      </c>
      <c r="C299" s="12"/>
      <c r="D299" s="12"/>
      <c r="E299" s="12"/>
      <c r="F299" s="12"/>
      <c r="G299" s="12"/>
      <c r="H299" s="12"/>
      <c r="I299" s="12"/>
      <c r="J299" s="12"/>
    </row>
    <row r="300">
      <c r="A300">
        <f>IFERROR(__xludf.DUMMYFUNCTION("""COMPUTED_VALUE"""),416.0)</f>
        <v>416</v>
      </c>
      <c r="B300" s="12" t="str">
        <f>IFERROR(__xludf.DUMMYFUNCTION("""COMPUTED_VALUE"""),"privacy issues, security of the app")</f>
        <v>privacy issues, security of the app</v>
      </c>
      <c r="C300" s="12"/>
      <c r="D300" s="12"/>
      <c r="E300" s="12"/>
      <c r="F300" s="12"/>
      <c r="G300" s="12"/>
      <c r="H300" s="12"/>
      <c r="I300" s="12"/>
      <c r="J300" s="12"/>
    </row>
    <row r="301">
      <c r="A301">
        <f>IFERROR(__xludf.DUMMYFUNCTION("""COMPUTED_VALUE"""),417.0)</f>
        <v>417</v>
      </c>
      <c r="B301" s="12" t="str">
        <f>IFERROR(__xludf.DUMMYFUNCTION("""COMPUTED_VALUE"""),"security")</f>
        <v>security</v>
      </c>
      <c r="C301" s="12"/>
      <c r="D301" s="12"/>
      <c r="E301" s="12"/>
      <c r="F301" s="12"/>
      <c r="G301" s="12"/>
      <c r="H301" s="12"/>
      <c r="I301" s="12"/>
      <c r="J301" s="12"/>
    </row>
    <row r="302">
      <c r="A302">
        <f>IFERROR(__xludf.DUMMYFUNCTION("""COMPUTED_VALUE"""),418.0)</f>
        <v>418</v>
      </c>
      <c r="B302" s="12" t="str">
        <f>IFERROR(__xludf.DUMMYFUNCTION("""COMPUTED_VALUE"""),"Convenience of not having to make a new account with new log-in info")</f>
        <v>Convenience of not having to make a new account with new log-in info</v>
      </c>
      <c r="C302" s="12"/>
      <c r="D302" s="12"/>
      <c r="E302" s="12"/>
      <c r="F302" s="12"/>
      <c r="G302" s="12"/>
      <c r="H302" s="12"/>
      <c r="I302" s="12"/>
      <c r="J302" s="12"/>
    </row>
    <row r="303">
      <c r="A303">
        <f>IFERROR(__xludf.DUMMYFUNCTION("""COMPUTED_VALUE"""),419.0)</f>
        <v>419</v>
      </c>
      <c r="B303" s="12" t="str">
        <f>IFERROR(__xludf.DUMMYFUNCTION("""COMPUTED_VALUE"""),"I didn't think much of it. When that option comes up I just click on it because it's fast and easy.")</f>
        <v>I didn't think much of it. When that option comes up I just click on it because it's fast and easy.</v>
      </c>
      <c r="C303" s="12"/>
      <c r="D303" s="12"/>
      <c r="E303" s="12"/>
      <c r="F303" s="12"/>
      <c r="G303" s="12"/>
      <c r="H303" s="12"/>
      <c r="I303" s="12"/>
      <c r="J303" s="12"/>
    </row>
    <row r="304">
      <c r="A304">
        <f>IFERROR(__xludf.DUMMYFUNCTION("""COMPUTED_VALUE"""),420.0)</f>
        <v>420</v>
      </c>
      <c r="B304" s="12" t="str">
        <f>IFERROR(__xludf.DUMMYFUNCTION("""COMPUTED_VALUE"""),"The ease of using it.")</f>
        <v>The ease of using it.</v>
      </c>
      <c r="C304" s="12"/>
      <c r="D304" s="12"/>
      <c r="E304" s="12"/>
      <c r="F304" s="12"/>
      <c r="G304" s="12"/>
      <c r="H304" s="12"/>
      <c r="I304" s="12"/>
      <c r="J304" s="12"/>
    </row>
    <row r="305">
      <c r="A305">
        <f>IFERROR(__xludf.DUMMYFUNCTION("""COMPUTED_VALUE"""),422.0)</f>
        <v>422</v>
      </c>
      <c r="B305" s="12" t="str">
        <f>IFERROR(__xludf.DUMMYFUNCTION("""COMPUTED_VALUE"""),"N/A (if it's an unfamiliar third-party app or services, I will briefly consider privacy concerns, but I need to use Zoom, so I don't mind linking my email to it)")</f>
        <v>N/A (if it's an unfamiliar third-party app or services, I will briefly consider privacy concerns, but I need to use Zoom, so I don't mind linking my email to it)</v>
      </c>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IFERROR(__xludf.DUMMYFUNCTION("""COMPUTED_VALUE"""),"nothing")</f>
        <v>nothing</v>
      </c>
      <c r="C307" s="12"/>
      <c r="D307" s="12"/>
      <c r="E307" s="12"/>
      <c r="F307" s="12"/>
      <c r="G307" s="12"/>
      <c r="H307" s="12"/>
      <c r="I307" s="12"/>
      <c r="J307" s="12"/>
    </row>
    <row r="308">
      <c r="A308">
        <f>IFERROR(__xludf.DUMMYFUNCTION("""COMPUTED_VALUE"""),426.0)</f>
        <v>426</v>
      </c>
      <c r="B308" s="12" t="str">
        <f>IFERROR(__xludf.DUMMYFUNCTION("""COMPUTED_VALUE"""),"How much information they would be able to gain from using the Google sign in")</f>
        <v>How much information they would be able to gain from using the Google sign in</v>
      </c>
      <c r="C308" s="12"/>
      <c r="D308" s="12"/>
      <c r="E308" s="12"/>
      <c r="F308" s="12"/>
      <c r="G308" s="12"/>
      <c r="H308" s="12"/>
      <c r="I308" s="12"/>
      <c r="J308" s="12"/>
    </row>
    <row r="309">
      <c r="A309">
        <f>IFERROR(__xludf.DUMMYFUNCTION("""COMPUTED_VALUE"""),427.0)</f>
        <v>427</v>
      </c>
      <c r="B309" s="12" t="str">
        <f>IFERROR(__xludf.DUMMYFUNCTION("""COMPUTED_VALUE"""),"nothing")</f>
        <v>nothing</v>
      </c>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IFERROR(__xludf.DUMMYFUNCTION("""COMPUTED_VALUE"""),"if my info would be abused or spam me with email")</f>
        <v>if my info would be abused or spam me with email</v>
      </c>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t="str">
        <f>IFERROR(__xludf.DUMMYFUNCTION("""COMPUTED_VALUE"""),"What access did it need for me to use their app.")</f>
        <v>What access did it need for me to use their app.</v>
      </c>
      <c r="C313" s="12"/>
      <c r="D313" s="12"/>
      <c r="E313" s="12"/>
      <c r="F313" s="12"/>
      <c r="G313" s="12"/>
      <c r="H313" s="12"/>
      <c r="I313" s="12"/>
      <c r="J313" s="12"/>
    </row>
    <row r="314">
      <c r="A314">
        <f>IFERROR(__xludf.DUMMYFUNCTION("""COMPUTED_VALUE"""),434.0)</f>
        <v>434</v>
      </c>
      <c r="B314" s="12" t="str">
        <f>IFERROR(__xludf.DUMMYFUNCTION("""COMPUTED_VALUE"""),"I just considered if there was any concern with the third party app having my information like name and email address.")</f>
        <v>I just considered if there was any concern with the third party app having my information like name and email address.</v>
      </c>
      <c r="C314" s="12"/>
      <c r="D314" s="12"/>
      <c r="E314" s="12"/>
      <c r="F314" s="12"/>
      <c r="G314" s="12"/>
      <c r="H314" s="12"/>
      <c r="I314" s="12"/>
      <c r="J314" s="12"/>
    </row>
    <row r="315">
      <c r="A315">
        <f>IFERROR(__xludf.DUMMYFUNCTION("""COMPUTED_VALUE"""),435.0)</f>
        <v>435</v>
      </c>
      <c r="B315" s="12" t="str">
        <f>IFERROR(__xludf.DUMMYFUNCTION("""COMPUTED_VALUE"""),"I didn't considered much I thought it was a quick way to get signed in.")</f>
        <v>I didn't considered much I thought it was a quick way to get signed in.</v>
      </c>
      <c r="C315" s="12"/>
      <c r="D315" s="12"/>
      <c r="E315" s="12"/>
      <c r="F315" s="12"/>
      <c r="G315" s="12"/>
      <c r="H315" s="12"/>
      <c r="I315" s="12"/>
      <c r="J315" s="12"/>
    </row>
    <row r="316">
      <c r="A316">
        <f>IFERROR(__xludf.DUMMYFUNCTION("""COMPUTED_VALUE"""),436.0)</f>
        <v>436</v>
      </c>
      <c r="B316" s="12" t="str">
        <f>IFERROR(__xludf.DUMMYFUNCTION("""COMPUTED_VALUE"""),"I considered using an email/password combo that wasn't my google password")</f>
        <v>I considered using an email/password combo that wasn't my google password</v>
      </c>
      <c r="C316" s="12"/>
      <c r="D316" s="12"/>
      <c r="E316" s="12"/>
      <c r="F316" s="12"/>
      <c r="G316" s="12"/>
      <c r="H316" s="12"/>
      <c r="I316" s="12"/>
      <c r="J316" s="12"/>
    </row>
    <row r="317">
      <c r="A317">
        <f>IFERROR(__xludf.DUMMYFUNCTION("""COMPUTED_VALUE"""),437.0)</f>
        <v>437</v>
      </c>
      <c r="B317" s="12" t="str">
        <f>IFERROR(__xludf.DUMMYFUNCTION("""COMPUTED_VALUE"""),"I considered how easy it would be to log in with my Google Account instead of trying to come up with a new password to just log in with my Gmail account another way. This way my Google Account would recognize the site and ask if I want to be logged in.")</f>
        <v>I considered how easy it would be to log in with my Google Account instead of trying to come up with a new password to just log in with my Gmail account another way. This way my Google Account would recognize the site and ask if I want to be logged in.</v>
      </c>
      <c r="C317" s="12"/>
      <c r="D317" s="12"/>
      <c r="E317" s="12"/>
      <c r="F317" s="12"/>
      <c r="G317" s="12"/>
      <c r="H317" s="12"/>
      <c r="I317" s="12"/>
      <c r="J317" s="12"/>
    </row>
    <row r="318">
      <c r="A318">
        <f>IFERROR(__xludf.DUMMYFUNCTION("""COMPUTED_VALUE"""),439.0)</f>
        <v>439</v>
      </c>
      <c r="B318" s="12" t="str">
        <f>IFERROR(__xludf.DUMMYFUNCTION("""COMPUTED_VALUE"""),"It seemed convenient. I didn't think about any security considerations.")</f>
        <v>It seemed convenient. I didn't think about any security considerations.</v>
      </c>
      <c r="C318" s="12"/>
      <c r="D318" s="12"/>
      <c r="E318" s="12"/>
      <c r="F318" s="12"/>
      <c r="G318" s="12"/>
      <c r="H318" s="12"/>
      <c r="I318" s="12"/>
      <c r="J318" s="12"/>
    </row>
    <row r="319">
      <c r="A319">
        <f>IFERROR(__xludf.DUMMYFUNCTION("""COMPUTED_VALUE"""),440.0)</f>
        <v>440</v>
      </c>
      <c r="B319" s="12" t="str">
        <f>IFERROR(__xludf.DUMMYFUNCTION("""COMPUTED_VALUE"""),"How trustworthy the third party app or service was")</f>
        <v>How trustworthy the third party app or service was</v>
      </c>
      <c r="C319" s="12"/>
      <c r="D319" s="12"/>
      <c r="E319" s="12"/>
      <c r="F319" s="12"/>
      <c r="G319" s="12"/>
      <c r="H319" s="12"/>
      <c r="I319" s="12"/>
      <c r="J319" s="12"/>
    </row>
    <row r="320">
      <c r="A320">
        <f>IFERROR(__xludf.DUMMYFUNCTION("""COMPUTED_VALUE"""),442.0)</f>
        <v>442</v>
      </c>
      <c r="B320" s="12" t="str">
        <f>IFERROR(__xludf.DUMMYFUNCTION("""COMPUTED_VALUE"""),"I considered whether it was safe to do.")</f>
        <v>I considered whether it was safe to do.</v>
      </c>
      <c r="C320" s="12"/>
      <c r="D320" s="12"/>
      <c r="E320" s="12"/>
      <c r="F320" s="12"/>
      <c r="G320" s="12"/>
      <c r="H320" s="12"/>
      <c r="I320" s="12"/>
      <c r="J320" s="12"/>
    </row>
    <row r="321">
      <c r="A321">
        <f>IFERROR(__xludf.DUMMYFUNCTION("""COMPUTED_VALUE"""),443.0)</f>
        <v>443</v>
      </c>
      <c r="B321" s="12" t="str">
        <f>IFERROR(__xludf.DUMMYFUNCTION("""COMPUTED_VALUE"""),"I considered the time that I would save by linking my Google Account rather than creating a separate account for that service.")</f>
        <v>I considered the time that I would save by linking my Google Account rather than creating a separate account for that service.</v>
      </c>
      <c r="C321" s="12"/>
      <c r="D321" s="12"/>
      <c r="E321" s="12"/>
      <c r="F321" s="12"/>
      <c r="G321" s="12"/>
      <c r="H321" s="12"/>
      <c r="I321" s="12"/>
      <c r="J321" s="12"/>
    </row>
    <row r="322">
      <c r="A322">
        <f>IFERROR(__xludf.DUMMYFUNCTION("""COMPUTED_VALUE"""),444.0)</f>
        <v>444</v>
      </c>
      <c r="B322" s="12" t="str">
        <f>IFERROR(__xludf.DUMMYFUNCTION("""COMPUTED_VALUE"""),"I considered whether I wanted my real name attached to an account, or if I preferred to stay anonymous and make an account with the website itself.")</f>
        <v>I considered whether I wanted my real name attached to an account, or if I preferred to stay anonymous and make an account with the website itself.</v>
      </c>
      <c r="C322" s="12"/>
      <c r="D322" s="12"/>
      <c r="E322" s="12"/>
      <c r="F322" s="12"/>
      <c r="G322" s="12"/>
      <c r="H322" s="12"/>
      <c r="I322" s="12"/>
      <c r="J322" s="12"/>
    </row>
    <row r="323">
      <c r="A323">
        <f>IFERROR(__xludf.DUMMYFUNCTION("""COMPUTED_VALUE"""),445.0)</f>
        <v>445</v>
      </c>
      <c r="B323" s="12" t="str">
        <f>IFERROR(__xludf.DUMMYFUNCTION("""COMPUTED_VALUE"""),"I consider whether I am more interested in privacy or convenience for a particular website")</f>
        <v>I consider whether I am more interested in privacy or convenience for a particular website</v>
      </c>
      <c r="C323" s="12"/>
      <c r="D323" s="12"/>
      <c r="E323" s="12"/>
      <c r="F323" s="12"/>
      <c r="G323" s="12"/>
      <c r="H323" s="12"/>
      <c r="I323" s="12"/>
      <c r="J323" s="12"/>
    </row>
    <row r="324">
      <c r="A324">
        <f>IFERROR(__xludf.DUMMYFUNCTION("""COMPUTED_VALUE"""),449.0)</f>
        <v>449</v>
      </c>
      <c r="B324" s="12" t="str">
        <f>IFERROR(__xludf.DUMMYFUNCTION("""COMPUTED_VALUE"""),"nothing, it's easier that way")</f>
        <v>nothing, it's easier that way</v>
      </c>
      <c r="C324" s="12"/>
      <c r="D324" s="12"/>
      <c r="E324" s="12"/>
      <c r="F324" s="12"/>
      <c r="G324" s="12"/>
      <c r="H324" s="12"/>
      <c r="I324" s="12"/>
      <c r="J324" s="12"/>
    </row>
    <row r="325">
      <c r="A325">
        <f>IFERROR(__xludf.DUMMYFUNCTION("""COMPUTED_VALUE"""),450.0)</f>
        <v>450</v>
      </c>
      <c r="B325" s="12" t="str">
        <f>IFERROR(__xludf.DUMMYFUNCTION("""COMPUTED_VALUE"""),"I was considering if I wanted to use my main Google account or my secondary one.")</f>
        <v>I was considering if I wanted to use my main Google account or my secondary one.</v>
      </c>
      <c r="C325" s="12"/>
      <c r="D325" s="12"/>
      <c r="E325" s="12"/>
      <c r="F325" s="12"/>
      <c r="G325" s="12"/>
      <c r="H325" s="12"/>
      <c r="I325" s="12"/>
      <c r="J325" s="12"/>
    </row>
    <row r="326">
      <c r="A326">
        <f>IFERROR(__xludf.DUMMYFUNCTION("""COMPUTED_VALUE"""),451.0)</f>
        <v>451</v>
      </c>
      <c r="B326" s="12" t="str">
        <f>IFERROR(__xludf.DUMMYFUNCTION("""COMPUTED_VALUE"""),"I considered that it was a trustworthy website.")</f>
        <v>I considered that it was a trustworthy website.</v>
      </c>
      <c r="C326" s="12"/>
      <c r="D326" s="12"/>
      <c r="E326" s="12"/>
      <c r="F326" s="12"/>
      <c r="G326" s="12"/>
      <c r="H326" s="12"/>
      <c r="I326" s="12"/>
      <c r="J326" s="12"/>
    </row>
    <row r="327">
      <c r="A327">
        <f>IFERROR(__xludf.DUMMYFUNCTION("""COMPUTED_VALUE"""),454.0)</f>
        <v>454</v>
      </c>
      <c r="B327" s="12" t="str">
        <f>IFERROR(__xludf.DUMMYFUNCTION("""COMPUTED_VALUE"""),"if it would be faster and more convenient than logging in")</f>
        <v>if it would be faster and more convenient than logging in</v>
      </c>
      <c r="C327" s="12"/>
      <c r="D327" s="12"/>
      <c r="E327" s="12"/>
      <c r="F327" s="12"/>
      <c r="G327" s="12"/>
      <c r="H327" s="12"/>
      <c r="I327" s="12"/>
      <c r="J327" s="12"/>
    </row>
    <row r="328">
      <c r="A328">
        <f>IFERROR(__xludf.DUMMYFUNCTION("""COMPUTED_VALUE"""),455.0)</f>
        <v>455</v>
      </c>
      <c r="B328" s="12" t="str">
        <f>IFERROR(__xludf.DUMMYFUNCTION("""COMPUTED_VALUE"""),"I had to remember whether I'd signed up using my Google account or using my Facebook account")</f>
        <v>I had to remember whether I'd signed up using my Google account or using my Facebook account</v>
      </c>
      <c r="C328" s="12"/>
      <c r="D328" s="12"/>
      <c r="E328" s="12"/>
      <c r="F328" s="12"/>
      <c r="G328" s="12"/>
      <c r="H328" s="12"/>
      <c r="I328" s="12"/>
      <c r="J328" s="12"/>
    </row>
    <row r="329">
      <c r="A329">
        <f>IFERROR(__xludf.DUMMYFUNCTION("""COMPUTED_VALUE"""),456.0)</f>
        <v>456</v>
      </c>
      <c r="B329" s="12" t="str">
        <f>IFERROR(__xludf.DUMMYFUNCTION("""COMPUTED_VALUE"""),"i didn't think of anything when i used it")</f>
        <v>i didn't think of anything when i used it</v>
      </c>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t="str">
        <f>IFERROR(__xludf.DUMMYFUNCTION("""COMPUTED_VALUE"""),"The dread that comes with Google selling my information")</f>
        <v>The dread that comes with Google selling my information</v>
      </c>
      <c r="C331" s="12"/>
      <c r="D331" s="12"/>
      <c r="E331" s="12"/>
      <c r="F331" s="12"/>
      <c r="G331" s="12"/>
      <c r="H331" s="12"/>
      <c r="I331" s="12"/>
      <c r="J331" s="12"/>
    </row>
    <row r="332">
      <c r="A332">
        <f>IFERROR(__xludf.DUMMYFUNCTION("""COMPUTED_VALUE"""),461.0)</f>
        <v>461</v>
      </c>
      <c r="B332" s="12" t="str">
        <f>IFERROR(__xludf.DUMMYFUNCTION("""COMPUTED_VALUE"""),"whether it would be more secure to sign in directly with the app using a new password")</f>
        <v>whether it would be more secure to sign in directly with the app using a new password</v>
      </c>
      <c r="C332" s="12"/>
      <c r="D332" s="12"/>
      <c r="E332" s="12"/>
      <c r="F332" s="12"/>
      <c r="G332" s="12"/>
      <c r="H332" s="12"/>
      <c r="I332" s="12"/>
      <c r="J332" s="12"/>
    </row>
    <row r="333">
      <c r="A333">
        <f>IFERROR(__xludf.DUMMYFUNCTION("""COMPUTED_VALUE"""),462.0)</f>
        <v>462</v>
      </c>
      <c r="B333" s="12" t="str">
        <f>IFERROR(__xludf.DUMMYFUNCTION("""COMPUTED_VALUE"""),"Nothing because I know it's safe")</f>
        <v>Nothing because I know it's safe</v>
      </c>
      <c r="C333" s="12"/>
      <c r="D333" s="12"/>
      <c r="E333" s="12"/>
      <c r="F333" s="12"/>
      <c r="G333" s="12"/>
      <c r="H333" s="12"/>
      <c r="I333" s="12"/>
      <c r="J333" s="12"/>
    </row>
    <row r="334">
      <c r="A334">
        <f>IFERROR(__xludf.DUMMYFUNCTION("""COMPUTED_VALUE"""),463.0)</f>
        <v>463</v>
      </c>
      <c r="B334" s="12" t="str">
        <f>IFERROR(__xludf.DUMMYFUNCTION("""COMPUTED_VALUE"""),"If I should link the account or just put in the email.")</f>
        <v>If I should link the account or just put in the email.</v>
      </c>
      <c r="C334" s="12"/>
      <c r="D334" s="12"/>
      <c r="E334" s="12"/>
      <c r="F334" s="12"/>
      <c r="G334" s="12"/>
      <c r="H334" s="12"/>
      <c r="I334" s="12"/>
      <c r="J334" s="12"/>
    </row>
    <row r="335">
      <c r="A335">
        <f>IFERROR(__xludf.DUMMYFUNCTION("""COMPUTED_VALUE"""),464.0)</f>
        <v>464</v>
      </c>
      <c r="B335" s="12" t="str">
        <f>IFERROR(__xludf.DUMMYFUNCTION("""COMPUTED_VALUE"""),"I was considering if I use my Gmail to login or my Facebook account.")</f>
        <v>I was considering if I use my Gmail to login or my Facebook account.</v>
      </c>
      <c r="C335" s="12"/>
      <c r="D335" s="12"/>
      <c r="E335" s="12"/>
      <c r="F335" s="12"/>
      <c r="G335" s="12"/>
      <c r="H335" s="12"/>
      <c r="I335" s="12"/>
      <c r="J335" s="12"/>
    </row>
    <row r="336">
      <c r="A336">
        <f>IFERROR(__xludf.DUMMYFUNCTION("""COMPUTED_VALUE"""),465.0)</f>
        <v>465</v>
      </c>
      <c r="B336" s="12" t="str">
        <f>IFERROR(__xludf.DUMMYFUNCTION("""COMPUTED_VALUE"""),"Absolutely nothing. I just signed in")</f>
        <v>Absolutely nothing. I just signed in</v>
      </c>
      <c r="C336" s="12"/>
      <c r="D336" s="12"/>
      <c r="E336" s="12"/>
      <c r="F336" s="12"/>
      <c r="G336" s="12"/>
      <c r="H336" s="12"/>
      <c r="I336" s="12"/>
      <c r="J336" s="12"/>
    </row>
    <row r="337">
      <c r="A337">
        <f>IFERROR(__xludf.DUMMYFUNCTION("""COMPUTED_VALUE"""),466.0)</f>
        <v>466</v>
      </c>
      <c r="B337" s="12" t="str">
        <f>IFERROR(__xludf.DUMMYFUNCTION("""COMPUTED_VALUE"""),"if my own handle would be better")</f>
        <v>if my own handle would be better</v>
      </c>
      <c r="C337" s="12"/>
      <c r="D337" s="12"/>
      <c r="E337" s="12"/>
      <c r="F337" s="12"/>
      <c r="G337" s="12"/>
      <c r="H337" s="12"/>
      <c r="I337" s="12"/>
      <c r="J337" s="12"/>
    </row>
    <row r="338">
      <c r="A338">
        <f>IFERROR(__xludf.DUMMYFUNCTION("""COMPUTED_VALUE"""),468.0)</f>
        <v>468</v>
      </c>
      <c r="B338" s="12" t="str">
        <f>IFERROR(__xludf.DUMMYFUNCTION("""COMPUTED_VALUE"""),"I considered the trustworthiness of the developers and the risk of getting spammed.")</f>
        <v>I considered the trustworthiness of the developers and the risk of getting spammed.</v>
      </c>
      <c r="C338" s="12"/>
      <c r="D338" s="12"/>
      <c r="E338" s="12"/>
      <c r="F338" s="12"/>
      <c r="G338" s="12"/>
      <c r="H338" s="12"/>
      <c r="I338" s="12"/>
      <c r="J338" s="12"/>
    </row>
    <row r="339">
      <c r="A339">
        <f>IFERROR(__xludf.DUMMYFUNCTION("""COMPUTED_VALUE"""),469.0)</f>
        <v>469</v>
      </c>
      <c r="B339" s="12" t="str">
        <f>IFERROR(__xludf.DUMMYFUNCTION("""COMPUTED_VALUE"""),"Nothing, I did it without any consideration besides the fact that it'd make it easier to play the game. As long as a site doesn't ask for my password directly, I trust Google's sign-in process.")</f>
        <v>Nothing, I did it without any consideration besides the fact that it'd make it easier to play the game. As long as a site doesn't ask for my password directly, I trust Google's sign-in process.</v>
      </c>
      <c r="C339" s="12"/>
      <c r="D339" s="12"/>
      <c r="E339" s="12"/>
      <c r="F339" s="12"/>
      <c r="G339" s="12"/>
      <c r="H339" s="12"/>
      <c r="I339" s="12"/>
      <c r="J339" s="12"/>
    </row>
    <row r="340">
      <c r="A340">
        <f>IFERROR(__xludf.DUMMYFUNCTION("""COMPUTED_VALUE"""),470.0)</f>
        <v>470</v>
      </c>
      <c r="B340" s="12" t="str">
        <f>IFERROR(__xludf.DUMMYFUNCTION("""COMPUTED_VALUE"""),"I preferred to sign in through Facebook, but Facebook sign-up wasn't working.")</f>
        <v>I preferred to sign in through Facebook, but Facebook sign-up wasn't working.</v>
      </c>
      <c r="C340" s="12"/>
      <c r="D340" s="12"/>
      <c r="E340" s="12"/>
      <c r="F340" s="12"/>
      <c r="G340" s="12"/>
      <c r="H340" s="12"/>
      <c r="I340" s="12"/>
      <c r="J340" s="12"/>
    </row>
    <row r="341">
      <c r="A341">
        <f>IFERROR(__xludf.DUMMYFUNCTION("""COMPUTED_VALUE"""),471.0)</f>
        <v>471</v>
      </c>
      <c r="B341" s="12" t="str">
        <f>IFERROR(__xludf.DUMMYFUNCTION("""COMPUTED_VALUE"""),"Simplicity of having everything being connected to one account. It keeps everything consistent.")</f>
        <v>Simplicity of having everything being connected to one account. It keeps everything consistent.</v>
      </c>
      <c r="C341" s="12"/>
      <c r="D341" s="12"/>
      <c r="E341" s="12"/>
      <c r="F341" s="12"/>
      <c r="G341" s="12"/>
      <c r="H341" s="12"/>
      <c r="I341" s="12"/>
      <c r="J341" s="12"/>
    </row>
    <row r="342">
      <c r="A342">
        <f>IFERROR(__xludf.DUMMYFUNCTION("""COMPUTED_VALUE"""),474.0)</f>
        <v>474</v>
      </c>
      <c r="B342" s="12" t="str">
        <f>IFERROR(__xludf.DUMMYFUNCTION("""COMPUTED_VALUE"""),"privacy")</f>
        <v>privacy</v>
      </c>
      <c r="C342" s="12"/>
      <c r="D342" s="12"/>
      <c r="E342" s="12"/>
      <c r="F342" s="12"/>
      <c r="G342" s="12"/>
      <c r="H342" s="12"/>
      <c r="I342" s="12"/>
      <c r="J342" s="12"/>
    </row>
    <row r="343">
      <c r="A343">
        <f>IFERROR(__xludf.DUMMYFUNCTION("""COMPUTED_VALUE"""),475.0)</f>
        <v>475</v>
      </c>
      <c r="B343" s="12" t="str">
        <f>IFERROR(__xludf.DUMMYFUNCTION("""COMPUTED_VALUE"""),"How my information will be used by the app and whether I will receive more emails because of it.")</f>
        <v>How my information will be used by the app and whether I will receive more emails because of it.</v>
      </c>
      <c r="C343" s="12"/>
      <c r="D343" s="12"/>
      <c r="E343" s="12"/>
      <c r="F343" s="12"/>
      <c r="G343" s="12"/>
      <c r="H343" s="12"/>
      <c r="I343" s="12"/>
      <c r="J343" s="12"/>
    </row>
    <row r="344">
      <c r="A344">
        <f>IFERROR(__xludf.DUMMYFUNCTION("""COMPUTED_VALUE"""),476.0)</f>
        <v>476</v>
      </c>
      <c r="B344" s="12" t="str">
        <f>IFERROR(__xludf.DUMMYFUNCTION("""COMPUTED_VALUE"""),"i considered my privacy but because twitter is a very mainstream service, I consider it secure.")</f>
        <v>i considered my privacy but because twitter is a very mainstream service, I consider it secure.</v>
      </c>
      <c r="C344" s="12"/>
      <c r="D344" s="12"/>
      <c r="E344" s="12"/>
      <c r="F344" s="12"/>
      <c r="G344" s="12"/>
      <c r="H344" s="12"/>
      <c r="I344" s="12"/>
      <c r="J344" s="12"/>
    </row>
    <row r="345">
      <c r="A345">
        <f>IFERROR(__xludf.DUMMYFUNCTION("""COMPUTED_VALUE"""),477.0)</f>
        <v>477</v>
      </c>
      <c r="B345" s="12" t="str">
        <f>IFERROR(__xludf.DUMMYFUNCTION("""COMPUTED_VALUE"""),"storing password")</f>
        <v>storing password</v>
      </c>
      <c r="C345" s="12"/>
      <c r="D345" s="12"/>
      <c r="E345" s="12"/>
      <c r="F345" s="12"/>
      <c r="G345" s="12"/>
      <c r="H345" s="12"/>
      <c r="I345" s="12"/>
      <c r="J345" s="12"/>
    </row>
    <row r="346">
      <c r="A346">
        <f>IFERROR(__xludf.DUMMYFUNCTION("""COMPUTED_VALUE"""),479.0)</f>
        <v>479</v>
      </c>
      <c r="B346" s="12" t="str">
        <f>IFERROR(__xludf.DUMMYFUNCTION("""COMPUTED_VALUE"""),"I considered what information will be shared between my Google account and my spotify account.")</f>
        <v>I considered what information will be shared between my Google account and my spotify account.</v>
      </c>
      <c r="C346" s="12"/>
      <c r="D346" s="12"/>
      <c r="E346" s="12"/>
      <c r="F346" s="12"/>
      <c r="G346" s="12"/>
      <c r="H346" s="12"/>
      <c r="I346" s="12"/>
      <c r="J346" s="12"/>
    </row>
    <row r="347">
      <c r="A347">
        <f>IFERROR(__xludf.DUMMYFUNCTION("""COMPUTED_VALUE"""),480.0)</f>
        <v>480</v>
      </c>
      <c r="B347" s="12" t="str">
        <f>IFERROR(__xludf.DUMMYFUNCTION("""COMPUTED_VALUE"""),"I feel like it's a safer and less intrusive sign in action than signing in with Facebook, which has loads of personal information.")</f>
        <v>I feel like it's a safer and less intrusive sign in action than signing in with Facebook, which has loads of personal information.</v>
      </c>
      <c r="C347" s="12"/>
      <c r="D347" s="12"/>
      <c r="E347" s="12"/>
      <c r="F347" s="12"/>
      <c r="G347" s="12"/>
      <c r="H347" s="12"/>
      <c r="I347" s="12"/>
      <c r="J347" s="12"/>
    </row>
    <row r="348">
      <c r="A348">
        <f>IFERROR(__xludf.DUMMYFUNCTION("""COMPUTED_VALUE"""),483.0)</f>
        <v>483</v>
      </c>
      <c r="B348" s="12" t="str">
        <f>IFERROR(__xludf.DUMMYFUNCTION("""COMPUTED_VALUE"""),"I also thought about using the facebook option since I think I had used that in the past too")</f>
        <v>I also thought about using the facebook option since I think I had used that in the past too</v>
      </c>
      <c r="C348" s="12"/>
      <c r="D348" s="12"/>
      <c r="E348" s="12"/>
      <c r="F348" s="12"/>
      <c r="G348" s="12"/>
      <c r="H348" s="12"/>
      <c r="I348" s="12"/>
      <c r="J348" s="12"/>
    </row>
    <row r="349">
      <c r="A349">
        <f>IFERROR(__xludf.DUMMYFUNCTION("""COMPUTED_VALUE"""),484.0)</f>
        <v>484</v>
      </c>
      <c r="B349" s="12" t="str">
        <f>IFERROR(__xludf.DUMMYFUNCTION("""COMPUTED_VALUE"""),"I considered if I really wanted to make an account to see the items I wanted to view or if I wanted to view it just the one time.")</f>
        <v>I considered if I really wanted to make an account to see the items I wanted to view or if I wanted to view it just the one time.</v>
      </c>
      <c r="C349" s="12"/>
      <c r="D349" s="12"/>
      <c r="E349" s="12"/>
      <c r="F349" s="12"/>
      <c r="G349" s="12"/>
      <c r="H349" s="12"/>
      <c r="I349" s="12"/>
      <c r="J349" s="12"/>
    </row>
    <row r="350">
      <c r="A350">
        <f>IFERROR(__xludf.DUMMYFUNCTION("""COMPUTED_VALUE"""),485.0)</f>
        <v>485</v>
      </c>
      <c r="B350" s="12" t="str">
        <f>IFERROR(__xludf.DUMMYFUNCTION("""COMPUTED_VALUE"""),"I was worried that any additional information irrelevant to the service I was using for was going to be utilized for purposes beyond what was intended. Such as access to my contacts and stuff I am interested in.")</f>
        <v>I was worried that any additional information irrelevant to the service I was using for was going to be utilized for purposes beyond what was intended. Such as access to my contacts and stuff I am interested in.</v>
      </c>
      <c r="C350" s="12"/>
      <c r="D350" s="12"/>
      <c r="E350" s="12"/>
      <c r="F350" s="12"/>
      <c r="G350" s="12"/>
      <c r="H350" s="12"/>
      <c r="I350" s="12"/>
      <c r="J350" s="12"/>
    </row>
    <row r="351">
      <c r="A351">
        <f>IFERROR(__xludf.DUMMYFUNCTION("""COMPUTED_VALUE"""),486.0)</f>
        <v>486</v>
      </c>
      <c r="B351" s="12" t="str">
        <f>IFERROR(__xludf.DUMMYFUNCTION("""COMPUTED_VALUE"""),"I may have wondered whether or not it was safe.")</f>
        <v>I may have wondered whether or not it was safe.</v>
      </c>
      <c r="C351" s="12"/>
      <c r="D351" s="12"/>
      <c r="E351" s="12"/>
      <c r="F351" s="12"/>
      <c r="G351" s="12"/>
      <c r="H351" s="12"/>
      <c r="I351" s="12"/>
      <c r="J351" s="12"/>
    </row>
    <row r="352">
      <c r="A352">
        <f>IFERROR(__xludf.DUMMYFUNCTION("""COMPUTED_VALUE"""),487.0)</f>
        <v>487</v>
      </c>
      <c r="B352" s="12" t="str">
        <f>IFERROR(__xludf.DUMMYFUNCTION("""COMPUTED_VALUE"""),"Whether I wanted to start up a new account and password to access this online news source and be able to comment, and also whether I wanted to access it through apple or google or whatever others options available.")</f>
        <v>Whether I wanted to start up a new account and password to access this online news source and be able to comment, and also whether I wanted to access it through apple or google or whatever others options available.</v>
      </c>
      <c r="C352" s="12"/>
      <c r="D352" s="12"/>
      <c r="E352" s="12"/>
      <c r="F352" s="12"/>
      <c r="G352" s="12"/>
      <c r="H352" s="12"/>
      <c r="I352" s="12"/>
      <c r="J352" s="12"/>
    </row>
    <row r="353">
      <c r="A353">
        <f>IFERROR(__xludf.DUMMYFUNCTION("""COMPUTED_VALUE"""),488.0)</f>
        <v>488</v>
      </c>
      <c r="B353" s="12" t="str">
        <f>IFERROR(__xludf.DUMMYFUNCTION("""COMPUTED_VALUE"""),"Using traditional email/password login.")</f>
        <v>Using traditional email/password login.</v>
      </c>
      <c r="C353" s="12"/>
      <c r="D353" s="12"/>
      <c r="E353" s="12"/>
      <c r="F353" s="12"/>
      <c r="G353" s="12"/>
      <c r="H353" s="12"/>
      <c r="I353" s="12"/>
      <c r="J353" s="12"/>
    </row>
    <row r="354">
      <c r="A354">
        <f>IFERROR(__xludf.DUMMYFUNCTION("""COMPUTED_VALUE"""),489.0)</f>
        <v>489</v>
      </c>
      <c r="B354" s="12" t="str">
        <f>IFERROR(__xludf.DUMMYFUNCTION("""COMPUTED_VALUE"""),"I considered whether the company would be trustworthy with my data. Since the game is well known, I decided it is okay.")</f>
        <v>I considered whether the company would be trustworthy with my data. Since the game is well known, I decided it is okay.</v>
      </c>
      <c r="C354" s="12"/>
      <c r="D354" s="12"/>
      <c r="E354" s="12"/>
      <c r="F354" s="12"/>
      <c r="G354" s="12"/>
      <c r="H354" s="12"/>
      <c r="I354" s="12"/>
      <c r="J354" s="12"/>
    </row>
    <row r="355">
      <c r="A355">
        <f>IFERROR(__xludf.DUMMYFUNCTION("""COMPUTED_VALUE"""),490.0)</f>
        <v>490</v>
      </c>
      <c r="B355" s="12" t="str">
        <f>IFERROR(__xludf.DUMMYFUNCTION("""COMPUTED_VALUE"""),"I thought about what website I was using and how trustworthy it is.")</f>
        <v>I thought about what website I was using and how trustworthy it is.</v>
      </c>
      <c r="C355" s="12"/>
      <c r="D355" s="12"/>
      <c r="E355" s="12"/>
      <c r="F355" s="12"/>
      <c r="G355" s="12"/>
      <c r="H355" s="12"/>
      <c r="I355" s="12"/>
      <c r="J355" s="12"/>
    </row>
    <row r="356">
      <c r="A356">
        <f>IFERROR(__xludf.DUMMYFUNCTION("""COMPUTED_VALUE"""),491.0)</f>
        <v>491</v>
      </c>
      <c r="B356" s="12" t="str">
        <f>IFERROR(__xludf.DUMMYFUNCTION("""COMPUTED_VALUE"""),"Whether or not I wanted the abundance of emails I would get after allowing that site to have access to my email address.")</f>
        <v>Whether or not I wanted the abundance of emails I would get after allowing that site to have access to my email address.</v>
      </c>
      <c r="C356" s="12"/>
      <c r="D356" s="12"/>
      <c r="E356" s="12"/>
      <c r="F356" s="12"/>
      <c r="G356" s="12"/>
      <c r="H356" s="12"/>
      <c r="I356" s="12"/>
      <c r="J356" s="12"/>
    </row>
    <row r="357">
      <c r="A357">
        <f>IFERROR(__xludf.DUMMYFUNCTION("""COMPUTED_VALUE"""),493.0)</f>
        <v>493</v>
      </c>
      <c r="B357" s="12" t="str">
        <f>IFERROR(__xludf.DUMMYFUNCTION("""COMPUTED_VALUE"""),"I considered using Facebook instead")</f>
        <v>I considered using Facebook instead</v>
      </c>
      <c r="C357" s="12"/>
      <c r="D357" s="12"/>
      <c r="E357" s="12"/>
      <c r="F357" s="12"/>
      <c r="G357" s="12"/>
      <c r="H357" s="12"/>
      <c r="I357" s="12"/>
      <c r="J357" s="12"/>
    </row>
    <row r="358">
      <c r="A358">
        <f>IFERROR(__xludf.DUMMYFUNCTION("""COMPUTED_VALUE"""),496.0)</f>
        <v>496</v>
      </c>
      <c r="B358" s="12" t="str">
        <f>IFERROR(__xludf.DUMMYFUNCTION("""COMPUTED_VALUE"""),"I considered if I should use my personal gmail account or one of my work issued accounts instead.")</f>
        <v>I considered if I should use my personal gmail account or one of my work issued accounts instead.</v>
      </c>
      <c r="C358" s="12"/>
      <c r="D358" s="12"/>
      <c r="E358" s="12"/>
      <c r="F358" s="12"/>
      <c r="G358" s="12"/>
      <c r="H358" s="12"/>
      <c r="I358" s="12"/>
      <c r="J358" s="12"/>
    </row>
    <row r="359">
      <c r="A359">
        <f>IFERROR(__xludf.DUMMYFUNCTION("""COMPUTED_VALUE"""),497.0)</f>
        <v>497</v>
      </c>
      <c r="B359" s="12" t="str">
        <f>IFERROR(__xludf.DUMMYFUNCTION("""COMPUTED_VALUE"""),"nothing")</f>
        <v>nothing</v>
      </c>
      <c r="C359" s="12"/>
      <c r="D359" s="12"/>
      <c r="E359" s="12"/>
      <c r="F359" s="12"/>
      <c r="G359" s="12"/>
      <c r="H359" s="12"/>
      <c r="I359" s="12"/>
      <c r="J359" s="12"/>
    </row>
    <row r="360">
      <c r="A360">
        <f>IFERROR(__xludf.DUMMYFUNCTION("""COMPUTED_VALUE"""),498.0)</f>
        <v>498</v>
      </c>
      <c r="B360" s="12" t="str">
        <f>IFERROR(__xludf.DUMMYFUNCTION("""COMPUTED_VALUE"""),"I don't think I really considered much, besides that it would be quicker to sign in with Google than to create a whole Etsy account by putting in my email and information.")</f>
        <v>I don't think I really considered much, besides that it would be quicker to sign in with Google than to create a whole Etsy account by putting in my email and information.</v>
      </c>
      <c r="C360" s="12"/>
      <c r="D360" s="12"/>
      <c r="E360" s="12"/>
      <c r="F360" s="12"/>
      <c r="G360" s="12"/>
      <c r="H360" s="12"/>
      <c r="I360" s="12"/>
      <c r="J360" s="12"/>
    </row>
    <row r="361">
      <c r="A361">
        <f>IFERROR(__xludf.DUMMYFUNCTION("""COMPUTED_VALUE"""),499.0)</f>
        <v>499</v>
      </c>
      <c r="B361" s="12" t="str">
        <f>IFERROR(__xludf.DUMMYFUNCTION("""COMPUTED_VALUE"""),"What information I would be allowing the third-party to see")</f>
        <v>What information I would be allowing the third-party to see</v>
      </c>
      <c r="C361" s="12"/>
      <c r="D361" s="12"/>
      <c r="E361" s="12"/>
      <c r="F361" s="12"/>
      <c r="G361" s="12"/>
      <c r="H361" s="12"/>
      <c r="I361" s="12"/>
      <c r="J361" s="12"/>
    </row>
    <row r="362">
      <c r="A362">
        <f>IFERROR(__xludf.DUMMYFUNCTION("""COMPUTED_VALUE"""),501.0)</f>
        <v>501</v>
      </c>
      <c r="B362" s="12" t="str">
        <f>IFERROR(__xludf.DUMMYFUNCTION("""COMPUTED_VALUE"""),"nothing")</f>
        <v>nothing</v>
      </c>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t="str">
        <f>IFERROR(__xludf.DUMMYFUNCTION("""COMPUTED_VALUE"""),"Honestly, I considered that I would not have to remember my passoword.")</f>
        <v>Honestly, I considered that I would not have to remember my passoword.</v>
      </c>
      <c r="C364" s="12"/>
      <c r="D364" s="12"/>
      <c r="E364" s="12"/>
      <c r="F364" s="12"/>
      <c r="G364" s="12"/>
      <c r="H364" s="12"/>
      <c r="I364" s="12"/>
      <c r="J364" s="12"/>
    </row>
    <row r="365">
      <c r="A365">
        <f>IFERROR(__xludf.DUMMYFUNCTION("""COMPUTED_VALUE"""),504.0)</f>
        <v>504</v>
      </c>
      <c r="B365" s="12" t="str">
        <f>IFERROR(__xludf.DUMMYFUNCTION("""COMPUTED_VALUE"""),"I considered creating a login specifically for Instacart.")</f>
        <v>I considered creating a login specifically for Instacart.</v>
      </c>
      <c r="C365" s="12"/>
      <c r="D365" s="12"/>
      <c r="E365" s="12"/>
      <c r="F365" s="12"/>
      <c r="G365" s="12"/>
      <c r="H365" s="12"/>
      <c r="I365" s="12"/>
      <c r="J365" s="12"/>
    </row>
    <row r="366">
      <c r="A366">
        <f>IFERROR(__xludf.DUMMYFUNCTION("""COMPUTED_VALUE"""),505.0)</f>
        <v>505</v>
      </c>
      <c r="B366" s="12" t="str">
        <f>IFERROR(__xludf.DUMMYFUNCTION("""COMPUTED_VALUE"""),"I always check to see what permissions that a third-party service is gaining access to.")</f>
        <v>I always check to see what permissions that a third-party service is gaining access to.</v>
      </c>
      <c r="C366" s="12"/>
      <c r="D366" s="12"/>
      <c r="E366" s="12"/>
      <c r="F366" s="12"/>
      <c r="G366" s="12"/>
      <c r="H366" s="12"/>
      <c r="I366" s="12"/>
      <c r="J366" s="12"/>
    </row>
    <row r="367">
      <c r="A367">
        <f>IFERROR(__xludf.DUMMYFUNCTION("""COMPUTED_VALUE"""),507.0)</f>
        <v>507</v>
      </c>
      <c r="B367" s="12" t="str">
        <f>IFERROR(__xludf.DUMMYFUNCTION("""COMPUTED_VALUE"""),"I considered the fact that I may want to stop using Google services one day and that there's no way to unlink my google account from the service.")</f>
        <v>I considered the fact that I may want to stop using Google services one day and that there's no way to unlink my google account from the service.</v>
      </c>
      <c r="C367" s="12"/>
      <c r="D367" s="12"/>
      <c r="E367" s="12"/>
      <c r="F367" s="12"/>
      <c r="G367" s="12"/>
      <c r="H367" s="12"/>
      <c r="I367" s="12"/>
      <c r="J367" s="12"/>
    </row>
    <row r="368">
      <c r="A368">
        <f>IFERROR(__xludf.DUMMYFUNCTION("""COMPUTED_VALUE"""),508.0)</f>
        <v>508</v>
      </c>
      <c r="B368" s="12" t="str">
        <f>IFERROR(__xludf.DUMMYFUNCTION("""COMPUTED_VALUE"""),"Whether the app would send me a bunch of emails")</f>
        <v>Whether the app would send me a bunch of emails</v>
      </c>
      <c r="C368" s="12"/>
      <c r="D368" s="12"/>
      <c r="E368" s="12"/>
      <c r="F368" s="12"/>
      <c r="G368" s="12"/>
      <c r="H368" s="12"/>
      <c r="I368" s="12"/>
      <c r="J368" s="12"/>
    </row>
    <row r="369">
      <c r="A369">
        <f>IFERROR(__xludf.DUMMYFUNCTION("""COMPUTED_VALUE"""),509.0)</f>
        <v>509</v>
      </c>
      <c r="B369" s="12" t="str">
        <f>IFERROR(__xludf.DUMMYFUNCTION("""COMPUTED_VALUE"""),"Do i already have a seperate account that isn't tied to a google account? Is this site important enough to me to warrant a separate-from-google account?")</f>
        <v>Do i already have a seperate account that isn't tied to a google account? Is this site important enough to me to warrant a separate-from-google account?</v>
      </c>
      <c r="C369" s="12"/>
      <c r="D369" s="12"/>
      <c r="E369" s="12"/>
      <c r="F369" s="12"/>
      <c r="G369" s="12"/>
      <c r="H369" s="12"/>
      <c r="I369" s="12"/>
      <c r="J369" s="12"/>
    </row>
    <row r="370">
      <c r="A370">
        <f>IFERROR(__xludf.DUMMYFUNCTION("""COMPUTED_VALUE"""),510.0)</f>
        <v>510</v>
      </c>
      <c r="B370" s="12" t="str">
        <f>IFERROR(__xludf.DUMMYFUNCTION("""COMPUTED_VALUE"""),"I thought about privacy and security")</f>
        <v>I thought about privacy and security</v>
      </c>
      <c r="C370" s="12"/>
      <c r="D370" s="12"/>
      <c r="E370" s="12"/>
      <c r="F370" s="12"/>
      <c r="G370" s="12"/>
      <c r="H370" s="12"/>
      <c r="I370" s="12"/>
      <c r="J370" s="12"/>
    </row>
    <row r="371">
      <c r="A371">
        <f>IFERROR(__xludf.DUMMYFUNCTION("""COMPUTED_VALUE"""),511.0)</f>
        <v>511</v>
      </c>
      <c r="B371" s="12" t="str">
        <f>IFERROR(__xludf.DUMMYFUNCTION("""COMPUTED_VALUE"""),"nothing")</f>
        <v>nothing</v>
      </c>
      <c r="C371" s="12"/>
      <c r="D371" s="12"/>
      <c r="E371" s="12"/>
      <c r="F371" s="12"/>
      <c r="G371" s="12"/>
      <c r="H371" s="12"/>
      <c r="I371" s="12"/>
      <c r="J371" s="12"/>
    </row>
    <row r="372">
      <c r="A372">
        <f>IFERROR(__xludf.DUMMYFUNCTION("""COMPUTED_VALUE"""),512.0)</f>
        <v>512</v>
      </c>
      <c r="B372" s="12" t="str">
        <f>IFERROR(__xludf.DUMMYFUNCTION("""COMPUTED_VALUE"""),"I didn't really consider it, I just did it because it was easier than creating another account.")</f>
        <v>I didn't really consider it, I just did it because it was easier than creating another account.</v>
      </c>
      <c r="C372" s="12"/>
      <c r="D372" s="12"/>
      <c r="E372" s="12"/>
      <c r="F372" s="12"/>
      <c r="G372" s="12"/>
      <c r="H372" s="12"/>
      <c r="I372" s="12"/>
      <c r="J372" s="12"/>
    </row>
    <row r="373">
      <c r="A373">
        <f>IFERROR(__xludf.DUMMYFUNCTION("""COMPUTED_VALUE"""),513.0)</f>
        <v>513</v>
      </c>
      <c r="B373" s="12" t="str">
        <f>IFERROR(__xludf.DUMMYFUNCTION("""COMPUTED_VALUE"""),"my time")</f>
        <v>my time</v>
      </c>
      <c r="C373" s="12"/>
      <c r="D373" s="12"/>
      <c r="E373" s="12"/>
      <c r="F373" s="12"/>
      <c r="G373" s="12"/>
      <c r="H373" s="12"/>
      <c r="I373" s="12"/>
      <c r="J373" s="12"/>
    </row>
    <row r="374">
      <c r="A374">
        <f>IFERROR(__xludf.DUMMYFUNCTION("""COMPUTED_VALUE"""),514.0)</f>
        <v>514</v>
      </c>
      <c r="B374" s="12" t="str">
        <f>IFERROR(__xludf.DUMMYFUNCTION("""COMPUTED_VALUE"""),"I considered setting up a separate account without linking my Google account to the third-party app or service.")</f>
        <v>I considered setting up a separate account without linking my Google account to the third-party app or service.</v>
      </c>
      <c r="C374" s="12"/>
      <c r="D374" s="12"/>
      <c r="E374" s="12"/>
      <c r="F374" s="12"/>
      <c r="G374" s="12"/>
      <c r="H374" s="12"/>
      <c r="I374" s="12"/>
      <c r="J374" s="12"/>
    </row>
    <row r="375">
      <c r="A375">
        <f>IFERROR(__xludf.DUMMYFUNCTION("""COMPUTED_VALUE"""),515.0)</f>
        <v>515</v>
      </c>
      <c r="B375" s="12" t="str">
        <f>IFERROR(__xludf.DUMMYFUNCTION("""COMPUTED_VALUE"""),"I thought if I wanted this to be associated with my email and whether the acccount maybe warranted stronger security than my gmail account")</f>
        <v>I thought if I wanted this to be associated with my email and whether the acccount maybe warranted stronger security than my gmail account</v>
      </c>
      <c r="C375" s="12"/>
      <c r="D375" s="12"/>
      <c r="E375" s="12"/>
      <c r="F375" s="12"/>
      <c r="G375" s="12"/>
      <c r="H375" s="12"/>
      <c r="I375" s="12"/>
      <c r="J375" s="12"/>
    </row>
    <row r="376">
      <c r="A376">
        <f>IFERROR(__xludf.DUMMYFUNCTION("""COMPUTED_VALUE"""),516.0)</f>
        <v>516</v>
      </c>
      <c r="B376" s="12" t="str">
        <f>IFERROR(__xludf.DUMMYFUNCTION("""COMPUTED_VALUE"""),"How convenient Google already has my stored information, I would not need to type it out myself")</f>
        <v>How convenient Google already has my stored information, I would not need to type it out myself</v>
      </c>
      <c r="C376" s="12"/>
      <c r="D376" s="12"/>
      <c r="E376" s="12"/>
      <c r="F376" s="12"/>
      <c r="G376" s="12"/>
      <c r="H376" s="12"/>
      <c r="I376" s="12"/>
      <c r="J376" s="12"/>
    </row>
    <row r="377">
      <c r="A377">
        <f>IFERROR(__xludf.DUMMYFUNCTION("""COMPUTED_VALUE"""),517.0)</f>
        <v>517</v>
      </c>
      <c r="B377" s="12" t="str">
        <f>IFERROR(__xludf.DUMMYFUNCTION("""COMPUTED_VALUE"""),"I didn't consider anything.")</f>
        <v>I didn't consider anything.</v>
      </c>
      <c r="C377" s="12"/>
      <c r="D377" s="12"/>
      <c r="E377" s="12"/>
      <c r="F377" s="12"/>
      <c r="G377" s="12"/>
      <c r="H377" s="12"/>
      <c r="I377" s="12"/>
      <c r="J377" s="12"/>
    </row>
    <row r="378">
      <c r="A378">
        <f>IFERROR(__xludf.DUMMYFUNCTION("""COMPUTED_VALUE"""),518.0)</f>
        <v>518</v>
      </c>
      <c r="B378" s="12" t="str">
        <f>IFERROR(__xludf.DUMMYFUNCTION("""COMPUTED_VALUE"""),"How it's more convenient to sign in using my Google Account")</f>
        <v>How it's more convenient to sign in using my Google Account</v>
      </c>
      <c r="C378" s="12"/>
      <c r="D378" s="12"/>
      <c r="E378" s="12"/>
      <c r="F378" s="12"/>
      <c r="G378" s="12"/>
      <c r="H378" s="12"/>
      <c r="I378" s="12"/>
      <c r="J378" s="12"/>
    </row>
    <row r="379">
      <c r="A379">
        <f>IFERROR(__xludf.DUMMYFUNCTION("""COMPUTED_VALUE"""),519.0)</f>
        <v>519</v>
      </c>
      <c r="B379" s="12" t="str">
        <f>IFERROR(__xludf.DUMMYFUNCTION("""COMPUTED_VALUE"""),"The security risks of linking my account to another party's data")</f>
        <v>The security risks of linking my account to another party's data</v>
      </c>
      <c r="C379" s="12"/>
      <c r="D379" s="12"/>
      <c r="E379" s="12"/>
      <c r="F379" s="12"/>
      <c r="G379" s="12"/>
      <c r="H379" s="12"/>
      <c r="I379" s="12"/>
      <c r="J379" s="12"/>
    </row>
    <row r="380">
      <c r="A380">
        <f>IFERROR(__xludf.DUMMYFUNCTION("""COMPUTED_VALUE"""),521.0)</f>
        <v>521</v>
      </c>
      <c r="B380" s="12" t="str">
        <f>IFERROR(__xludf.DUMMYFUNCTION("""COMPUTED_VALUE"""),"I considered it to be more convenient. Using google is preferable because it means one less account to maintain.")</f>
        <v>I considered it to be more convenient. Using google is preferable because it means one less account to maintain.</v>
      </c>
      <c r="C380" s="12"/>
      <c r="D380" s="12"/>
      <c r="E380" s="12"/>
      <c r="F380" s="12"/>
      <c r="G380" s="12"/>
      <c r="H380" s="12"/>
      <c r="I380" s="12"/>
      <c r="J380" s="12"/>
    </row>
    <row r="381">
      <c r="A381">
        <f>IFERROR(__xludf.DUMMYFUNCTION("""COMPUTED_VALUE"""),522.0)</f>
        <v>522</v>
      </c>
      <c r="B381" s="12" t="str">
        <f>IFERROR(__xludf.DUMMYFUNCTION("""COMPUTED_VALUE"""),"I considered the convenience, since I knew offhand my GMail password.")</f>
        <v>I considered the convenience, since I knew offhand my GMail password.</v>
      </c>
      <c r="C381" s="12"/>
      <c r="D381" s="12"/>
      <c r="E381" s="12"/>
      <c r="F381" s="12"/>
      <c r="G381" s="12"/>
      <c r="H381" s="12"/>
      <c r="I381" s="12"/>
      <c r="J381" s="12"/>
    </row>
    <row r="382">
      <c r="A382">
        <f>IFERROR(__xludf.DUMMYFUNCTION("""COMPUTED_VALUE"""),523.0)</f>
        <v>523</v>
      </c>
      <c r="B382" s="12" t="str">
        <f>IFERROR(__xludf.DUMMYFUNCTION("""COMPUTED_VALUE"""),"I considered if the service is trustworthy.")</f>
        <v>I considered if the service is trustworthy.</v>
      </c>
      <c r="C382" s="12"/>
      <c r="D382" s="12"/>
      <c r="E382" s="12"/>
      <c r="F382" s="12"/>
      <c r="G382" s="12"/>
      <c r="H382" s="12"/>
      <c r="I382" s="12"/>
      <c r="J382" s="12"/>
    </row>
    <row r="383">
      <c r="A383">
        <f>IFERROR(__xludf.DUMMYFUNCTION("""COMPUTED_VALUE"""),527.0)</f>
        <v>527</v>
      </c>
      <c r="B383" s="12" t="str">
        <f>IFERROR(__xludf.DUMMYFUNCTION("""COMPUTED_VALUE"""),"I considered how often I would use the service before signing in with Google Account.")</f>
        <v>I considered how often I would use the service before signing in with Google Account.</v>
      </c>
      <c r="C383" s="12"/>
      <c r="D383" s="12"/>
      <c r="E383" s="12"/>
      <c r="F383" s="12"/>
      <c r="G383" s="12"/>
      <c r="H383" s="12"/>
      <c r="I383" s="12"/>
      <c r="J383" s="12"/>
    </row>
    <row r="384">
      <c r="A384">
        <f>IFERROR(__xludf.DUMMYFUNCTION("""COMPUTED_VALUE"""),528.0)</f>
        <v>528</v>
      </c>
      <c r="B384" s="12" t="str">
        <f>IFERROR(__xludf.DUMMYFUNCTION("""COMPUTED_VALUE"""),"creating a new account")</f>
        <v>creating a new account</v>
      </c>
      <c r="C384" s="12"/>
      <c r="D384" s="12"/>
      <c r="E384" s="12"/>
      <c r="F384" s="12"/>
      <c r="G384" s="12"/>
      <c r="H384" s="12"/>
      <c r="I384" s="12"/>
      <c r="J384" s="12"/>
    </row>
    <row r="385">
      <c r="A385">
        <f>IFERROR(__xludf.DUMMYFUNCTION("""COMPUTED_VALUE"""),529.0)</f>
        <v>529</v>
      </c>
      <c r="B385" s="12" t="str">
        <f>IFERROR(__xludf.DUMMYFUNCTION("""COMPUTED_VALUE"""),"I considered how easy/difficult it would be to set up my own account, whether it would be a security risk to connect my Google account, who would access my data and which kinds of data, how often I would use the game (whether these risks were ""worth"" it"&amp;" for the convenience of easily logging in to play)")</f>
        <v>I considered how easy/difficult it would be to set up my own account, whether it would be a security risk to connect my Google account, who would access my data and which kinds of data, how often I would use the game (whether these risks were "worth" it for the convenience of easily logging in to play)</v>
      </c>
      <c r="C385" s="12"/>
      <c r="D385" s="12"/>
      <c r="E385" s="12"/>
      <c r="F385" s="12"/>
      <c r="G385" s="12"/>
      <c r="H385" s="12"/>
      <c r="I385" s="12"/>
      <c r="J385" s="12"/>
    </row>
    <row r="386">
      <c r="A386">
        <f>IFERROR(__xludf.DUMMYFUNCTION("""COMPUTED_VALUE"""),530.0)</f>
        <v>530</v>
      </c>
      <c r="B386" s="12" t="str">
        <f>IFERROR(__xludf.DUMMYFUNCTION("""COMPUTED_VALUE"""),"n/a")</f>
        <v>n/a</v>
      </c>
      <c r="C386" s="12"/>
      <c r="D386" s="12"/>
      <c r="E386" s="12"/>
      <c r="F386" s="12"/>
      <c r="G386" s="12"/>
      <c r="H386" s="12"/>
      <c r="I386" s="12"/>
      <c r="J386" s="12"/>
    </row>
    <row r="387">
      <c r="A387">
        <f>IFERROR(__xludf.DUMMYFUNCTION("""COMPUTED_VALUE"""),532.0)</f>
        <v>532</v>
      </c>
      <c r="B387" s="12" t="str">
        <f>IFERROR(__xludf.DUMMYFUNCTION("""COMPUTED_VALUE"""),"How the third-party website may be using my Google login information and whether or not it is necessary for me to log in using Google.")</f>
        <v>How the third-party website may be using my Google login information and whether or not it is necessary for me to log in using Google.</v>
      </c>
      <c r="C387" s="12"/>
      <c r="D387" s="12"/>
      <c r="E387" s="12"/>
      <c r="F387" s="12"/>
      <c r="G387" s="12"/>
      <c r="H387" s="12"/>
      <c r="I387" s="12"/>
      <c r="J387" s="12"/>
    </row>
    <row r="388">
      <c r="A388">
        <f>IFERROR(__xludf.DUMMYFUNCTION("""COMPUTED_VALUE"""),533.0)</f>
        <v>533</v>
      </c>
      <c r="B388" s="12" t="str">
        <f>IFERROR(__xludf.DUMMYFUNCTION("""COMPUTED_VALUE"""),"I was wondering it was worth my time to sign in and if it was a safe sight to sign in to.")</f>
        <v>I was wondering it was worth my time to sign in and if it was a safe sight to sign in to.</v>
      </c>
      <c r="C388" s="12"/>
      <c r="D388" s="12"/>
      <c r="E388" s="12"/>
      <c r="F388" s="12"/>
      <c r="G388" s="12"/>
      <c r="H388" s="12"/>
      <c r="I388" s="12"/>
      <c r="J388" s="12"/>
    </row>
    <row r="389">
      <c r="A389">
        <f>IFERROR(__xludf.DUMMYFUNCTION("""COMPUTED_VALUE"""),536.0)</f>
        <v>536</v>
      </c>
      <c r="B389" s="12" t="str">
        <f>IFERROR(__xludf.DUMMYFUNCTION("""COMPUTED_VALUE"""),"Trying to remember my password and username")</f>
        <v>Trying to remember my password and username</v>
      </c>
      <c r="C389" s="12"/>
      <c r="D389" s="12"/>
      <c r="E389" s="12"/>
      <c r="F389" s="12"/>
      <c r="G389" s="12"/>
      <c r="H389" s="12"/>
      <c r="I389" s="12"/>
      <c r="J389" s="12"/>
    </row>
    <row r="390">
      <c r="A390">
        <f>IFERROR(__xludf.DUMMYFUNCTION("""COMPUTED_VALUE"""),537.0)</f>
        <v>537</v>
      </c>
      <c r="B390" s="12" t="str">
        <f>IFERROR(__xludf.DUMMYFUNCTION("""COMPUTED_VALUE"""),"I considered how difficult the signup process for the third-party app would be and if just logging into it with my Google Account would be faster.")</f>
        <v>I considered how difficult the signup process for the third-party app would be and if just logging into it with my Google Account would be faster.</v>
      </c>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t="str">
        <f>IFERROR(__xludf.DUMMYFUNCTION("""COMPUTED_VALUE"""),"Whether that website would be able to see my emails and such")</f>
        <v>Whether that website would be able to see my emails and such</v>
      </c>
      <c r="C392" s="12"/>
      <c r="D392" s="12"/>
      <c r="E392" s="12"/>
      <c r="F392" s="12"/>
      <c r="G392" s="12"/>
      <c r="H392" s="12"/>
      <c r="I392" s="12"/>
      <c r="J392" s="12"/>
    </row>
    <row r="393">
      <c r="A393">
        <f>IFERROR(__xludf.DUMMYFUNCTION("""COMPUTED_VALUE"""),540.0)</f>
        <v>540</v>
      </c>
      <c r="B393" s="12" t="str">
        <f>IFERROR(__xludf.DUMMYFUNCTION("""COMPUTED_VALUE"""),"Convenience")</f>
        <v>Convenience</v>
      </c>
      <c r="C393" s="12"/>
      <c r="D393" s="12"/>
      <c r="E393" s="12"/>
      <c r="F393" s="12"/>
      <c r="G393" s="12"/>
      <c r="H393" s="12"/>
      <c r="I393" s="12"/>
      <c r="J393" s="12"/>
    </row>
    <row r="394">
      <c r="A394">
        <f>IFERROR(__xludf.DUMMYFUNCTION("""COMPUTED_VALUE"""),542.0)</f>
        <v>542</v>
      </c>
      <c r="B394" s="12" t="str">
        <f>IFERROR(__xludf.DUMMYFUNCTION("""COMPUTED_VALUE"""),"I thought about how much I trusted the website I was using google to sign into and if I was comfortable signing in with my google account. I decided it was fine and did.")</f>
        <v>I thought about how much I trusted the website I was using google to sign into and if I was comfortable signing in with my google account. I decided it was fine and did.</v>
      </c>
      <c r="C394" s="12"/>
      <c r="D394" s="12"/>
      <c r="E394" s="12"/>
      <c r="F394" s="12"/>
      <c r="G394" s="12"/>
      <c r="H394" s="12"/>
      <c r="I394" s="12"/>
      <c r="J394" s="12"/>
    </row>
    <row r="395">
      <c r="A395">
        <f>IFERROR(__xludf.DUMMYFUNCTION("""COMPUTED_VALUE"""),543.0)</f>
        <v>543</v>
      </c>
      <c r="B395" s="12" t="str">
        <f>IFERROR(__xludf.DUMMYFUNCTION("""COMPUTED_VALUE"""),"nothing")</f>
        <v>nothing</v>
      </c>
      <c r="C395" s="12"/>
      <c r="D395" s="12"/>
      <c r="E395" s="12"/>
      <c r="F395" s="12"/>
      <c r="G395" s="12"/>
      <c r="H395" s="12"/>
      <c r="I395" s="12"/>
      <c r="J395" s="12"/>
    </row>
    <row r="396">
      <c r="A396">
        <f>IFERROR(__xludf.DUMMYFUNCTION("""COMPUTED_VALUE"""),544.0)</f>
        <v>544</v>
      </c>
      <c r="B396" s="12" t="str">
        <f>IFERROR(__xludf.DUMMYFUNCTION("""COMPUTED_VALUE"""),"am I okay sharing my data")</f>
        <v>am I okay sharing my data</v>
      </c>
      <c r="C396" s="12"/>
      <c r="D396" s="12"/>
      <c r="E396" s="12"/>
      <c r="F396" s="12"/>
      <c r="G396" s="12"/>
      <c r="H396" s="12"/>
      <c r="I396" s="12"/>
      <c r="J396" s="12"/>
    </row>
    <row r="397">
      <c r="A397">
        <f>IFERROR(__xludf.DUMMYFUNCTION("""COMPUTED_VALUE"""),545.0)</f>
        <v>545</v>
      </c>
      <c r="B397" s="12" t="str">
        <f>IFERROR(__xludf.DUMMYFUNCTION("""COMPUTED_VALUE"""),"I considered what could possibly happen if someone malicious gained access to that account.")</f>
        <v>I considered what could possibly happen if someone malicious gained access to that account.</v>
      </c>
      <c r="C397" s="12"/>
      <c r="D397" s="12"/>
      <c r="E397" s="12"/>
      <c r="F397" s="12"/>
      <c r="G397" s="12"/>
      <c r="H397" s="12"/>
      <c r="I397" s="12"/>
      <c r="J397" s="12"/>
    </row>
    <row r="398">
      <c r="A398">
        <f>IFERROR(__xludf.DUMMYFUNCTION("""COMPUTED_VALUE"""),547.0)</f>
        <v>547</v>
      </c>
      <c r="B398" s="12" t="str">
        <f>IFERROR(__xludf.DUMMYFUNCTION("""COMPUTED_VALUE"""),"I wondered if my data would be safe.")</f>
        <v>I wondered if my data would be safe.</v>
      </c>
      <c r="C398" s="12"/>
      <c r="D398" s="12"/>
      <c r="E398" s="12"/>
      <c r="F398" s="12"/>
      <c r="G398" s="12"/>
      <c r="H398" s="12"/>
      <c r="I398" s="12"/>
      <c r="J398" s="12"/>
    </row>
    <row r="399">
      <c r="A399">
        <f>IFERROR(__xludf.DUMMYFUNCTION("""COMPUTED_VALUE"""),548.0)</f>
        <v>548</v>
      </c>
      <c r="B399" s="12" t="str">
        <f>IFERROR(__xludf.DUMMYFUNCTION("""COMPUTED_VALUE"""),"I considered whether the app or service was trustworthy, and I also considered how often I would use this app.")</f>
        <v>I considered whether the app or service was trustworthy, and I also considered how often I would use this app.</v>
      </c>
      <c r="C399" s="12"/>
      <c r="D399" s="12"/>
      <c r="E399" s="12"/>
      <c r="F399" s="12"/>
      <c r="G399" s="12"/>
      <c r="H399" s="12"/>
      <c r="I399" s="12"/>
      <c r="J399" s="12"/>
    </row>
    <row r="400">
      <c r="A400">
        <f>IFERROR(__xludf.DUMMYFUNCTION("""COMPUTED_VALUE"""),549.0)</f>
        <v>549</v>
      </c>
      <c r="B400" s="12" t="str">
        <f>IFERROR(__xludf.DUMMYFUNCTION("""COMPUTED_VALUE"""),"Is it safe and secure?")</f>
        <v>Is it safe and secure?</v>
      </c>
      <c r="C400" s="12"/>
      <c r="D400" s="12"/>
      <c r="E400" s="12"/>
      <c r="F400" s="12"/>
      <c r="G400" s="12"/>
      <c r="H400" s="12"/>
      <c r="I400" s="12"/>
      <c r="J400" s="12"/>
    </row>
    <row r="401">
      <c r="A401">
        <f>IFERROR(__xludf.DUMMYFUNCTION("""COMPUTED_VALUE"""),550.0)</f>
        <v>550</v>
      </c>
      <c r="B401" s="12" t="str">
        <f>IFERROR(__xludf.DUMMYFUNCTION("""COMPUTED_VALUE"""),"Didn't consider anything really")</f>
        <v>Didn't consider anything really</v>
      </c>
      <c r="C401" s="12"/>
      <c r="D401" s="12"/>
      <c r="E401" s="12"/>
      <c r="F401" s="12"/>
      <c r="G401" s="12"/>
      <c r="H401" s="12"/>
      <c r="I401" s="12"/>
      <c r="J401" s="12"/>
    </row>
    <row r="402">
      <c r="A402">
        <f>IFERROR(__xludf.DUMMYFUNCTION("""COMPUTED_VALUE"""),552.0)</f>
        <v>552</v>
      </c>
      <c r="B402" s="12" t="str">
        <f>IFERROR(__xludf.DUMMYFUNCTION("""COMPUTED_VALUE"""),"Is it safe just because it's faster?")</f>
        <v>Is it safe just because it's faster?</v>
      </c>
      <c r="C402" s="12"/>
      <c r="D402" s="12"/>
      <c r="E402" s="12"/>
      <c r="F402" s="12"/>
      <c r="G402" s="12"/>
      <c r="H402" s="12"/>
      <c r="I402" s="12"/>
      <c r="J402" s="12"/>
    </row>
    <row r="403">
      <c r="A403">
        <f>IFERROR(__xludf.DUMMYFUNCTION("""COMPUTED_VALUE"""),553.0)</f>
        <v>553</v>
      </c>
      <c r="B403" s="12" t="str">
        <f>IFERROR(__xludf.DUMMYFUNCTION("""COMPUTED_VALUE"""),"This is probably going to save me a lot of time. I'm not too concerned with theft because I have nothing of value.")</f>
        <v>This is probably going to save me a lot of time. I'm not too concerned with theft because I have nothing of value.</v>
      </c>
      <c r="C403" s="12"/>
      <c r="D403" s="12"/>
      <c r="E403" s="12"/>
      <c r="F403" s="12"/>
      <c r="G403" s="12"/>
      <c r="H403" s="12"/>
      <c r="I403" s="12"/>
      <c r="J403" s="12"/>
    </row>
    <row r="404">
      <c r="A404">
        <f>IFERROR(__xludf.DUMMYFUNCTION("""COMPUTED_VALUE"""),554.0)</f>
        <v>554</v>
      </c>
      <c r="B404" s="12" t="str">
        <f>IFERROR(__xludf.DUMMYFUNCTION("""COMPUTED_VALUE"""),"If there are other options like I previously mentioned, I mostly use Apple log-in or my own, but if I am using Google, then I think about the type of website/app it is and my privacy.")</f>
        <v>If there are other options like I previously mentioned, I mostly use Apple log-in or my own, but if I am using Google, then I think about the type of website/app it is and my privacy.</v>
      </c>
      <c r="C404" s="12"/>
      <c r="D404" s="12"/>
      <c r="E404" s="12"/>
      <c r="F404" s="12"/>
      <c r="G404" s="12"/>
      <c r="H404" s="12"/>
      <c r="I404" s="12"/>
      <c r="J404" s="12"/>
    </row>
    <row r="405">
      <c r="A405">
        <f>IFERROR(__xludf.DUMMYFUNCTION("""COMPUTED_VALUE"""),555.0)</f>
        <v>555</v>
      </c>
      <c r="B405" s="12" t="str">
        <f>IFERROR(__xludf.DUMMYFUNCTION("""COMPUTED_VALUE"""),"I knew I would already have to use that email address to generate a login anyway, so it seemed efficient to use the third-party sign in option.")</f>
        <v>I knew I would already have to use that email address to generate a login anyway, so it seemed efficient to use the third-party sign in option.</v>
      </c>
      <c r="C405" s="12"/>
      <c r="D405" s="12"/>
      <c r="E405" s="12"/>
      <c r="F405" s="12"/>
      <c r="G405" s="12"/>
      <c r="H405" s="12"/>
      <c r="I405" s="12"/>
      <c r="J405" s="12"/>
    </row>
    <row r="406">
      <c r="A406">
        <f>IFERROR(__xludf.DUMMYFUNCTION("""COMPUTED_VALUE"""),556.0)</f>
        <v>556</v>
      </c>
      <c r="B406" s="12" t="str">
        <f>IFERROR(__xludf.DUMMYFUNCTION("""COMPUTED_VALUE"""),"The one thing I considered was the efficiency of signing into it by just a press of a button rather than going through the sign in process.")</f>
        <v>The one thing I considered was the efficiency of signing into it by just a press of a button rather than going through the sign in process.</v>
      </c>
      <c r="C406" s="12"/>
      <c r="D406" s="12"/>
      <c r="E406" s="12"/>
      <c r="F406" s="12"/>
      <c r="G406" s="12"/>
      <c r="H406" s="12"/>
      <c r="I406" s="12"/>
      <c r="J406" s="12"/>
    </row>
    <row r="407">
      <c r="A407">
        <f>IFERROR(__xludf.DUMMYFUNCTION("""COMPUTED_VALUE"""),557.0)</f>
        <v>557</v>
      </c>
      <c r="B407" s="12" t="str">
        <f>IFERROR(__xludf.DUMMYFUNCTION("""COMPUTED_VALUE"""),"Why not just sign in with a email?")</f>
        <v>Why not just sign in with a email?</v>
      </c>
      <c r="C407" s="12"/>
      <c r="D407" s="12"/>
      <c r="E407" s="12"/>
      <c r="F407" s="12"/>
      <c r="G407" s="12"/>
      <c r="H407" s="12"/>
      <c r="I407" s="12"/>
      <c r="J407" s="12"/>
    </row>
    <row r="408">
      <c r="A408">
        <f>IFERROR(__xludf.DUMMYFUNCTION("""COMPUTED_VALUE"""),558.0)</f>
        <v>558</v>
      </c>
      <c r="B408" s="12" t="str">
        <f>IFERROR(__xludf.DUMMYFUNCTION("""COMPUTED_VALUE"""),"Not much. I mainly use the email for gaming content,")</f>
        <v>Not much. I mainly use the email for gaming content,</v>
      </c>
      <c r="C408" s="12"/>
      <c r="D408" s="12"/>
      <c r="E408" s="12"/>
      <c r="F408" s="12"/>
      <c r="G408" s="12"/>
      <c r="H408" s="12"/>
      <c r="I408" s="12"/>
      <c r="J408" s="12"/>
    </row>
    <row r="409">
      <c r="A409">
        <f>IFERROR(__xludf.DUMMYFUNCTION("""COMPUTED_VALUE"""),559.0)</f>
        <v>559</v>
      </c>
      <c r="B409" s="12" t="str">
        <f>IFERROR(__xludf.DUMMYFUNCTION("""COMPUTED_VALUE"""),"Mostly convenience and the fact that I'm less likely to forget or lose account information.")</f>
        <v>Mostly convenience and the fact that I'm less likely to forget or lose account information.</v>
      </c>
      <c r="C409" s="12"/>
      <c r="D409" s="12"/>
      <c r="E409" s="12"/>
      <c r="F409" s="12"/>
      <c r="G409" s="12"/>
      <c r="H409" s="12"/>
      <c r="I409" s="12"/>
      <c r="J409" s="12"/>
    </row>
    <row r="410">
      <c r="A410">
        <f>IFERROR(__xludf.DUMMYFUNCTION("""COMPUTED_VALUE"""),561.0)</f>
        <v>561</v>
      </c>
      <c r="B410" s="12" t="str">
        <f>IFERROR(__xludf.DUMMYFUNCTION("""COMPUTED_VALUE"""),"I considered that I didn't want to use Facebook.")</f>
        <v>I considered that I didn't want to use Facebook.</v>
      </c>
      <c r="C410" s="12"/>
      <c r="D410" s="12"/>
      <c r="E410" s="12"/>
      <c r="F410" s="12"/>
      <c r="G410" s="12"/>
      <c r="H410" s="12"/>
      <c r="I410" s="12"/>
      <c r="J410" s="12"/>
    </row>
    <row r="411">
      <c r="A411">
        <f>IFERROR(__xludf.DUMMYFUNCTION("""COMPUTED_VALUE"""),562.0)</f>
        <v>562</v>
      </c>
      <c r="B411" s="12" t="str">
        <f>IFERROR(__xludf.DUMMYFUNCTION("""COMPUTED_VALUE"""),"I considered if the site would have access to my contacts. Since Google owns Youtube, I did not really care .")</f>
        <v>I considered if the site would have access to my contacts. Since Google owns Youtube, I did not really care .</v>
      </c>
      <c r="C411" s="12"/>
      <c r="D411" s="12"/>
      <c r="E411" s="12"/>
      <c r="F411" s="12"/>
      <c r="G411" s="12"/>
      <c r="H411" s="12"/>
      <c r="I411" s="12"/>
      <c r="J411" s="12"/>
    </row>
    <row r="412">
      <c r="A412">
        <f>IFERROR(__xludf.DUMMYFUNCTION("""COMPUTED_VALUE"""),564.0)</f>
        <v>564</v>
      </c>
      <c r="B412" s="12" t="str">
        <f>IFERROR(__xludf.DUMMYFUNCTION("""COMPUTED_VALUE"""),"I considered my privacy and security.")</f>
        <v>I considered my privacy and security.</v>
      </c>
      <c r="C412" s="12"/>
      <c r="D412" s="12"/>
      <c r="E412" s="12"/>
      <c r="F412" s="12"/>
      <c r="G412" s="12"/>
      <c r="H412" s="12"/>
      <c r="I412" s="12"/>
      <c r="J412" s="12"/>
    </row>
    <row r="413">
      <c r="A413">
        <f>IFERROR(__xludf.DUMMYFUNCTION("""COMPUTED_VALUE"""),566.0)</f>
        <v>566</v>
      </c>
      <c r="B413" s="12" t="str">
        <f>IFERROR(__xludf.DUMMYFUNCTION("""COMPUTED_VALUE"""),"What portions of my account the service would have access to (location, media, contacts, etc.), how often I would get marketing information from the service through that email, what information could be exposed if the service was hacked, how often I would"&amp;" use Google services like adding calendar appointments, submitting payment info, or sharing posts to my contacts.")</f>
        <v>What portions of my account the service would have access to (location, media, contacts, etc.), how often I would get marketing information from the service through that email, what information could be exposed if the service was hacked, how often I would use Google services like adding calendar appointments, submitting payment info, or sharing posts to my contacts.</v>
      </c>
      <c r="C413" s="12"/>
      <c r="D413" s="12"/>
      <c r="E413" s="12"/>
      <c r="F413" s="12"/>
      <c r="G413" s="12"/>
      <c r="H413" s="12"/>
      <c r="I413" s="12"/>
      <c r="J413" s="12"/>
    </row>
    <row r="414">
      <c r="A414">
        <f>IFERROR(__xludf.DUMMYFUNCTION("""COMPUTED_VALUE"""),569.0)</f>
        <v>569</v>
      </c>
      <c r="B414" s="12" t="str">
        <f>IFERROR(__xludf.DUMMYFUNCTION("""COMPUTED_VALUE"""),"I considered if I trusted the company w/ my account info.")</f>
        <v>I considered if I trusted the company w/ my account info.</v>
      </c>
      <c r="C414" s="12"/>
      <c r="D414" s="12"/>
      <c r="E414" s="12"/>
      <c r="F414" s="12"/>
      <c r="G414" s="12"/>
      <c r="H414" s="12"/>
      <c r="I414" s="12"/>
      <c r="J414" s="12"/>
    </row>
    <row r="415">
      <c r="A415">
        <f>IFERROR(__xludf.DUMMYFUNCTION("""COMPUTED_VALUE"""),570.0)</f>
        <v>570</v>
      </c>
      <c r="B415" s="12" t="str">
        <f>IFERROR(__xludf.DUMMYFUNCTION("""COMPUTED_VALUE"""),"If my information would be shared.")</f>
        <v>If my information would be shared.</v>
      </c>
      <c r="C415" s="12"/>
      <c r="D415" s="12"/>
      <c r="E415" s="12"/>
      <c r="F415" s="12"/>
      <c r="G415" s="12"/>
      <c r="H415" s="12"/>
      <c r="I415" s="12"/>
      <c r="J415" s="12"/>
    </row>
    <row r="416">
      <c r="A416">
        <f>IFERROR(__xludf.DUMMYFUNCTION("""COMPUTED_VALUE"""),574.0)</f>
        <v>574</v>
      </c>
      <c r="B416" s="12" t="str">
        <f>IFERROR(__xludf.DUMMYFUNCTION("""COMPUTED_VALUE"""),"What information about me they would get from me connecting my account")</f>
        <v>What information about me they would get from me connecting my account</v>
      </c>
      <c r="C416" s="12"/>
      <c r="D416" s="12"/>
      <c r="E416" s="12"/>
      <c r="F416" s="12"/>
      <c r="G416" s="12"/>
      <c r="H416" s="12"/>
      <c r="I416" s="12"/>
      <c r="J416" s="12"/>
    </row>
    <row r="417">
      <c r="A417">
        <f>IFERROR(__xludf.DUMMYFUNCTION("""COMPUTED_VALUE"""),575.0)</f>
        <v>575</v>
      </c>
      <c r="B417" s="12" t="str">
        <f>IFERROR(__xludf.DUMMYFUNCTION("""COMPUTED_VALUE"""),"I was thinking about logging in with an email and password because I didn't want my personal information to be linked.")</f>
        <v>I was thinking about logging in with an email and password because I didn't want my personal information to be linked.</v>
      </c>
      <c r="C417" s="12"/>
      <c r="D417" s="12"/>
      <c r="E417" s="12"/>
      <c r="F417" s="12"/>
      <c r="G417" s="12"/>
      <c r="H417" s="12"/>
      <c r="I417" s="12"/>
      <c r="J417" s="12"/>
    </row>
    <row r="418">
      <c r="A418">
        <f>IFERROR(__xludf.DUMMYFUNCTION("""COMPUTED_VALUE"""),577.0)</f>
        <v>577</v>
      </c>
      <c r="B418" s="12" t="str">
        <f>IFERROR(__xludf.DUMMYFUNCTION("""COMPUTED_VALUE"""),"Whether I used that last time or had a regular password")</f>
        <v>Whether I used that last time or had a regular password</v>
      </c>
      <c r="C418" s="12"/>
      <c r="D418" s="12"/>
      <c r="E418" s="12"/>
      <c r="F418" s="12"/>
      <c r="G418" s="12"/>
      <c r="H418" s="12"/>
      <c r="I418" s="12"/>
      <c r="J418" s="12"/>
    </row>
    <row r="419">
      <c r="A419">
        <f>IFERROR(__xludf.DUMMYFUNCTION("""COMPUTED_VALUE"""),580.0)</f>
        <v>580</v>
      </c>
      <c r="B419" s="12" t="str">
        <f>IFERROR(__xludf.DUMMYFUNCTION("""COMPUTED_VALUE"""),"The app itself, and whether it is reputable.")</f>
        <v>The app itself, and whether it is reputable.</v>
      </c>
      <c r="C419" s="12"/>
      <c r="D419" s="12"/>
      <c r="E419" s="12"/>
      <c r="F419" s="12"/>
      <c r="G419" s="12"/>
      <c r="H419" s="12"/>
      <c r="I419" s="12"/>
      <c r="J419" s="12"/>
    </row>
    <row r="420">
      <c r="A420">
        <f>IFERROR(__xludf.DUMMYFUNCTION("""COMPUTED_VALUE"""),581.0)</f>
        <v>581</v>
      </c>
      <c r="B420" s="12" t="str">
        <f>IFERROR(__xludf.DUMMYFUNCTION("""COMPUTED_VALUE"""),"my account security")</f>
        <v>my account security</v>
      </c>
      <c r="C420" s="12"/>
      <c r="D420" s="12"/>
      <c r="E420" s="12"/>
      <c r="F420" s="12"/>
      <c r="G420" s="12"/>
      <c r="H420" s="12"/>
      <c r="I420" s="12"/>
      <c r="J420" s="12"/>
    </row>
    <row r="421">
      <c r="A421">
        <f>IFERROR(__xludf.DUMMYFUNCTION("""COMPUTED_VALUE"""),582.0)</f>
        <v>582</v>
      </c>
      <c r="B421" s="12" t="str">
        <f>IFERROR(__xludf.DUMMYFUNCTION("""COMPUTED_VALUE"""),"Using Google to sign in is convenient.")</f>
        <v>Using Google to sign in is convenient.</v>
      </c>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t="str">
        <f>IFERROR(__xludf.DUMMYFUNCTION("""COMPUTED_VALUE"""),"whether I wanted tons of spam from that service")</f>
        <v>whether I wanted tons of spam from that service</v>
      </c>
      <c r="C423" s="12"/>
      <c r="D423" s="12"/>
      <c r="E423" s="12"/>
      <c r="F423" s="12"/>
      <c r="G423" s="12"/>
      <c r="H423" s="12"/>
      <c r="I423" s="12"/>
      <c r="J423" s="12"/>
    </row>
    <row r="424">
      <c r="A424">
        <f>IFERROR(__xludf.DUMMYFUNCTION("""COMPUTED_VALUE"""),588.0)</f>
        <v>588</v>
      </c>
      <c r="B424" s="12" t="str">
        <f>IFERROR(__xludf.DUMMYFUNCTION("""COMPUTED_VALUE"""),"I have used this single sign on for a while and this is a preferred method. I think about taking extra precautions to secure my google account since using single sign on makes things less secure. Overall it makes things a lot easier and more enjoyable to "&amp;"use.")</f>
        <v>I have used this single sign on for a while and this is a preferred method. I think about taking extra precautions to secure my google account since using single sign on makes things less secure. Overall it makes things a lot easier and more enjoyable to use.</v>
      </c>
      <c r="C424" s="12"/>
      <c r="D424" s="12"/>
      <c r="E424" s="12"/>
      <c r="F424" s="12"/>
      <c r="G424" s="12"/>
      <c r="H424" s="12"/>
      <c r="I424" s="12"/>
      <c r="J424" s="12"/>
    </row>
    <row r="425">
      <c r="A425">
        <f>IFERROR(__xludf.DUMMYFUNCTION("""COMPUTED_VALUE"""),589.0)</f>
        <v>589</v>
      </c>
      <c r="B425" s="12" t="str">
        <f>IFERROR(__xludf.DUMMYFUNCTION("""COMPUTED_VALUE"""),"What permissions it has to my google account")</f>
        <v>What permissions it has to my google account</v>
      </c>
      <c r="C425" s="12"/>
      <c r="D425" s="12"/>
      <c r="E425" s="12"/>
      <c r="F425" s="12"/>
      <c r="G425" s="12"/>
      <c r="H425" s="12"/>
      <c r="I425" s="12"/>
      <c r="J425" s="12"/>
    </row>
    <row r="426">
      <c r="A426">
        <f>IFERROR(__xludf.DUMMYFUNCTION("""COMPUTED_VALUE"""),590.0)</f>
        <v>590</v>
      </c>
      <c r="B426" s="12" t="str">
        <f>IFERROR(__xludf.DUMMYFUNCTION("""COMPUTED_VALUE"""),"I thought about how they would have access to my information. Just like you might.")</f>
        <v>I thought about how they would have access to my information. Just like you might.</v>
      </c>
      <c r="C426" s="12"/>
      <c r="D426" s="12"/>
      <c r="E426" s="12"/>
      <c r="F426" s="12"/>
      <c r="G426" s="12"/>
      <c r="H426" s="12"/>
      <c r="I426" s="12"/>
      <c r="J426" s="12"/>
    </row>
    <row r="427">
      <c r="A427">
        <f>IFERROR(__xludf.DUMMYFUNCTION("""COMPUTED_VALUE"""),591.0)</f>
        <v>591</v>
      </c>
      <c r="B427" s="12" t="str">
        <f>IFERROR(__xludf.DUMMYFUNCTION("""COMPUTED_VALUE"""),"My data being shared and exploited.")</f>
        <v>My data being shared and exploited.</v>
      </c>
      <c r="C427" s="12"/>
      <c r="D427" s="12"/>
      <c r="E427" s="12"/>
      <c r="F427" s="12"/>
      <c r="G427" s="12"/>
      <c r="H427" s="12"/>
      <c r="I427" s="12"/>
      <c r="J427" s="12"/>
    </row>
    <row r="428">
      <c r="A428">
        <f>IFERROR(__xludf.DUMMYFUNCTION("""COMPUTED_VALUE"""),592.0)</f>
        <v>592</v>
      </c>
      <c r="B428" s="12" t="str">
        <f>IFERROR(__xludf.DUMMYFUNCTION("""COMPUTED_VALUE"""),"If the site was reputable.")</f>
        <v>If the site was reputable.</v>
      </c>
      <c r="C428" s="12"/>
      <c r="D428" s="12"/>
      <c r="E428" s="12"/>
      <c r="F428" s="12"/>
      <c r="G428" s="12"/>
      <c r="H428" s="12"/>
      <c r="I428" s="12"/>
      <c r="J428" s="12"/>
    </row>
    <row r="429">
      <c r="A429">
        <f>IFERROR(__xludf.DUMMYFUNCTION("""COMPUTED_VALUE"""),593.0)</f>
        <v>593</v>
      </c>
      <c r="B429" s="12" t="str">
        <f>IFERROR(__xludf.DUMMYFUNCTION("""COMPUTED_VALUE"""),"How much easier and convenient it is to use.")</f>
        <v>How much easier and convenient it is to use.</v>
      </c>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IFERROR(__xludf.DUMMYFUNCTION("""COMPUTED_VALUE"""),"Security risks")</f>
        <v>Security risks</v>
      </c>
      <c r="C431" s="12"/>
      <c r="D431" s="12"/>
      <c r="E431" s="12"/>
      <c r="F431" s="12"/>
      <c r="G431" s="12"/>
      <c r="H431" s="12"/>
      <c r="I431" s="12"/>
      <c r="J431" s="12"/>
    </row>
    <row r="432">
      <c r="A432">
        <f>IFERROR(__xludf.DUMMYFUNCTION("""COMPUTED_VALUE"""),598.0)</f>
        <v>598</v>
      </c>
      <c r="B432" s="12" t="str">
        <f>IFERROR(__xludf.DUMMYFUNCTION("""COMPUTED_VALUE"""),"Risk versus reward. I worry a little about giving an app access to my personal information, but, to be honest, if I think I could get money back from something (like the receipt apps) it definitely convinces me a little more. If the app looks shady to me "&amp;"I won't do it, but if it seems relatively legitimate and has good reviews, I'm probably willing.")</f>
        <v>Risk versus reward. I worry a little about giving an app access to my personal information, but, to be honest, if I think I could get money back from something (like the receipt apps) it definitely convinces me a little more. If the app looks shady to me I won't do it, but if it seems relatively legitimate and has good reviews, I'm probably willing.</v>
      </c>
      <c r="C432" s="12"/>
      <c r="D432" s="12"/>
      <c r="E432" s="12"/>
      <c r="F432" s="12"/>
      <c r="G432" s="12"/>
      <c r="H432" s="12"/>
      <c r="I432" s="12"/>
      <c r="J432" s="12"/>
    </row>
    <row r="433">
      <c r="A433">
        <f>IFERROR(__xludf.DUMMYFUNCTION("""COMPUTED_VALUE"""),600.0)</f>
        <v>600</v>
      </c>
      <c r="B433" s="12" t="str">
        <f>IFERROR(__xludf.DUMMYFUNCTION("""COMPUTED_VALUE"""),"That I wanted to sign in.")</f>
        <v>That I wanted to sign in.</v>
      </c>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IFERROR(__xludf.DUMMYFUNCTION("QUERY({'S8 (primary)'!C2:C1000;'S8 (primary)'!D2:D1000;'S8 (primary)'!E2:E1000;'S8 (primary)'!F2:F1000;'S8 (primary)'!G2:G1000;'S8 (primary)'!H2:H1000;'S8 (primary)'!I2:I1000;'S8 (primary)'!J2:J1000;'S8 (primary)'!K2:K1000}, ""select Col1, count(Col1) whe"&amp;"re Col1 is not null group by Col1 order by Col1 asc"")"),"")</f>
        <v/>
      </c>
      <c r="B2" s="34" t="str">
        <f>IFERROR(__xludf.DUMMYFUNCTION("""COMPUTED_VALUE"""),"count ")</f>
        <v>count </v>
      </c>
      <c r="C2" s="34"/>
      <c r="D2" s="34"/>
      <c r="E2" s="34" t="str">
        <f>IFERROR(__xludf.DUMMYFUNCTION("QUERY({'S8 (primary)'!C2:C1000;'S8 (primary)'!D2:D1000;'S8 (primary)'!E2:E1000;'S8 (primary)'!F2:F1000;'S8 (primary)'!G2:G1000;'S8 (primary)'!H2:H1000;'S8 (primary)'!I2:I1000;'S8 (primary)'!J2:J1000;'S8 (primary)'!K2:K1000}, ""select Col1, count(Col1) whe"&amp;"re Col1 is not null and not Col1 contains '-&gt;' group by Col1 order by count(Col1) desc"")"),"")</f>
        <v/>
      </c>
      <c r="F2" s="34" t="str">
        <f>IFERROR(__xludf.DUMMYFUNCTION("""COMPUTED_VALUE"""),"count ")</f>
        <v>count </v>
      </c>
    </row>
    <row r="3">
      <c r="A3" t="str">
        <f>IFERROR(__xludf.DUMMYFUNCTION("""COMPUTED_VALUE"""),"distrust")</f>
        <v>distrust</v>
      </c>
      <c r="B3">
        <f>IFERROR(__xludf.DUMMYFUNCTION("""COMPUTED_VALUE"""),7.0)</f>
        <v>7</v>
      </c>
      <c r="E3" t="str">
        <f>IFERROR(__xludf.DUMMYFUNCTION("""COMPUTED_VALUE"""),"ease_of_use")</f>
        <v>ease_of_use</v>
      </c>
      <c r="F3">
        <f>IFERROR(__xludf.DUMMYFUNCTION("""COMPUTED_VALUE"""),55.0)</f>
        <v>55</v>
      </c>
      <c r="G3" s="44"/>
    </row>
    <row r="4">
      <c r="A4" t="str">
        <f>IFERROR(__xludf.DUMMYFUNCTION("""COMPUTED_VALUE"""),"distrust-&gt;app")</f>
        <v>distrust-&gt;app</v>
      </c>
      <c r="B4">
        <f>IFERROR(__xludf.DUMMYFUNCTION("""COMPUTED_VALUE"""),1.0)</f>
        <v>1</v>
      </c>
      <c r="E4" t="str">
        <f>IFERROR(__xludf.DUMMYFUNCTION("""COMPUTED_VALUE"""),"unknowns")</f>
        <v>unknowns</v>
      </c>
      <c r="F4">
        <f>IFERROR(__xludf.DUMMYFUNCTION("""COMPUTED_VALUE"""),44.0)</f>
        <v>44</v>
      </c>
      <c r="G4" s="44"/>
    </row>
    <row r="5">
      <c r="A5" t="str">
        <f>IFERROR(__xludf.DUMMYFUNCTION("""COMPUTED_VALUE"""),"distrust-&gt;google")</f>
        <v>distrust-&gt;google</v>
      </c>
      <c r="B5">
        <f>IFERROR(__xludf.DUMMYFUNCTION("""COMPUTED_VALUE"""),3.0)</f>
        <v>3</v>
      </c>
      <c r="E5" t="str">
        <f>IFERROR(__xludf.DUMMYFUNCTION("""COMPUTED_VALUE"""),"unconcerned")</f>
        <v>unconcerned</v>
      </c>
      <c r="F5">
        <f>IFERROR(__xludf.DUMMYFUNCTION("""COMPUTED_VALUE"""),42.0)</f>
        <v>42</v>
      </c>
      <c r="G5" s="44"/>
    </row>
    <row r="6">
      <c r="A6" t="str">
        <f>IFERROR(__xludf.DUMMYFUNCTION("""COMPUTED_VALUE"""),"distrust-&gt;no_unwanted_email")</f>
        <v>distrust-&gt;no_unwanted_email</v>
      </c>
      <c r="B6">
        <f>IFERROR(__xludf.DUMMYFUNCTION("""COMPUTED_VALUE"""),5.0)</f>
        <v>5</v>
      </c>
      <c r="E6" t="str">
        <f>IFERROR(__xludf.DUMMYFUNCTION("""COMPUTED_VALUE"""),"security")</f>
        <v>security</v>
      </c>
      <c r="F6">
        <f>IFERROR(__xludf.DUMMYFUNCTION("""COMPUTED_VALUE"""),29.0)</f>
        <v>29</v>
      </c>
      <c r="G6" s="44"/>
    </row>
    <row r="7">
      <c r="A7" t="str">
        <f>IFERROR(__xludf.DUMMYFUNCTION("""COMPUTED_VALUE"""),"ease_of_use")</f>
        <v>ease_of_use</v>
      </c>
      <c r="B7">
        <f>IFERROR(__xludf.DUMMYFUNCTION("""COMPUTED_VALUE"""),55.0)</f>
        <v>55</v>
      </c>
      <c r="E7" t="str">
        <f>IFERROR(__xludf.DUMMYFUNCTION("""COMPUTED_VALUE"""),"trust")</f>
        <v>trust</v>
      </c>
      <c r="F7">
        <f>IFERROR(__xludf.DUMMYFUNCTION("""COMPUTED_VALUE"""),26.0)</f>
        <v>26</v>
      </c>
      <c r="G7" s="44"/>
    </row>
    <row r="8">
      <c r="A8" t="str">
        <f>IFERROR(__xludf.DUMMYFUNCTION("""COMPUTED_VALUE"""),"ease_of_use-&gt;account_creation")</f>
        <v>ease_of_use-&gt;account_creation</v>
      </c>
      <c r="B8">
        <f>IFERROR(__xludf.DUMMYFUNCTION("""COMPUTED_VALUE"""),12.0)</f>
        <v>12</v>
      </c>
      <c r="E8" t="str">
        <f>IFERROR(__xludf.DUMMYFUNCTION("""COMPUTED_VALUE"""),"other_options")</f>
        <v>other_options</v>
      </c>
      <c r="F8">
        <f>IFERROR(__xludf.DUMMYFUNCTION("""COMPUTED_VALUE"""),25.0)</f>
        <v>25</v>
      </c>
      <c r="G8" s="44"/>
    </row>
    <row r="9">
      <c r="A9" t="str">
        <f>IFERROR(__xludf.DUMMYFUNCTION("""COMPUTED_VALUE"""),"ease_of_use-&gt;fills_in_information")</f>
        <v>ease_of_use-&gt;fills_in_information</v>
      </c>
      <c r="B9">
        <f>IFERROR(__xludf.DUMMYFUNCTION("""COMPUTED_VALUE"""),1.0)</f>
        <v>1</v>
      </c>
      <c r="E9" t="str">
        <f>IFERROR(__xludf.DUMMYFUNCTION("""COMPUTED_VALUE"""),"remember_login")</f>
        <v>remember_login</v>
      </c>
      <c r="F9">
        <f>IFERROR(__xludf.DUMMYFUNCTION("""COMPUTED_VALUE"""),20.0)</f>
        <v>20</v>
      </c>
      <c r="G9" s="44"/>
    </row>
    <row r="10">
      <c r="A10" t="str">
        <f>IFERROR(__xludf.DUMMYFUNCTION("""COMPUTED_VALUE"""),"ease_of_use-&gt;how_long")</f>
        <v>ease_of_use-&gt;how_long</v>
      </c>
      <c r="B10">
        <f>IFERROR(__xludf.DUMMYFUNCTION("""COMPUTED_VALUE"""),1.0)</f>
        <v>1</v>
      </c>
      <c r="E10" t="str">
        <f>IFERROR(__xludf.DUMMYFUNCTION("""COMPUTED_VALUE"""),"privacy")</f>
        <v>privacy</v>
      </c>
      <c r="F10">
        <f>IFERROR(__xludf.DUMMYFUNCTION("""COMPUTED_VALUE"""),13.0)</f>
        <v>13</v>
      </c>
      <c r="G10" s="44"/>
    </row>
    <row r="11">
      <c r="A11" t="str">
        <f>IFERROR(__xludf.DUMMYFUNCTION("""COMPUTED_VALUE"""),"ease_of_use-&gt;simple")</f>
        <v>ease_of_use-&gt;simple</v>
      </c>
      <c r="B11">
        <f>IFERROR(__xludf.DUMMYFUNCTION("""COMPUTED_VALUE"""),1.0)</f>
        <v>1</v>
      </c>
      <c r="E11" t="str">
        <f>IFERROR(__xludf.DUMMYFUNCTION("""COMPUTED_VALUE"""),"tradeoff")</f>
        <v>tradeoff</v>
      </c>
      <c r="F11">
        <f>IFERROR(__xludf.DUMMYFUNCTION("""COMPUTED_VALUE"""),12.0)</f>
        <v>12</v>
      </c>
      <c r="G11" s="44"/>
    </row>
    <row r="12">
      <c r="A12" t="str">
        <f>IFERROR(__xludf.DUMMYFUNCTION("""COMPUTED_VALUE"""),"fewer_accounts")</f>
        <v>fewer_accounts</v>
      </c>
      <c r="B12">
        <f>IFERROR(__xludf.DUMMYFUNCTION("""COMPUTED_VALUE"""),10.0)</f>
        <v>10</v>
      </c>
      <c r="E12" t="str">
        <f>IFERROR(__xludf.DUMMYFUNCTION("""COMPUTED_VALUE"""),"fewer_accounts")</f>
        <v>fewer_accounts</v>
      </c>
      <c r="F12">
        <f>IFERROR(__xludf.DUMMYFUNCTION("""COMPUTED_VALUE"""),10.0)</f>
        <v>10</v>
      </c>
      <c r="G12" s="44"/>
    </row>
    <row r="13">
      <c r="A13" t="str">
        <f>IFERROR(__xludf.DUMMYFUNCTION("""COMPUTED_VALUE"""),"necessary")</f>
        <v>necessary</v>
      </c>
      <c r="B13">
        <f>IFERROR(__xludf.DUMMYFUNCTION("""COMPUTED_VALUE"""),4.0)</f>
        <v>4</v>
      </c>
      <c r="E13" t="str">
        <f>IFERROR(__xludf.DUMMYFUNCTION("""COMPUTED_VALUE"""),"distrust")</f>
        <v>distrust</v>
      </c>
      <c r="F13">
        <f>IFERROR(__xludf.DUMMYFUNCTION("""COMPUTED_VALUE"""),7.0)</f>
        <v>7</v>
      </c>
      <c r="G13" s="44"/>
    </row>
    <row r="14">
      <c r="A14" t="str">
        <f>IFERROR(__xludf.DUMMYFUNCTION("""COMPUTED_VALUE"""),"other_options")</f>
        <v>other_options</v>
      </c>
      <c r="B14">
        <f>IFERROR(__xludf.DUMMYFUNCTION("""COMPUTED_VALUE"""),25.0)</f>
        <v>25</v>
      </c>
      <c r="E14" t="str">
        <f>IFERROR(__xludf.DUMMYFUNCTION("""COMPUTED_VALUE"""),"necessary")</f>
        <v>necessary</v>
      </c>
      <c r="F14">
        <f>IFERROR(__xludf.DUMMYFUNCTION("""COMPUTED_VALUE"""),4.0)</f>
        <v>4</v>
      </c>
      <c r="G14" s="44"/>
    </row>
    <row r="15">
      <c r="A15" t="str">
        <f>IFERROR(__xludf.DUMMYFUNCTION("""COMPUTED_VALUE"""),"other_options-&gt;apple")</f>
        <v>other_options-&gt;apple</v>
      </c>
      <c r="B15">
        <f>IFERROR(__xludf.DUMMYFUNCTION("""COMPUTED_VALUE"""),2.0)</f>
        <v>2</v>
      </c>
      <c r="E15" t="str">
        <f>IFERROR(__xludf.DUMMYFUNCTION("""COMPUTED_VALUE"""),"unsure")</f>
        <v>unsure</v>
      </c>
      <c r="F15">
        <f>IFERROR(__xludf.DUMMYFUNCTION("""COMPUTED_VALUE"""),1.0)</f>
        <v>1</v>
      </c>
      <c r="G15" s="44"/>
    </row>
    <row r="16">
      <c r="A16" t="str">
        <f>IFERROR(__xludf.DUMMYFUNCTION("""COMPUTED_VALUE"""),"other_options-&gt;facebook")</f>
        <v>other_options-&gt;facebook</v>
      </c>
      <c r="B16">
        <f>IFERROR(__xludf.DUMMYFUNCTION("""COMPUTED_VALUE"""),10.0)</f>
        <v>10</v>
      </c>
      <c r="G16" s="44"/>
    </row>
    <row r="17">
      <c r="A17" t="str">
        <f>IFERROR(__xludf.DUMMYFUNCTION("""COMPUTED_VALUE"""),"privacy")</f>
        <v>privacy</v>
      </c>
      <c r="B17">
        <f>IFERROR(__xludf.DUMMYFUNCTION("""COMPUTED_VALUE"""),13.0)</f>
        <v>13</v>
      </c>
      <c r="G17" s="44"/>
    </row>
    <row r="18">
      <c r="A18" t="str">
        <f>IFERROR(__xludf.DUMMYFUNCTION("""COMPUTED_VALUE"""),"remember_login")</f>
        <v>remember_login</v>
      </c>
      <c r="B18">
        <f>IFERROR(__xludf.DUMMYFUNCTION("""COMPUTED_VALUE"""),20.0)</f>
        <v>20</v>
      </c>
      <c r="G18" s="44"/>
    </row>
    <row r="19">
      <c r="A19" t="str">
        <f>IFERROR(__xludf.DUMMYFUNCTION("""COMPUTED_VALUE"""),"security")</f>
        <v>security</v>
      </c>
      <c r="B19">
        <f>IFERROR(__xludf.DUMMYFUNCTION("""COMPUTED_VALUE"""),29.0)</f>
        <v>29</v>
      </c>
      <c r="G19" s="44"/>
    </row>
    <row r="20">
      <c r="A20" t="str">
        <f>IFERROR(__xludf.DUMMYFUNCTION("""COMPUTED_VALUE"""),"security-&gt;information")</f>
        <v>security-&gt;information</v>
      </c>
      <c r="B20">
        <f>IFERROR(__xludf.DUMMYFUNCTION("""COMPUTED_VALUE"""),3.0)</f>
        <v>3</v>
      </c>
      <c r="G20" s="44"/>
    </row>
    <row r="21">
      <c r="A21" t="str">
        <f>IFERROR(__xludf.DUMMYFUNCTION("""COMPUTED_VALUE"""),"security-&gt;sign_in")</f>
        <v>security-&gt;sign_in</v>
      </c>
      <c r="B21">
        <f>IFERROR(__xludf.DUMMYFUNCTION("""COMPUTED_VALUE"""),1.0)</f>
        <v>1</v>
      </c>
      <c r="G21" s="44"/>
    </row>
    <row r="22">
      <c r="A22" t="str">
        <f>IFERROR(__xludf.DUMMYFUNCTION("""COMPUTED_VALUE"""),"tradeoff")</f>
        <v>tradeoff</v>
      </c>
      <c r="B22">
        <f>IFERROR(__xludf.DUMMYFUNCTION("""COMPUTED_VALUE"""),12.0)</f>
        <v>12</v>
      </c>
      <c r="G22" s="44"/>
    </row>
    <row r="23">
      <c r="A23" t="str">
        <f>IFERROR(__xludf.DUMMYFUNCTION("""COMPUTED_VALUE"""),"tradeoff-&gt;account_creation")</f>
        <v>tradeoff-&gt;account_creation</v>
      </c>
      <c r="B23">
        <f>IFERROR(__xludf.DUMMYFUNCTION("""COMPUTED_VALUE"""),1.0)</f>
        <v>1</v>
      </c>
    </row>
    <row r="24">
      <c r="A24" t="str">
        <f>IFERROR(__xludf.DUMMYFUNCTION("""COMPUTED_VALUE"""),"tradeoff-&gt;another_account")</f>
        <v>tradeoff-&gt;another_account</v>
      </c>
      <c r="B24">
        <f>IFERROR(__xludf.DUMMYFUNCTION("""COMPUTED_VALUE"""),1.0)</f>
        <v>1</v>
      </c>
    </row>
    <row r="25">
      <c r="A25" t="str">
        <f>IFERROR(__xludf.DUMMYFUNCTION("""COMPUTED_VALUE"""),"tradeoff-&gt;frequent-use")</f>
        <v>tradeoff-&gt;frequent-use</v>
      </c>
      <c r="B25">
        <f>IFERROR(__xludf.DUMMYFUNCTION("""COMPUTED_VALUE"""),1.0)</f>
        <v>1</v>
      </c>
    </row>
    <row r="26">
      <c r="A26" t="str">
        <f>IFERROR(__xludf.DUMMYFUNCTION("""COMPUTED_VALUE"""),"tradeoff-&gt;length_of_use")</f>
        <v>tradeoff-&gt;length_of_use</v>
      </c>
      <c r="B26">
        <f>IFERROR(__xludf.DUMMYFUNCTION("""COMPUTED_VALUE"""),1.0)</f>
        <v>1</v>
      </c>
    </row>
    <row r="27">
      <c r="A27" t="str">
        <f>IFERROR(__xludf.DUMMYFUNCTION("""COMPUTED_VALUE"""),"tradeoff-&gt;security")</f>
        <v>tradeoff-&gt;security</v>
      </c>
      <c r="B27">
        <f>IFERROR(__xludf.DUMMYFUNCTION("""COMPUTED_VALUE"""),1.0)</f>
        <v>1</v>
      </c>
    </row>
    <row r="28">
      <c r="A28" t="str">
        <f>IFERROR(__xludf.DUMMYFUNCTION("""COMPUTED_VALUE"""),"tradeoff-&gt;sharing_information")</f>
        <v>tradeoff-&gt;sharing_information</v>
      </c>
      <c r="B28">
        <f>IFERROR(__xludf.DUMMYFUNCTION("""COMPUTED_VALUE"""),1.0)</f>
        <v>1</v>
      </c>
    </row>
    <row r="29">
      <c r="A29" t="str">
        <f>IFERROR(__xludf.DUMMYFUNCTION("""COMPUTED_VALUE"""),"trust")</f>
        <v>trust</v>
      </c>
      <c r="B29">
        <f>IFERROR(__xludf.DUMMYFUNCTION("""COMPUTED_VALUE"""),26.0)</f>
        <v>26</v>
      </c>
    </row>
    <row r="30">
      <c r="A30" t="str">
        <f>IFERROR(__xludf.DUMMYFUNCTION("""COMPUTED_VALUE"""),"trust-&gt;app")</f>
        <v>trust-&gt;app</v>
      </c>
      <c r="B30">
        <f>IFERROR(__xludf.DUMMYFUNCTION("""COMPUTED_VALUE"""),7.0)</f>
        <v>7</v>
      </c>
    </row>
    <row r="31">
      <c r="A31" t="str">
        <f>IFERROR(__xludf.DUMMYFUNCTION("""COMPUTED_VALUE"""),"trust-&gt;company")</f>
        <v>trust-&gt;company</v>
      </c>
      <c r="B31">
        <f>IFERROR(__xludf.DUMMYFUNCTION("""COMPUTED_VALUE"""),3.0)</f>
        <v>3</v>
      </c>
    </row>
    <row r="32">
      <c r="A32" t="str">
        <f>IFERROR(__xludf.DUMMYFUNCTION("""COMPUTED_VALUE"""),"trust-&gt;google")</f>
        <v>trust-&gt;google</v>
      </c>
      <c r="B32">
        <f>IFERROR(__xludf.DUMMYFUNCTION("""COMPUTED_VALUE"""),3.0)</f>
        <v>3</v>
      </c>
    </row>
    <row r="33">
      <c r="A33" t="str">
        <f>IFERROR(__xludf.DUMMYFUNCTION("""COMPUTED_VALUE"""),"trust-&gt;no_unwanted_email")</f>
        <v>trust-&gt;no_unwanted_email</v>
      </c>
      <c r="B33">
        <f>IFERROR(__xludf.DUMMYFUNCTION("""COMPUTED_VALUE"""),1.0)</f>
        <v>1</v>
      </c>
    </row>
    <row r="34">
      <c r="A34" t="str">
        <f>IFERROR(__xludf.DUMMYFUNCTION("""COMPUTED_VALUE"""),"trust-&gt;website")</f>
        <v>trust-&gt;website</v>
      </c>
      <c r="B34">
        <f>IFERROR(__xludf.DUMMYFUNCTION("""COMPUTED_VALUE"""),10.0)</f>
        <v>10</v>
      </c>
    </row>
    <row r="35">
      <c r="A35" t="str">
        <f>IFERROR(__xludf.DUMMYFUNCTION("""COMPUTED_VALUE"""),"unconcerned")</f>
        <v>unconcerned</v>
      </c>
      <c r="B35">
        <f>IFERROR(__xludf.DUMMYFUNCTION("""COMPUTED_VALUE"""),42.0)</f>
        <v>42</v>
      </c>
    </row>
    <row r="36">
      <c r="A36" t="str">
        <f>IFERROR(__xludf.DUMMYFUNCTION("""COMPUTED_VALUE"""),"unconcerned-&gt;assume-secure")</f>
        <v>unconcerned-&gt;assume-secure</v>
      </c>
      <c r="B36">
        <f>IFERROR(__xludf.DUMMYFUNCTION("""COMPUTED_VALUE"""),1.0)</f>
        <v>1</v>
      </c>
    </row>
    <row r="37">
      <c r="A37" t="str">
        <f>IFERROR(__xludf.DUMMYFUNCTION("""COMPUTED_VALUE"""),"unconcerned-&gt;other-primary-email")</f>
        <v>unconcerned-&gt;other-primary-email</v>
      </c>
      <c r="B37">
        <f>IFERROR(__xludf.DUMMYFUNCTION("""COMPUTED_VALUE"""),1.0)</f>
        <v>1</v>
      </c>
    </row>
    <row r="38">
      <c r="A38" t="str">
        <f>IFERROR(__xludf.DUMMYFUNCTION("""COMPUTED_VALUE"""),"unconcerned-&gt;use_often")</f>
        <v>unconcerned-&gt;use_often</v>
      </c>
      <c r="B38">
        <f>IFERROR(__xludf.DUMMYFUNCTION("""COMPUTED_VALUE"""),2.0)</f>
        <v>2</v>
      </c>
    </row>
    <row r="39">
      <c r="A39" t="str">
        <f>IFERROR(__xludf.DUMMYFUNCTION("""COMPUTED_VALUE"""),"unknowns")</f>
        <v>unknowns</v>
      </c>
      <c r="B39">
        <f>IFERROR(__xludf.DUMMYFUNCTION("""COMPUTED_VALUE"""),44.0)</f>
        <v>44</v>
      </c>
    </row>
    <row r="40">
      <c r="A40" t="str">
        <f>IFERROR(__xludf.DUMMYFUNCTION("""COMPUTED_VALUE"""),"unknowns-&gt;do_they_keep_information")</f>
        <v>unknowns-&gt;do_they_keep_information</v>
      </c>
      <c r="B40">
        <f>IFERROR(__xludf.DUMMYFUNCTION("""COMPUTED_VALUE"""),1.0)</f>
        <v>1</v>
      </c>
    </row>
    <row r="41">
      <c r="A41" t="str">
        <f>IFERROR(__xludf.DUMMYFUNCTION("""COMPUTED_VALUE"""),"unknowns-&gt;email_access")</f>
        <v>unknowns-&gt;email_access</v>
      </c>
      <c r="B41">
        <f>IFERROR(__xludf.DUMMYFUNCTION("""COMPUTED_VALUE"""),2.0)</f>
        <v>2</v>
      </c>
    </row>
    <row r="42">
      <c r="A42" t="str">
        <f>IFERROR(__xludf.DUMMYFUNCTION("""COMPUTED_VALUE"""),"unknowns-&gt;information_access")</f>
        <v>unknowns-&gt;information_access</v>
      </c>
      <c r="B42">
        <f>IFERROR(__xludf.DUMMYFUNCTION("""COMPUTED_VALUE"""),27.0)</f>
        <v>27</v>
      </c>
    </row>
    <row r="43">
      <c r="A43" t="str">
        <f>IFERROR(__xludf.DUMMYFUNCTION("""COMPUTED_VALUE"""),"unknowns-&gt;no_unwanted_email")</f>
        <v>unknowns-&gt;no_unwanted_email</v>
      </c>
      <c r="B43">
        <f>IFERROR(__xludf.DUMMYFUNCTION("""COMPUTED_VALUE"""),3.0)</f>
        <v>3</v>
      </c>
    </row>
    <row r="44">
      <c r="A44" t="str">
        <f>IFERROR(__xludf.DUMMYFUNCTION("""COMPUTED_VALUE"""),"unknowns-&gt;payments")</f>
        <v>unknowns-&gt;payments</v>
      </c>
      <c r="B44">
        <f>IFERROR(__xludf.DUMMYFUNCTION("""COMPUTED_VALUE"""),1.0)</f>
        <v>1</v>
      </c>
    </row>
    <row r="45">
      <c r="A45" t="str">
        <f>IFERROR(__xludf.DUMMYFUNCTION("""COMPUTED_VALUE"""),"unknowns-&gt;use_of_information")</f>
        <v>unknowns-&gt;use_of_information</v>
      </c>
      <c r="B45">
        <f>IFERROR(__xludf.DUMMYFUNCTION("""COMPUTED_VALUE"""),10.0)</f>
        <v>10</v>
      </c>
    </row>
    <row r="46">
      <c r="A46" t="str">
        <f>IFERROR(__xludf.DUMMYFUNCTION("""COMPUTED_VALUE"""),"unsure")</f>
        <v>unsure</v>
      </c>
      <c r="B46">
        <f>IFERROR(__xludf.DUMMYFUNCTION("""COMPUTED_VALUE"""),1.0)</f>
        <v>1</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5.43"/>
    <col customWidth="1" min="2" max="2" width="48.14"/>
    <col customWidth="1" min="3" max="10" width="30.29"/>
  </cols>
  <sheetData>
    <row r="1">
      <c r="A1" s="16" t="str">
        <f>IFERROR(__xludf.DUMMYFUNCTION("QUERY('All Responses'!2:998,""select A,C"")"),"Response ID")</f>
        <v>Response ID</v>
      </c>
      <c r="B1" s="17" t="str">
        <f>IFERROR(__xludf.DUMMYFUNCTION("""COMPUTED_VALUE"""),"google_recall_sso_yes_consider")</f>
        <v>google_recall_sso_yes_consider</v>
      </c>
      <c r="C1" s="17" t="s">
        <v>1399</v>
      </c>
      <c r="D1" s="17" t="s">
        <v>1400</v>
      </c>
      <c r="E1" s="17" t="s">
        <v>1401</v>
      </c>
      <c r="F1" s="17" t="s">
        <v>1402</v>
      </c>
      <c r="G1" s="17" t="s">
        <v>1403</v>
      </c>
      <c r="H1" s="17" t="s">
        <v>1404</v>
      </c>
      <c r="I1" s="17" t="s">
        <v>1405</v>
      </c>
      <c r="J1" s="17" t="s">
        <v>1406</v>
      </c>
    </row>
    <row r="2">
      <c r="A2">
        <f>IFERROR(__xludf.DUMMYFUNCTION("""COMPUTED_VALUE"""),1.0)</f>
        <v>1</v>
      </c>
      <c r="B2" s="12"/>
      <c r="C2" s="3"/>
      <c r="D2" s="45"/>
      <c r="E2" s="45"/>
      <c r="F2" s="45"/>
      <c r="G2" s="45"/>
      <c r="H2" s="12"/>
      <c r="I2" s="12"/>
      <c r="J2" s="12"/>
    </row>
    <row r="3">
      <c r="A3">
        <f>IFERROR(__xludf.DUMMYFUNCTION("""COMPUTED_VALUE"""),2.0)</f>
        <v>2</v>
      </c>
      <c r="B3" s="12" t="str">
        <f>IFERROR(__xludf.DUMMYFUNCTION("""COMPUTED_VALUE"""),"That I did not want to fill out information and it would be easier to use my google account")</f>
        <v>That I did not want to fill out information and it would be easier to use my google account</v>
      </c>
      <c r="C3" s="45" t="s">
        <v>1598</v>
      </c>
      <c r="D3" s="45" t="s">
        <v>1599</v>
      </c>
      <c r="E3" s="45"/>
      <c r="F3" s="3"/>
      <c r="G3" s="12"/>
      <c r="H3" s="12"/>
      <c r="I3" s="12"/>
      <c r="J3" s="12"/>
    </row>
    <row r="4">
      <c r="A4">
        <f>IFERROR(__xludf.DUMMYFUNCTION("""COMPUTED_VALUE"""),3.0)</f>
        <v>3</v>
      </c>
      <c r="B4" s="12"/>
      <c r="C4" s="3"/>
      <c r="D4" s="45"/>
      <c r="E4" s="45"/>
      <c r="F4" s="45"/>
      <c r="G4" s="3"/>
      <c r="H4" s="12"/>
      <c r="I4" s="12"/>
      <c r="J4" s="12"/>
    </row>
    <row r="5">
      <c r="A5">
        <f>IFERROR(__xludf.DUMMYFUNCTION("""COMPUTED_VALUE"""),4.0)</f>
        <v>4</v>
      </c>
      <c r="B5" s="12" t="str">
        <f>IFERROR(__xludf.DUMMYFUNCTION("""COMPUTED_VALUE"""),"I considered my safety and the safety of my information")</f>
        <v>I considered my safety and the safety of my information</v>
      </c>
      <c r="C5" s="45" t="s">
        <v>65</v>
      </c>
      <c r="D5" s="45" t="s">
        <v>1600</v>
      </c>
      <c r="E5" s="3"/>
      <c r="F5" s="3"/>
      <c r="G5" s="3"/>
      <c r="H5" s="12"/>
      <c r="I5" s="12"/>
      <c r="J5" s="12"/>
    </row>
    <row r="6">
      <c r="A6">
        <f>IFERROR(__xludf.DUMMYFUNCTION("""COMPUTED_VALUE"""),5.0)</f>
        <v>5</v>
      </c>
      <c r="B6" s="12"/>
      <c r="C6" s="45"/>
      <c r="D6" s="3"/>
      <c r="E6" s="3"/>
      <c r="F6" s="12"/>
      <c r="G6" s="12"/>
      <c r="H6" s="12"/>
      <c r="I6" s="12"/>
      <c r="J6" s="12"/>
    </row>
    <row r="7">
      <c r="A7">
        <f>IFERROR(__xludf.DUMMYFUNCTION("""COMPUTED_VALUE"""),10.0)</f>
        <v>10</v>
      </c>
      <c r="B7" s="12" t="str">
        <f>IFERROR(__xludf.DUMMYFUNCTION("""COMPUTED_VALUE"""),"I thought about whether or not the website was trustworthy, and if it would be secure to sign in using my Gmail account.")</f>
        <v>I thought about whether or not the website was trustworthy, and if it would be secure to sign in using my Gmail account.</v>
      </c>
      <c r="C7" s="45" t="s">
        <v>65</v>
      </c>
      <c r="D7" s="45" t="s">
        <v>1601</v>
      </c>
      <c r="E7" s="45" t="s">
        <v>1602</v>
      </c>
      <c r="F7" s="45" t="s">
        <v>1603</v>
      </c>
      <c r="G7" s="3"/>
      <c r="H7" s="3"/>
      <c r="I7" s="12"/>
      <c r="J7" s="12"/>
    </row>
    <row r="8">
      <c r="A8">
        <f>IFERROR(__xludf.DUMMYFUNCTION("""COMPUTED_VALUE"""),12.0)</f>
        <v>12</v>
      </c>
      <c r="B8" s="12"/>
      <c r="C8" s="45"/>
      <c r="D8" s="45"/>
      <c r="E8" s="3"/>
      <c r="F8" s="3"/>
      <c r="G8" s="12"/>
      <c r="H8" s="12"/>
      <c r="I8" s="12"/>
      <c r="J8" s="12"/>
    </row>
    <row r="9">
      <c r="A9">
        <f>IFERROR(__xludf.DUMMYFUNCTION("""COMPUTED_VALUE"""),13.0)</f>
        <v>13</v>
      </c>
      <c r="B9" s="12" t="str">
        <f>IFERROR(__xludf.DUMMYFUNCTION("""COMPUTED_VALUE"""),"how long it would take me to sign up, what access to my info they would have")</f>
        <v>how long it would take me to sign up, what access to my info they would have</v>
      </c>
      <c r="C9" s="45" t="s">
        <v>65</v>
      </c>
      <c r="D9" s="45" t="s">
        <v>1600</v>
      </c>
      <c r="E9" s="45" t="s">
        <v>1598</v>
      </c>
      <c r="F9" s="45" t="s">
        <v>1604</v>
      </c>
      <c r="G9" s="3"/>
      <c r="H9" s="12"/>
      <c r="I9" s="12"/>
      <c r="J9" s="12"/>
    </row>
    <row r="10">
      <c r="A10">
        <f>IFERROR(__xludf.DUMMYFUNCTION("""COMPUTED_VALUE"""),14.0)</f>
        <v>14</v>
      </c>
      <c r="B10" s="12" t="str">
        <f>IFERROR(__xludf.DUMMYFUNCTION("""COMPUTED_VALUE"""),"why they want my google info")</f>
        <v>why they want my google info</v>
      </c>
      <c r="C10" s="45" t="s">
        <v>1605</v>
      </c>
      <c r="D10" s="45" t="s">
        <v>1606</v>
      </c>
      <c r="E10" s="45"/>
      <c r="G10" s="12"/>
      <c r="H10" s="12"/>
      <c r="I10" s="12"/>
      <c r="J10" s="12"/>
    </row>
    <row r="11">
      <c r="A11">
        <f>IFERROR(__xludf.DUMMYFUNCTION("""COMPUTED_VALUE"""),16.0)</f>
        <v>16</v>
      </c>
      <c r="B11" s="12" t="str">
        <f>IFERROR(__xludf.DUMMYFUNCTION("""COMPUTED_VALUE"""),"Unsure")</f>
        <v>Unsure</v>
      </c>
      <c r="C11" s="46" t="s">
        <v>1607</v>
      </c>
      <c r="D11" s="45"/>
      <c r="E11" s="12"/>
      <c r="F11" s="12"/>
      <c r="G11" s="12"/>
      <c r="H11" s="12"/>
      <c r="I11" s="12"/>
      <c r="J11" s="12"/>
    </row>
    <row r="12">
      <c r="A12">
        <f>IFERROR(__xludf.DUMMYFUNCTION("""COMPUTED_VALUE"""),19.0)</f>
        <v>19</v>
      </c>
      <c r="B12" s="12" t="str">
        <f>IFERROR(__xludf.DUMMYFUNCTION("""COMPUTED_VALUE"""),"Nothing really. I often use my Google Account to sign into third-party apps without worrying too much about it.")</f>
        <v>Nothing really. I often use my Google Account to sign into third-party apps without worrying too much about it.</v>
      </c>
      <c r="C12" s="45" t="s">
        <v>1608</v>
      </c>
      <c r="D12" s="45" t="s">
        <v>1634</v>
      </c>
      <c r="E12" s="12"/>
      <c r="F12" s="12"/>
      <c r="G12" s="12"/>
      <c r="H12" s="12"/>
      <c r="I12" s="12"/>
      <c r="J12" s="12"/>
    </row>
    <row r="13">
      <c r="A13">
        <f>IFERROR(__xludf.DUMMYFUNCTION("""COMPUTED_VALUE"""),21.0)</f>
        <v>21</v>
      </c>
      <c r="B13" s="12" t="str">
        <f>IFERROR(__xludf.DUMMYFUNCTION("""COMPUTED_VALUE"""),"nothing I do it all the time so I do not really think about it")</f>
        <v>nothing I do it all the time so I do not really think about it</v>
      </c>
      <c r="C13" s="45" t="s">
        <v>1608</v>
      </c>
      <c r="D13" s="45" t="s">
        <v>1634</v>
      </c>
      <c r="E13" s="12"/>
      <c r="F13" s="12"/>
      <c r="G13" s="12"/>
      <c r="H13" s="12"/>
      <c r="I13" s="12"/>
      <c r="J13" s="12"/>
    </row>
    <row r="14">
      <c r="A14">
        <f>IFERROR(__xludf.DUMMYFUNCTION("""COMPUTED_VALUE"""),22.0)</f>
        <v>22</v>
      </c>
      <c r="B14" s="12" t="str">
        <f>IFERROR(__xludf.DUMMYFUNCTION("""COMPUTED_VALUE"""),"security")</f>
        <v>security</v>
      </c>
      <c r="C14" s="45" t="s">
        <v>65</v>
      </c>
      <c r="D14" s="45"/>
      <c r="E14" s="3"/>
      <c r="F14" s="12"/>
      <c r="G14" s="12"/>
      <c r="H14" s="12"/>
      <c r="I14" s="12"/>
      <c r="J14" s="12"/>
    </row>
    <row r="15">
      <c r="A15">
        <f>IFERROR(__xludf.DUMMYFUNCTION("""COMPUTED_VALUE"""),24.0)</f>
        <v>24</v>
      </c>
      <c r="B15" s="12" t="str">
        <f>IFERROR(__xludf.DUMMYFUNCTION("""COMPUTED_VALUE"""),"the effort of making a new account versus sharing my google info")</f>
        <v>the effort of making a new account versus sharing my google info</v>
      </c>
      <c r="C15" s="45" t="s">
        <v>1610</v>
      </c>
      <c r="D15" s="45" t="s">
        <v>1638</v>
      </c>
      <c r="E15" s="34" t="s">
        <v>1611</v>
      </c>
      <c r="F15" s="45" t="s">
        <v>1598</v>
      </c>
      <c r="G15" s="45" t="s">
        <v>1609</v>
      </c>
      <c r="H15" s="12"/>
      <c r="I15" s="12"/>
      <c r="J15" s="12"/>
    </row>
    <row r="16">
      <c r="A16">
        <f>IFERROR(__xludf.DUMMYFUNCTION("""COMPUTED_VALUE"""),25.0)</f>
        <v>25</v>
      </c>
      <c r="B16" s="12" t="str">
        <f>IFERROR(__xludf.DUMMYFUNCTION("""COMPUTED_VALUE"""),"How easy it was to log in using Google rather than creating a separate account.")</f>
        <v>How easy it was to log in using Google rather than creating a separate account.</v>
      </c>
      <c r="C16" s="45" t="s">
        <v>1598</v>
      </c>
      <c r="D16" s="45" t="s">
        <v>1609</v>
      </c>
      <c r="E16" s="45" t="s">
        <v>1610</v>
      </c>
      <c r="F16" s="45" t="s">
        <v>1638</v>
      </c>
      <c r="G16" s="34" t="s">
        <v>1613</v>
      </c>
      <c r="H16" s="12"/>
      <c r="I16" s="12"/>
      <c r="J16" s="12"/>
    </row>
    <row r="17">
      <c r="A17">
        <f>IFERROR(__xludf.DUMMYFUNCTION("""COMPUTED_VALUE"""),26.0)</f>
        <v>26</v>
      </c>
      <c r="B17" s="12" t="str">
        <f>IFERROR(__xludf.DUMMYFUNCTION("""COMPUTED_VALUE"""),"If it was what I used as the sign-in or had another username")</f>
        <v>If it was what I used as the sign-in or had another username</v>
      </c>
      <c r="C17" s="45" t="s">
        <v>1614</v>
      </c>
      <c r="D17" s="26"/>
      <c r="E17" s="26"/>
      <c r="F17" s="12"/>
      <c r="G17" s="12"/>
      <c r="H17" s="12"/>
      <c r="I17" s="12"/>
      <c r="J17" s="12"/>
    </row>
    <row r="18">
      <c r="A18">
        <f>IFERROR(__xludf.DUMMYFUNCTION("""COMPUTED_VALUE"""),28.0)</f>
        <v>28</v>
      </c>
      <c r="B18" s="12"/>
      <c r="C18" s="46"/>
      <c r="D18" s="3"/>
      <c r="E18" s="3"/>
      <c r="F18" s="12"/>
      <c r="G18" s="12"/>
      <c r="H18" s="12"/>
      <c r="I18" s="12"/>
      <c r="J18" s="12"/>
    </row>
    <row r="19">
      <c r="A19">
        <f>IFERROR(__xludf.DUMMYFUNCTION("""COMPUTED_VALUE"""),29.0)</f>
        <v>29</v>
      </c>
      <c r="B19" s="12" t="str">
        <f>IFERROR(__xludf.DUMMYFUNCTION("""COMPUTED_VALUE"""),"nothing i knew it would be safe with that app and i would not receive any unwanted emails which is the only thing i really would consider using it with third party apps")</f>
        <v>nothing i knew it would be safe with that app and i would not receive any unwanted emails which is the only thing i really would consider using it with third party apps</v>
      </c>
      <c r="C19" s="45" t="s">
        <v>1608</v>
      </c>
      <c r="D19" s="45" t="s">
        <v>1602</v>
      </c>
      <c r="E19" s="45" t="s">
        <v>1615</v>
      </c>
      <c r="F19" s="34" t="s">
        <v>1616</v>
      </c>
      <c r="G19" s="12"/>
      <c r="H19" s="12"/>
      <c r="I19" s="12"/>
      <c r="J19" s="12"/>
    </row>
    <row r="20">
      <c r="A20">
        <f>IFERROR(__xludf.DUMMYFUNCTION("""COMPUTED_VALUE"""),30.0)</f>
        <v>30</v>
      </c>
      <c r="B20" s="12" t="str">
        <f>IFERROR(__xludf.DUMMYFUNCTION("""COMPUTED_VALUE"""),"It is easier and more convenient than making a brand new account to some third party website.")</f>
        <v>It is easier and more convenient than making a brand new account to some third party website.</v>
      </c>
      <c r="C20" s="45" t="s">
        <v>1598</v>
      </c>
      <c r="D20" s="45" t="s">
        <v>1609</v>
      </c>
      <c r="E20" s="45" t="s">
        <v>1613</v>
      </c>
      <c r="F20" s="12"/>
      <c r="G20" s="12"/>
      <c r="H20" s="12"/>
      <c r="I20" s="12"/>
      <c r="J20" s="12"/>
    </row>
    <row r="21">
      <c r="A21">
        <f>IFERROR(__xludf.DUMMYFUNCTION("""COMPUTED_VALUE"""),31.0)</f>
        <v>31</v>
      </c>
      <c r="B21" s="12" t="str">
        <f>IFERROR(__xludf.DUMMYFUNCTION("""COMPUTED_VALUE"""),"If they kept my info.")</f>
        <v>If they kept my info.</v>
      </c>
      <c r="C21" s="45" t="s">
        <v>1605</v>
      </c>
      <c r="D21" s="45" t="s">
        <v>1617</v>
      </c>
      <c r="E21" s="45" t="s">
        <v>65</v>
      </c>
      <c r="F21" s="45" t="s">
        <v>1600</v>
      </c>
      <c r="G21" s="12"/>
      <c r="H21" s="12"/>
      <c r="I21" s="12"/>
      <c r="J21" s="12"/>
    </row>
    <row r="22">
      <c r="A22">
        <f>IFERROR(__xludf.DUMMYFUNCTION("""COMPUTED_VALUE"""),32.0)</f>
        <v>32</v>
      </c>
      <c r="B22" s="12" t="str">
        <f>IFERROR(__xludf.DUMMYFUNCTION("""COMPUTED_VALUE"""),"Nothing.")</f>
        <v>Nothing.</v>
      </c>
      <c r="C22" s="45" t="s">
        <v>1608</v>
      </c>
      <c r="D22" s="26"/>
      <c r="E22" s="3"/>
      <c r="F22" s="3"/>
      <c r="G22" s="12"/>
      <c r="H22" s="12"/>
      <c r="I22" s="12"/>
      <c r="J22" s="12"/>
    </row>
    <row r="23">
      <c r="A23">
        <f>IFERROR(__xludf.DUMMYFUNCTION("""COMPUTED_VALUE"""),35.0)</f>
        <v>35</v>
      </c>
      <c r="B23" s="12" t="str">
        <f>IFERROR(__xludf.DUMMYFUNCTION("""COMPUTED_VALUE"""),"I considered signing in with my usual log in info but i found this to be much faster and simpler.")</f>
        <v>I considered signing in with my usual log in info but i found this to be much faster and simpler.</v>
      </c>
      <c r="C23" s="45" t="s">
        <v>1598</v>
      </c>
      <c r="D23" s="45" t="s">
        <v>1618</v>
      </c>
      <c r="E23" s="3"/>
      <c r="F23" s="12"/>
      <c r="G23" s="12"/>
      <c r="H23" s="12"/>
      <c r="I23" s="12"/>
      <c r="J23" s="12"/>
    </row>
    <row r="24">
      <c r="A24">
        <f>IFERROR(__xludf.DUMMYFUNCTION("""COMPUTED_VALUE"""),36.0)</f>
        <v>36</v>
      </c>
      <c r="B24" s="12" t="str">
        <f>IFERROR(__xludf.DUMMYFUNCTION("""COMPUTED_VALUE"""),"whether I wanted to create a separate account for the service or just use my google account")</f>
        <v>whether I wanted to create a separate account for the service or just use my google account</v>
      </c>
      <c r="C24" s="45" t="s">
        <v>1613</v>
      </c>
      <c r="D24" s="45"/>
      <c r="E24" s="12"/>
      <c r="F24" s="12"/>
      <c r="G24" s="12"/>
      <c r="H24" s="12"/>
      <c r="I24" s="12"/>
      <c r="J24" s="12"/>
    </row>
    <row r="25">
      <c r="A25">
        <f>IFERROR(__xludf.DUMMYFUNCTION("""COMPUTED_VALUE"""),39.0)</f>
        <v>39</v>
      </c>
      <c r="B25" s="12" t="str">
        <f>IFERROR(__xludf.DUMMYFUNCTION("""COMPUTED_VALUE"""),"I tried to remember if I had created an account before and if I remembered my username/password.")</f>
        <v>I tried to remember if I had created an account before and if I remembered my username/password.</v>
      </c>
      <c r="C25" s="34" t="s">
        <v>1614</v>
      </c>
      <c r="D25" s="3"/>
      <c r="E25" s="3"/>
      <c r="F25" s="12"/>
      <c r="G25" s="12"/>
      <c r="H25" s="12"/>
      <c r="I25" s="12"/>
      <c r="J25" s="12"/>
    </row>
    <row r="26">
      <c r="A26">
        <f>IFERROR(__xludf.DUMMYFUNCTION("""COMPUTED_VALUE"""),40.0)</f>
        <v>40</v>
      </c>
      <c r="B26" s="41" t="str">
        <f>IFERROR(__xludf.DUMMYFUNCTION("""COMPUTED_VALUE"""),"Nothing really, I assume google is pretty strict about how applications can use there sign on service. In fact it's just a sign on service, I doubt they have access to anything")</f>
        <v>Nothing really, I assume google is pretty strict about how applications can use there sign on service. In fact it's just a sign on service, I doubt they have access to anything</v>
      </c>
      <c r="C26" s="45" t="s">
        <v>1608</v>
      </c>
      <c r="D26" s="45" t="s">
        <v>1619</v>
      </c>
      <c r="E26" s="45" t="s">
        <v>1602</v>
      </c>
      <c r="F26" s="34" t="s">
        <v>1635</v>
      </c>
      <c r="G26" s="12"/>
      <c r="H26" s="12"/>
      <c r="I26" s="12"/>
      <c r="J26" s="12"/>
    </row>
    <row r="27">
      <c r="A27">
        <f>IFERROR(__xludf.DUMMYFUNCTION("""COMPUTED_VALUE"""),42.0)</f>
        <v>42</v>
      </c>
      <c r="B27" s="12" t="str">
        <f>IFERROR(__xludf.DUMMYFUNCTION("""COMPUTED_VALUE"""),"I considered if I was using a safe site, worried that my password may be compromised if I'm entering it into a third-party site.")</f>
        <v>I considered if I was using a safe site, worried that my password may be compromised if I'm entering it into a third-party site.</v>
      </c>
      <c r="C27" s="45" t="s">
        <v>65</v>
      </c>
      <c r="D27" s="45" t="s">
        <v>1601</v>
      </c>
      <c r="E27" s="12"/>
      <c r="F27" s="12"/>
      <c r="G27" s="12"/>
      <c r="H27" s="12"/>
      <c r="I27" s="12"/>
      <c r="J27" s="12"/>
    </row>
    <row r="28">
      <c r="A28">
        <f>IFERROR(__xludf.DUMMYFUNCTION("""COMPUTED_VALUE"""),46.0)</f>
        <v>46</v>
      </c>
      <c r="B28" s="12" t="str">
        <f>IFERROR(__xludf.DUMMYFUNCTION("""COMPUTED_VALUE"""),"I was concerned with the security of my account.")</f>
        <v>I was concerned with the security of my account.</v>
      </c>
      <c r="C28" s="45" t="s">
        <v>65</v>
      </c>
      <c r="D28" s="45" t="s">
        <v>1601</v>
      </c>
      <c r="E28" s="26"/>
      <c r="F28" s="26"/>
      <c r="G28" s="12"/>
      <c r="H28" s="12"/>
      <c r="I28" s="12"/>
      <c r="J28" s="12"/>
    </row>
    <row r="29">
      <c r="A29">
        <f>IFERROR(__xludf.DUMMYFUNCTION("""COMPUTED_VALUE"""),47.0)</f>
        <v>47</v>
      </c>
      <c r="B29" s="41" t="str">
        <f>IFERROR(__xludf.DUMMYFUNCTION("""COMPUTED_VALUE"""),"The ease of not having to make a new account or remember a new password.")</f>
        <v>The ease of not having to make a new account or remember a new password.</v>
      </c>
      <c r="C29" s="45" t="s">
        <v>1598</v>
      </c>
      <c r="D29" s="45" t="s">
        <v>1609</v>
      </c>
      <c r="E29" s="45" t="s">
        <v>1613</v>
      </c>
      <c r="F29" s="45" t="s">
        <v>1614</v>
      </c>
      <c r="G29" s="12"/>
      <c r="H29" s="12"/>
      <c r="I29" s="12"/>
      <c r="J29" s="12"/>
    </row>
    <row r="30">
      <c r="A30">
        <f>IFERROR(__xludf.DUMMYFUNCTION("""COMPUTED_VALUE"""),50.0)</f>
        <v>50</v>
      </c>
      <c r="B30" s="12" t="str">
        <f>IFERROR(__xludf.DUMMYFUNCTION("""COMPUTED_VALUE"""),"password")</f>
        <v>password</v>
      </c>
      <c r="C30" s="45" t="s">
        <v>65</v>
      </c>
      <c r="D30" s="45" t="s">
        <v>1601</v>
      </c>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t="str">
        <f>IFERROR(__xludf.DUMMYFUNCTION("""COMPUTED_VALUE"""),"The time it would take to create a new account on that site")</f>
        <v>The time it would take to create a new account on that site</v>
      </c>
      <c r="C32" s="45" t="s">
        <v>1598</v>
      </c>
      <c r="D32" s="45" t="s">
        <v>1609</v>
      </c>
      <c r="E32" s="12"/>
      <c r="F32" s="12"/>
      <c r="G32" s="12"/>
      <c r="H32" s="12"/>
      <c r="I32" s="12"/>
      <c r="J32" s="12"/>
    </row>
    <row r="33">
      <c r="A33">
        <f>IFERROR(__xludf.DUMMYFUNCTION("""COMPUTED_VALUE"""),53.0)</f>
        <v>53</v>
      </c>
      <c r="B33" s="12" t="str">
        <f>IFERROR(__xludf.DUMMYFUNCTION("""COMPUTED_VALUE"""),"nothing specific")</f>
        <v>nothing specific</v>
      </c>
      <c r="C33" s="45" t="s">
        <v>1608</v>
      </c>
      <c r="D33" s="3"/>
      <c r="E33" s="12"/>
      <c r="F33" s="12"/>
      <c r="G33" s="12"/>
      <c r="H33" s="12"/>
      <c r="I33" s="12"/>
      <c r="J33" s="12"/>
    </row>
    <row r="34">
      <c r="A34">
        <f>IFERROR(__xludf.DUMMYFUNCTION("""COMPUTED_VALUE"""),55.0)</f>
        <v>55</v>
      </c>
      <c r="B34" s="12" t="str">
        <f>IFERROR(__xludf.DUMMYFUNCTION("""COMPUTED_VALUE"""),"What other sign in options were provided")</f>
        <v>What other sign in options were provided</v>
      </c>
      <c r="C34" s="45" t="s">
        <v>1620</v>
      </c>
      <c r="D34" s="3"/>
      <c r="E34" s="12"/>
      <c r="F34" s="12"/>
      <c r="G34" s="12"/>
      <c r="H34" s="12"/>
      <c r="I34" s="12"/>
      <c r="J34" s="12"/>
    </row>
    <row r="35">
      <c r="A35">
        <f>IFERROR(__xludf.DUMMYFUNCTION("""COMPUTED_VALUE"""),56.0)</f>
        <v>56</v>
      </c>
      <c r="B35" s="12" t="str">
        <f>IFERROR(__xludf.DUMMYFUNCTION("""COMPUTED_VALUE"""),"I made no considerations.")</f>
        <v>I made no considerations.</v>
      </c>
      <c r="C35" s="45" t="s">
        <v>1608</v>
      </c>
      <c r="D35" s="12"/>
      <c r="E35" s="12"/>
      <c r="F35" s="12"/>
      <c r="G35" s="12"/>
      <c r="H35" s="12"/>
      <c r="I35" s="12"/>
      <c r="J35" s="12"/>
    </row>
    <row r="36">
      <c r="A36">
        <f>IFERROR(__xludf.DUMMYFUNCTION("""COMPUTED_VALUE"""),58.0)</f>
        <v>58</v>
      </c>
      <c r="B36" s="12" t="str">
        <f>IFERROR(__xludf.DUMMYFUNCTION("""COMPUTED_VALUE"""),"It was easier than signing up (creating a new username, password, security questions, 2-step authorization setup, confirming active email, etc).")</f>
        <v>It was easier than signing up (creating a new username, password, security questions, 2-step authorization setup, confirming active email, etc).</v>
      </c>
      <c r="C36" s="45" t="s">
        <v>1598</v>
      </c>
      <c r="D36" s="45" t="s">
        <v>1609</v>
      </c>
      <c r="E36" s="12"/>
      <c r="F36" s="12"/>
      <c r="G36" s="12"/>
      <c r="H36" s="12"/>
      <c r="I36" s="12"/>
      <c r="J36" s="12"/>
    </row>
    <row r="37">
      <c r="A37">
        <f>IFERROR(__xludf.DUMMYFUNCTION("""COMPUTED_VALUE"""),59.0)</f>
        <v>59</v>
      </c>
      <c r="B37" s="12" t="str">
        <f>IFERROR(__xludf.DUMMYFUNCTION("""COMPUTED_VALUE"""),"Wether to use facebook sign in or google")</f>
        <v>Wether to use facebook sign in or google</v>
      </c>
      <c r="C37" s="45" t="s">
        <v>1620</v>
      </c>
      <c r="D37" s="45" t="s">
        <v>1621</v>
      </c>
      <c r="E37" s="3"/>
      <c r="F37" s="3"/>
      <c r="G37" s="3"/>
      <c r="H37" s="12"/>
      <c r="I37" s="12"/>
      <c r="J37" s="12"/>
    </row>
    <row r="38">
      <c r="A38">
        <f>IFERROR(__xludf.DUMMYFUNCTION("""COMPUTED_VALUE"""),60.0)</f>
        <v>60</v>
      </c>
      <c r="B38" s="12" t="str">
        <f>IFERROR(__xludf.DUMMYFUNCTION("""COMPUTED_VALUE"""),"Information Third-party would receive")</f>
        <v>Information Third-party would receive</v>
      </c>
      <c r="C38" s="45" t="s">
        <v>65</v>
      </c>
      <c r="D38" s="34" t="s">
        <v>1600</v>
      </c>
      <c r="E38" s="34" t="s">
        <v>1605</v>
      </c>
      <c r="F38" s="34" t="s">
        <v>1622</v>
      </c>
      <c r="G38" s="12"/>
      <c r="H38" s="12"/>
      <c r="I38" s="12"/>
      <c r="J38" s="12"/>
    </row>
    <row r="39">
      <c r="A39">
        <f>IFERROR(__xludf.DUMMYFUNCTION("""COMPUTED_VALUE"""),61.0)</f>
        <v>61</v>
      </c>
      <c r="B39" s="12" t="str">
        <f>IFERROR(__xludf.DUMMYFUNCTION("""COMPUTED_VALUE"""),"What access the third-party would have to my email account")</f>
        <v>What access the third-party would have to my email account</v>
      </c>
      <c r="C39" s="45" t="s">
        <v>1605</v>
      </c>
      <c r="D39" s="45" t="s">
        <v>1623</v>
      </c>
      <c r="E39" s="12"/>
      <c r="F39" s="12"/>
      <c r="G39" s="12"/>
      <c r="H39" s="12"/>
      <c r="I39" s="12"/>
      <c r="J39" s="12"/>
    </row>
    <row r="40">
      <c r="A40">
        <f>IFERROR(__xludf.DUMMYFUNCTION("""COMPUTED_VALUE"""),62.0)</f>
        <v>62</v>
      </c>
      <c r="B40" s="12" t="str">
        <f>IFERROR(__xludf.DUMMYFUNCTION("""COMPUTED_VALUE"""),"In this particular case, not a whole lot given there is no sensitive information involved. However, with other services, I do consider whether I want Google as a company have the information that I am involved in that particular application, or informatio"&amp;"n which I may enter into said application.")</f>
        <v>In this particular case, not a whole lot given there is no sensitive information involved. However, with other services, I do consider whether I want Google as a company have the information that I am involved in that particular application, or information which I may enter into said application.</v>
      </c>
      <c r="C40" s="45" t="s">
        <v>1608</v>
      </c>
      <c r="D40" s="45" t="s">
        <v>65</v>
      </c>
      <c r="E40" s="45" t="s">
        <v>1600</v>
      </c>
      <c r="F40" s="34" t="s">
        <v>1624</v>
      </c>
      <c r="G40" s="34" t="s">
        <v>1625</v>
      </c>
      <c r="H40" s="12"/>
      <c r="I40" s="12"/>
      <c r="J40" s="12"/>
    </row>
    <row r="41">
      <c r="A41">
        <f>IFERROR(__xludf.DUMMYFUNCTION("""COMPUTED_VALUE"""),64.0)</f>
        <v>64</v>
      </c>
      <c r="B41" s="12" t="str">
        <f>IFERROR(__xludf.DUMMYFUNCTION("""COMPUTED_VALUE"""),"If it was a legitimate website")</f>
        <v>If it was a legitimate website</v>
      </c>
      <c r="C41" s="45" t="s">
        <v>1602</v>
      </c>
      <c r="D41" s="45" t="s">
        <v>1603</v>
      </c>
      <c r="E41" s="12"/>
      <c r="F41" s="12"/>
      <c r="G41" s="12"/>
      <c r="H41" s="12"/>
      <c r="I41" s="12"/>
      <c r="J41" s="12"/>
    </row>
    <row r="42">
      <c r="A42">
        <f>IFERROR(__xludf.DUMMYFUNCTION("""COMPUTED_VALUE"""),66.0)</f>
        <v>66</v>
      </c>
      <c r="B42" s="12" t="str">
        <f>IFERROR(__xludf.DUMMYFUNCTION("""COMPUTED_VALUE"""),"How convenient it would be")</f>
        <v>How convenient it would be</v>
      </c>
      <c r="C42" s="45" t="s">
        <v>1598</v>
      </c>
      <c r="D42" s="12"/>
      <c r="E42" s="12"/>
      <c r="F42" s="12"/>
      <c r="G42" s="12"/>
      <c r="H42" s="12"/>
      <c r="I42" s="12"/>
      <c r="J42" s="12"/>
    </row>
    <row r="43">
      <c r="A43">
        <f>IFERROR(__xludf.DUMMYFUNCTION("""COMPUTED_VALUE"""),67.0)</f>
        <v>67</v>
      </c>
      <c r="B43" s="12" t="str">
        <f>IFERROR(__xludf.DUMMYFUNCTION("""COMPUTED_VALUE"""),"I considered that it would be easier to sign in now that I didn't have to remember a username and password.")</f>
        <v>I considered that it would be easier to sign in now that I didn't have to remember a username and password.</v>
      </c>
      <c r="C43" s="45" t="s">
        <v>1598</v>
      </c>
      <c r="D43" s="45" t="s">
        <v>1599</v>
      </c>
      <c r="E43" s="34" t="s">
        <v>1614</v>
      </c>
      <c r="F43" s="3"/>
      <c r="G43" s="3"/>
      <c r="H43" s="3"/>
      <c r="I43" s="12"/>
      <c r="J43" s="12"/>
    </row>
    <row r="44">
      <c r="A44">
        <f>IFERROR(__xludf.DUMMYFUNCTION("""COMPUTED_VALUE"""),69.0)</f>
        <v>69</v>
      </c>
      <c r="B44" s="12" t="str">
        <f>IFERROR(__xludf.DUMMYFUNCTION("""COMPUTED_VALUE"""),"Whether or not it was safe")</f>
        <v>Whether or not it was safe</v>
      </c>
      <c r="C44" s="45" t="s">
        <v>65</v>
      </c>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t="str">
        <f>IFERROR(__xludf.DUMMYFUNCTION("""COMPUTED_VALUE"""),"What permissions does this app require, what control will it have over my data, and will it look bad having this app connected to my account?")</f>
        <v>What permissions does this app require, what control will it have over my data, and will it look bad having this app connected to my account?</v>
      </c>
      <c r="C46" s="45" t="s">
        <v>1605</v>
      </c>
      <c r="D46" s="45" t="s">
        <v>1622</v>
      </c>
      <c r="E46" s="34" t="s">
        <v>1606</v>
      </c>
      <c r="F46" s="12"/>
      <c r="G46" s="12"/>
      <c r="H46" s="12"/>
      <c r="I46" s="12"/>
      <c r="J46" s="12"/>
    </row>
    <row r="47">
      <c r="A47">
        <f>IFERROR(__xludf.DUMMYFUNCTION("""COMPUTED_VALUE"""),73.0)</f>
        <v>73</v>
      </c>
      <c r="B47" s="12" t="str">
        <f>IFERROR(__xludf.DUMMYFUNCTION("""COMPUTED_VALUE"""),"Username and password.")</f>
        <v>Username and password.</v>
      </c>
      <c r="C47" s="45" t="s">
        <v>1614</v>
      </c>
      <c r="D47" s="45"/>
      <c r="E47" s="3"/>
      <c r="F47" s="12"/>
      <c r="G47" s="12"/>
      <c r="H47" s="12"/>
      <c r="I47" s="12"/>
      <c r="J47" s="12"/>
    </row>
    <row r="48">
      <c r="A48">
        <f>IFERROR(__xludf.DUMMYFUNCTION("""COMPUTED_VALUE"""),74.0)</f>
        <v>74</v>
      </c>
      <c r="B48" s="12" t="str">
        <f>IFERROR(__xludf.DUMMYFUNCTION("""COMPUTED_VALUE"""),"what data they would take")</f>
        <v>what data they would take</v>
      </c>
      <c r="C48" s="45" t="s">
        <v>1605</v>
      </c>
      <c r="D48" s="45" t="s">
        <v>1606</v>
      </c>
      <c r="E48" s="12"/>
      <c r="F48" s="12"/>
      <c r="G48" s="12"/>
      <c r="H48" s="12"/>
      <c r="I48" s="12"/>
      <c r="J48" s="12"/>
    </row>
    <row r="49">
      <c r="A49">
        <f>IFERROR(__xludf.DUMMYFUNCTION("""COMPUTED_VALUE"""),75.0)</f>
        <v>75</v>
      </c>
      <c r="B49" s="12" t="str">
        <f>IFERROR(__xludf.DUMMYFUNCTION("""COMPUTED_VALUE"""),"Whether or not I wanted them to have access to my google account details")</f>
        <v>Whether or not I wanted them to have access to my google account details</v>
      </c>
      <c r="C49" s="45" t="s">
        <v>65</v>
      </c>
      <c r="D49" s="45" t="s">
        <v>1601</v>
      </c>
      <c r="E49" s="12"/>
      <c r="F49" s="12"/>
      <c r="G49" s="12"/>
      <c r="H49" s="12"/>
      <c r="I49" s="12"/>
      <c r="J49" s="12"/>
    </row>
    <row r="50">
      <c r="A50">
        <f>IFERROR(__xludf.DUMMYFUNCTION("""COMPUTED_VALUE"""),78.0)</f>
        <v>78</v>
      </c>
      <c r="B50" s="12" t="str">
        <f>IFERROR(__xludf.DUMMYFUNCTION("""COMPUTED_VALUE"""),"Privacy reasons, whether I wanted others to see my email")</f>
        <v>Privacy reasons, whether I wanted others to see my email</v>
      </c>
      <c r="C50" s="45" t="s">
        <v>384</v>
      </c>
      <c r="D50" s="12"/>
      <c r="E50" s="12"/>
      <c r="F50" s="12"/>
      <c r="G50" s="12"/>
      <c r="H50" s="12"/>
      <c r="I50" s="12"/>
      <c r="J50" s="12"/>
    </row>
    <row r="51">
      <c r="A51">
        <f>IFERROR(__xludf.DUMMYFUNCTION("""COMPUTED_VALUE"""),80.0)</f>
        <v>80</v>
      </c>
      <c r="B51" s="12" t="str">
        <f>IFERROR(__xludf.DUMMYFUNCTION("""COMPUTED_VALUE"""),"nothing")</f>
        <v>nothing</v>
      </c>
      <c r="C51" s="45" t="s">
        <v>1608</v>
      </c>
      <c r="D51" s="3"/>
      <c r="E51" s="3"/>
      <c r="F51" s="12"/>
      <c r="G51" s="12"/>
      <c r="H51" s="12"/>
      <c r="I51" s="12"/>
      <c r="J51" s="12"/>
    </row>
    <row r="52">
      <c r="A52">
        <f>IFERROR(__xludf.DUMMYFUNCTION("""COMPUTED_VALUE"""),81.0)</f>
        <v>81</v>
      </c>
      <c r="B52" s="12" t="str">
        <f>IFERROR(__xludf.DUMMYFUNCTION("""COMPUTED_VALUE"""),"I considered the implications of whether the site would get my data. However, I have done so before, so I felt safe signing in this way again.")</f>
        <v>I considered the implications of whether the site would get my data. However, I have done so before, so I felt safe signing in this way again.</v>
      </c>
      <c r="C52" s="3"/>
      <c r="D52" s="3"/>
      <c r="E52" s="12"/>
      <c r="F52" s="12"/>
      <c r="G52" s="12"/>
      <c r="H52" s="12"/>
      <c r="I52" s="12"/>
      <c r="J52" s="12"/>
    </row>
    <row r="53">
      <c r="A53">
        <f>IFERROR(__xludf.DUMMYFUNCTION("""COMPUTED_VALUE"""),84.0)</f>
        <v>84</v>
      </c>
      <c r="B53" s="12" t="str">
        <f>IFERROR(__xludf.DUMMYFUNCTION("""COMPUTED_VALUE"""),"whether I wanted to create a new account or just use my google or facebook")</f>
        <v>whether I wanted to create a new account or just use my google or facebook</v>
      </c>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t="str">
        <f>IFERROR(__xludf.DUMMYFUNCTION("""COMPUTED_VALUE"""),"I was hoping that they would not spam my email with promotional emails.")</f>
        <v>I was hoping that they would not spam my email with promotional emails.</v>
      </c>
      <c r="C55" s="3"/>
      <c r="D55" s="3"/>
      <c r="E55" s="12"/>
      <c r="F55" s="12"/>
      <c r="G55" s="12"/>
      <c r="H55" s="12"/>
      <c r="I55" s="12"/>
      <c r="J55" s="12"/>
    </row>
    <row r="56">
      <c r="A56">
        <f>IFERROR(__xludf.DUMMYFUNCTION("""COMPUTED_VALUE"""),88.0)</f>
        <v>88</v>
      </c>
      <c r="B56" s="12" t="str">
        <f>IFERROR(__xludf.DUMMYFUNCTION("""COMPUTED_VALUE"""),"I considered whether or not I wanted my Google Account (specifically my gmail) to be associated with that website, and also whether or not I felt it was necessary to have a more secure (individualized) password for that specific website (in this case, the"&amp;" answer was no, and hence I used my Google Account).")</f>
        <v>I considered whether or not I wanted my Google Account (specifically my gmail) to be associated with that website, and also whether or not I felt it was necessary to have a more secure (individualized) password for that specific website (in this case, the answer was no, and hence I used my Google Account).</v>
      </c>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t="str">
        <f>IFERROR(__xludf.DUMMYFUNCTION("""COMPUTED_VALUE"""),"I consider how much I expect to use the app, site, or service. I also consider where I plan to use it. The more that I expect to use something, the more likely I am to create a dedicated account for it. If I expect to use something less frequently, or onl"&amp;"y temporarily, or only on my phone, then I am more likely to just use my Google account to make things faster and easier.")</f>
        <v>I consider how much I expect to use the app, site, or service. I also consider where I plan to use it. The more that I expect to use something, the more likely I am to create a dedicated account for it. If I expect to use something less frequently, or only temporarily, or only on my phone, then I am more likely to just use my Google account to make things faster and easier.</v>
      </c>
      <c r="C58" s="3"/>
      <c r="D58" s="3"/>
      <c r="E58" s="3"/>
      <c r="F58" s="12"/>
      <c r="G58" s="12"/>
      <c r="H58" s="12"/>
      <c r="I58" s="12"/>
      <c r="J58" s="12"/>
    </row>
    <row r="59">
      <c r="A59">
        <f>IFERROR(__xludf.DUMMYFUNCTION("""COMPUTED_VALUE"""),93.0)</f>
        <v>93</v>
      </c>
      <c r="B59" s="12" t="str">
        <f>IFERROR(__xludf.DUMMYFUNCTION("""COMPUTED_VALUE"""),"If it would be a lot easier for me to access it by using a Google Account.")</f>
        <v>If it would be a lot easier for me to access it by using a Google Account.</v>
      </c>
      <c r="C59" s="3"/>
      <c r="D59" s="3"/>
      <c r="E59" s="12"/>
      <c r="F59" s="12"/>
      <c r="G59" s="12"/>
      <c r="H59" s="12"/>
      <c r="I59" s="12"/>
      <c r="J59" s="12"/>
    </row>
    <row r="60">
      <c r="A60">
        <f>IFERROR(__xludf.DUMMYFUNCTION("""COMPUTED_VALUE"""),95.0)</f>
        <v>95</v>
      </c>
      <c r="B60" s="12" t="str">
        <f>IFERROR(__xludf.DUMMYFUNCTION("""COMPUTED_VALUE"""),"I, really, mainly considered the convenience for me.
 Of course there were some considerations made towards whether this prospective service I'd sign-on to was reputable.
 (As reputable as a layperson, such as myself, can ensure anyway.)")</f>
        <v>I, really, mainly considered the convenience for me.
 Of course there were some considerations made towards whether this prospective service I'd sign-on to was reputable.
 (As reputable as a layperson, such as myself, can ensure anyway.)</v>
      </c>
      <c r="C60" s="3"/>
      <c r="D60" s="3"/>
      <c r="E60" s="3"/>
      <c r="F60" s="3"/>
      <c r="G60" s="3"/>
      <c r="H60" s="12"/>
      <c r="I60" s="12"/>
      <c r="J60" s="12"/>
    </row>
    <row r="61">
      <c r="A61">
        <f>IFERROR(__xludf.DUMMYFUNCTION("""COMPUTED_VALUE"""),97.0)</f>
        <v>97</v>
      </c>
      <c r="B61" s="12" t="str">
        <f>IFERROR(__xludf.DUMMYFUNCTION("""COMPUTED_VALUE"""),"I considered whether I even wanted to sign in or needed to. I don't use my gmail account as my primary email so there's less to think about when I use it. It's usually a debate about whether I want to link google to whatever I'm looking at or make a separ"&amp;"ate account.")</f>
        <v>I considered whether I even wanted to sign in or needed to. I don't use my gmail account as my primary email so there's less to think about when I use it. It's usually a debate about whether I want to link google to whatever I'm looking at or make a separate account.</v>
      </c>
      <c r="C61" s="26"/>
      <c r="D61" s="12"/>
      <c r="E61" s="12"/>
      <c r="F61" s="12"/>
      <c r="G61" s="12"/>
      <c r="H61" s="12"/>
      <c r="I61" s="12"/>
      <c r="J61" s="12"/>
    </row>
    <row r="62">
      <c r="A62">
        <f>IFERROR(__xludf.DUMMYFUNCTION("""COMPUTED_VALUE"""),98.0)</f>
        <v>98</v>
      </c>
      <c r="B62" s="12" t="str">
        <f>IFERROR(__xludf.DUMMYFUNCTION("""COMPUTED_VALUE"""),"I did not give it much thought (I did not feel in any way threatened or in danger of having my account compromised)")</f>
        <v>I did not give it much thought (I did not feel in any way threatened or in danger of having my account compromised)</v>
      </c>
      <c r="C62" s="3"/>
      <c r="D62" s="3"/>
      <c r="E62" s="12"/>
      <c r="F62" s="12"/>
      <c r="G62" s="12"/>
      <c r="H62" s="12"/>
      <c r="I62" s="12"/>
      <c r="J62" s="12"/>
    </row>
    <row r="63">
      <c r="A63">
        <f>IFERROR(__xludf.DUMMYFUNCTION("""COMPUTED_VALUE"""),99.0)</f>
        <v>99</v>
      </c>
      <c r="B63" s="12" t="str">
        <f>IFERROR(__xludf.DUMMYFUNCTION("""COMPUTED_VALUE"""),"Nothing")</f>
        <v>Nothing</v>
      </c>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t="str">
        <f>IFERROR(__xludf.DUMMYFUNCTION("""COMPUTED_VALUE"""),"I wanted to make a user name and password, but they only gave the ""sign in with Google"" to create an account.")</f>
        <v>I wanted to make a user name and password, but they only gave the "sign in with Google" to create an account.</v>
      </c>
      <c r="C65" s="3"/>
      <c r="D65" s="3"/>
      <c r="E65" s="3"/>
      <c r="F65" s="3"/>
      <c r="G65" s="26"/>
      <c r="H65" s="12"/>
      <c r="I65" s="12"/>
      <c r="J65" s="12"/>
    </row>
    <row r="66">
      <c r="A66">
        <f>IFERROR(__xludf.DUMMYFUNCTION("""COMPUTED_VALUE"""),103.0)</f>
        <v>103</v>
      </c>
      <c r="B66" s="12" t="str">
        <f>IFERROR(__xludf.DUMMYFUNCTION("""COMPUTED_VALUE"""),"I asked myself should I sign in via Gmail and did so because it was quicker.")</f>
        <v>I asked myself should I sign in via Gmail and did so because it was quicker.</v>
      </c>
      <c r="C66" s="3"/>
      <c r="D66" s="3"/>
      <c r="F66" s="12"/>
      <c r="G66" s="12"/>
      <c r="H66" s="12"/>
      <c r="I66" s="12"/>
      <c r="J66" s="12"/>
    </row>
    <row r="67">
      <c r="A67">
        <f>IFERROR(__xludf.DUMMYFUNCTION("""COMPUTED_VALUE"""),104.0)</f>
        <v>104</v>
      </c>
      <c r="B67" s="12" t="str">
        <f>IFERROR(__xludf.DUMMYFUNCTION("""COMPUTED_VALUE"""),"I consider if the website is trustworthy and if I can trust signing in using my gmail account in their website.")</f>
        <v>I consider if the website is trustworthy and if I can trust signing in using my gmail account in their website.</v>
      </c>
      <c r="C67" s="3"/>
      <c r="D67" s="3"/>
      <c r="E67" s="26"/>
      <c r="F67" s="26"/>
      <c r="G67" s="3"/>
      <c r="H67" s="3"/>
      <c r="J67" s="12"/>
    </row>
    <row r="68">
      <c r="A68">
        <f>IFERROR(__xludf.DUMMYFUNCTION("""COMPUTED_VALUE"""),105.0)</f>
        <v>105</v>
      </c>
      <c r="B68" s="12" t="str">
        <f>IFERROR(__xludf.DUMMYFUNCTION("""COMPUTED_VALUE"""),"Will my information be safe?")</f>
        <v>Will my information be safe?</v>
      </c>
      <c r="C68" s="3"/>
      <c r="D68" s="3"/>
      <c r="E68" s="12"/>
      <c r="F68" s="12"/>
      <c r="G68" s="12"/>
      <c r="J68" s="12"/>
    </row>
    <row r="69">
      <c r="A69">
        <f>IFERROR(__xludf.DUMMYFUNCTION("""COMPUTED_VALUE"""),107.0)</f>
        <v>107</v>
      </c>
      <c r="B69" s="12" t="str">
        <f>IFERROR(__xludf.DUMMYFUNCTION("""COMPUTED_VALUE"""),"My privacy")</f>
        <v>My privacy</v>
      </c>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t="str">
        <f>IFERROR(__xludf.DUMMYFUNCTION("""COMPUTED_VALUE"""),"I considered using a separate user name and password.")</f>
        <v>I considered using a separate user name and password.</v>
      </c>
      <c r="C71" s="3"/>
      <c r="D71" s="3"/>
      <c r="E71" s="3"/>
      <c r="F71" s="3"/>
      <c r="G71" s="3"/>
      <c r="H71" s="3"/>
      <c r="I71" s="3"/>
      <c r="J71" s="12"/>
    </row>
    <row r="72">
      <c r="A72">
        <f>IFERROR(__xludf.DUMMYFUNCTION("""COMPUTED_VALUE"""),111.0)</f>
        <v>111</v>
      </c>
      <c r="B72" s="12" t="str">
        <f>IFERROR(__xludf.DUMMYFUNCTION("""COMPUTED_VALUE"""),"Whether it would be better to make a new account on the third party or just use the all encompassing google account.")</f>
        <v>Whether it would be better to make a new account on the third party or just use the all encompassing google account.</v>
      </c>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t="str">
        <f>IFERROR(__xludf.DUMMYFUNCTION("""COMPUTED_VALUE"""),"The information that would be shared with the app/service, the level of access and permissions, as well as whether or not there was a way to participate without having to sign in with Google.")</f>
        <v>The information that would be shared with the app/service, the level of access and permissions, as well as whether or not there was a way to participate without having to sign in with Google.</v>
      </c>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IFERROR(__xludf.DUMMYFUNCTION("""COMPUTED_VALUE"""),"Whether or not I would use the service for long term than I would use my google account.")</f>
        <v>Whether or not I would use the service for long term than I would use my google account.</v>
      </c>
      <c r="C76" s="3"/>
      <c r="D76" s="3"/>
      <c r="E76" s="3"/>
      <c r="F76" s="12"/>
      <c r="G76" s="12"/>
      <c r="H76" s="12"/>
      <c r="I76" s="12"/>
      <c r="J76" s="12"/>
    </row>
    <row r="77">
      <c r="A77">
        <f>IFERROR(__xludf.DUMMYFUNCTION("""COMPUTED_VALUE"""),117.0)</f>
        <v>117</v>
      </c>
      <c r="B77" s="12" t="str">
        <f>IFERROR(__xludf.DUMMYFUNCTION("""COMPUTED_VALUE"""),"Is this application reputable enough to have invested in data security.")</f>
        <v>Is this application reputable enough to have invested in data security.</v>
      </c>
      <c r="C77" s="3"/>
      <c r="D77" s="3"/>
      <c r="E77" s="3"/>
      <c r="F77" s="12"/>
      <c r="G77" s="12"/>
      <c r="H77" s="12"/>
      <c r="I77" s="12"/>
      <c r="J77" s="12"/>
    </row>
    <row r="78">
      <c r="A78">
        <f>IFERROR(__xludf.DUMMYFUNCTION("""COMPUTED_VALUE"""),122.0)</f>
        <v>122</v>
      </c>
      <c r="B78" s="12" t="str">
        <f>IFERROR(__xludf.DUMMYFUNCTION("""COMPUTED_VALUE"""),"I wondered if I should just use a normal email or apple ID instead of my google acocunt.")</f>
        <v>I wondered if I should just use a normal email or apple ID instead of my google acocunt.</v>
      </c>
      <c r="C78" s="3"/>
      <c r="D78" s="3"/>
      <c r="E78" s="12"/>
      <c r="F78" s="12"/>
      <c r="G78" s="12"/>
      <c r="H78" s="12"/>
      <c r="I78" s="12"/>
      <c r="J78" s="12"/>
    </row>
    <row r="79">
      <c r="A79">
        <f>IFERROR(__xludf.DUMMYFUNCTION("""COMPUTED_VALUE"""),123.0)</f>
        <v>123</v>
      </c>
      <c r="B79" s="12" t="str">
        <f>IFERROR(__xludf.DUMMYFUNCTION("""COMPUTED_VALUE"""),"I was worried about security of my Google Account.")</f>
        <v>I was worried about security of my Google Account.</v>
      </c>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t="str">
        <f>IFERROR(__xludf.DUMMYFUNCTION("""COMPUTED_VALUE"""),"If it was safe to do so, that my Google account wouldn't be harmed")</f>
        <v>If it was safe to do so, that my Google account wouldn't be harmed</v>
      </c>
      <c r="C81" s="3"/>
      <c r="D81" s="3"/>
      <c r="E81" s="3"/>
      <c r="F81" s="3"/>
      <c r="G81" s="12"/>
      <c r="H81" s="12"/>
      <c r="I81" s="12"/>
      <c r="J81" s="12"/>
    </row>
    <row r="82">
      <c r="A82">
        <f>IFERROR(__xludf.DUMMYFUNCTION("""COMPUTED_VALUE"""),126.0)</f>
        <v>126</v>
      </c>
      <c r="B82" s="12" t="str">
        <f>IFERROR(__xludf.DUMMYFUNCTION("""COMPUTED_VALUE"""),"N/A")</f>
        <v>N/A</v>
      </c>
      <c r="C82" s="3"/>
      <c r="D82" s="3"/>
      <c r="E82" s="12"/>
      <c r="F82" s="12"/>
      <c r="G82" s="12"/>
      <c r="H82" s="12"/>
      <c r="I82" s="12"/>
      <c r="J82" s="12"/>
    </row>
    <row r="83">
      <c r="A83">
        <f>IFERROR(__xludf.DUMMYFUNCTION("""COMPUTED_VALUE"""),127.0)</f>
        <v>127</v>
      </c>
      <c r="B83" s="12" t="str">
        <f>IFERROR(__xludf.DUMMYFUNCTION("""COMPUTED_VALUE"""),"I considered what information the service or app would be getting from me.")</f>
        <v>I considered what information the service or app would be getting from me.</v>
      </c>
      <c r="C83" s="3"/>
      <c r="D83" s="3"/>
      <c r="E83" s="3"/>
      <c r="F83" s="3"/>
      <c r="G83" s="12"/>
      <c r="H83" s="12"/>
      <c r="I83" s="12"/>
      <c r="J83" s="12"/>
    </row>
    <row r="84">
      <c r="A84">
        <f>IFERROR(__xludf.DUMMYFUNCTION("""COMPUTED_VALUE"""),128.0)</f>
        <v>128</v>
      </c>
      <c r="B84" s="12" t="str">
        <f>IFERROR(__xludf.DUMMYFUNCTION("""COMPUTED_VALUE"""),"if I remembered my password...")</f>
        <v>if I remembered my password...</v>
      </c>
      <c r="C84" s="3"/>
      <c r="D84" s="3"/>
      <c r="E84" s="3"/>
      <c r="F84" s="3"/>
      <c r="G84" s="3"/>
      <c r="H84" s="12"/>
      <c r="I84" s="12"/>
      <c r="J84" s="12"/>
    </row>
    <row r="85">
      <c r="A85">
        <f>IFERROR(__xludf.DUMMYFUNCTION("""COMPUTED_VALUE"""),129.0)</f>
        <v>129</v>
      </c>
      <c r="B85" s="12" t="str">
        <f>IFERROR(__xludf.DUMMYFUNCTION("""COMPUTED_VALUE"""),"I considered how easy it would be for me rather than inputting my details all over.")</f>
        <v>I considered how easy it would be for me rather than inputting my details all over.</v>
      </c>
      <c r="C85" s="3"/>
      <c r="D85" s="3"/>
      <c r="E85" s="3"/>
      <c r="F85" s="12"/>
      <c r="G85" s="12"/>
      <c r="H85" s="12"/>
      <c r="I85" s="12"/>
      <c r="J85" s="12"/>
    </row>
    <row r="86">
      <c r="A86">
        <f>IFERROR(__xludf.DUMMYFUNCTION("""COMPUTED_VALUE"""),130.0)</f>
        <v>130</v>
      </c>
      <c r="B86" s="12" t="str">
        <f>IFERROR(__xludf.DUMMYFUNCTION("""COMPUTED_VALUE"""),"I considered whether or not I trusted the company that the app is being represented by, whether or not trusting that app with my data was a safe choice.")</f>
        <v>I considered whether or not I trusted the company that the app is being represented by, whether or not trusting that app with my data was a safe choice.</v>
      </c>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t="str">
        <f>IFERROR(__xludf.DUMMYFUNCTION("""COMPUTED_VALUE"""),"infinix hot 8")</f>
        <v>infinix hot 8</v>
      </c>
      <c r="C88" s="3"/>
      <c r="D88" s="3"/>
      <c r="E88" s="12"/>
      <c r="F88" s="12"/>
      <c r="G88" s="12"/>
      <c r="H88" s="12"/>
      <c r="I88" s="12"/>
      <c r="J88" s="12"/>
    </row>
    <row r="89">
      <c r="A89">
        <f>IFERROR(__xludf.DUMMYFUNCTION("""COMPUTED_VALUE"""),137.0)</f>
        <v>137</v>
      </c>
      <c r="B89" s="12" t="str">
        <f>IFERROR(__xludf.DUMMYFUNCTION("""COMPUTED_VALUE"""),"if that service has access to information associated with my Google Account")</f>
        <v>if that service has access to information associated with my Google Account</v>
      </c>
      <c r="C89" s="3"/>
      <c r="D89" s="3"/>
      <c r="E89" s="3"/>
      <c r="F89" s="3"/>
      <c r="G89" s="12"/>
      <c r="H89" s="12"/>
      <c r="I89" s="12"/>
      <c r="J89" s="12"/>
    </row>
    <row r="90">
      <c r="A90">
        <f>IFERROR(__xludf.DUMMYFUNCTION("""COMPUTED_VALUE"""),138.0)</f>
        <v>138</v>
      </c>
      <c r="B90" s="12" t="str">
        <f>IFERROR(__xludf.DUMMYFUNCTION("""COMPUTED_VALUE"""),"I considered what that app would have access to if I signed in through there.")</f>
        <v>I considered what that app would have access to if I signed in through there.</v>
      </c>
      <c r="C90" s="3"/>
      <c r="D90" s="3"/>
      <c r="E90" s="12"/>
      <c r="F90" s="12"/>
      <c r="G90" s="12"/>
      <c r="H90" s="12"/>
      <c r="I90" s="12"/>
      <c r="J90" s="12"/>
    </row>
    <row r="91">
      <c r="A91">
        <f>IFERROR(__xludf.DUMMYFUNCTION("""COMPUTED_VALUE"""),140.0)</f>
        <v>140</v>
      </c>
      <c r="B91" s="12" t="str">
        <f>IFERROR(__xludf.DUMMYFUNCTION("""COMPUTED_VALUE"""),"Whether my information would be shared between the two.")</f>
        <v>Whether my information would be shared between the two.</v>
      </c>
      <c r="C91" s="3"/>
      <c r="D91" s="3"/>
      <c r="E91" s="3"/>
      <c r="F91" s="12"/>
      <c r="G91" s="12"/>
      <c r="H91" s="12"/>
      <c r="I91" s="12"/>
      <c r="J91" s="12"/>
    </row>
    <row r="92">
      <c r="A92">
        <f>IFERROR(__xludf.DUMMYFUNCTION("""COMPUTED_VALUE"""),141.0)</f>
        <v>141</v>
      </c>
      <c r="B92" s="12" t="str">
        <f>IFERROR(__xludf.DUMMYFUNCTION("""COMPUTED_VALUE"""),"I considered using facebook instead of google to sign in.")</f>
        <v>I considered using facebook instead of google to sign in.</v>
      </c>
      <c r="C92" s="3"/>
      <c r="D92" s="3"/>
      <c r="E92" s="3"/>
      <c r="F92" s="12"/>
      <c r="G92" s="12"/>
      <c r="H92" s="12"/>
      <c r="I92" s="12"/>
      <c r="J92" s="12"/>
    </row>
    <row r="93">
      <c r="A93">
        <f>IFERROR(__xludf.DUMMYFUNCTION("""COMPUTED_VALUE"""),142.0)</f>
        <v>142</v>
      </c>
      <c r="B93" s="12" t="str">
        <f>IFERROR(__xludf.DUMMYFUNCTION("""COMPUTED_VALUE"""),"if it was safe")</f>
        <v>if it was safe</v>
      </c>
      <c r="C93" s="3"/>
      <c r="D93" s="3"/>
      <c r="E93" s="12"/>
      <c r="F93" s="12"/>
      <c r="G93" s="12"/>
      <c r="H93" s="12"/>
      <c r="I93" s="12"/>
      <c r="J93" s="12"/>
    </row>
    <row r="94">
      <c r="A94">
        <f>IFERROR(__xludf.DUMMYFUNCTION("""COMPUTED_VALUE"""),143.0)</f>
        <v>143</v>
      </c>
      <c r="B94" s="12" t="str">
        <f>IFERROR(__xludf.DUMMYFUNCTION("""COMPUTED_VALUE"""),"Whether it would be faster than creating an account specifically for that platform, and whether it would be a safe site to trust with my information")</f>
        <v>Whether it would be faster than creating an account specifically for that platform, and whether it would be a safe site to trust with my information</v>
      </c>
      <c r="C94" s="3"/>
      <c r="D94" s="3"/>
      <c r="E94" s="12"/>
      <c r="F94" s="12"/>
      <c r="G94" s="12"/>
      <c r="H94" s="12"/>
      <c r="I94" s="12"/>
      <c r="J94" s="12"/>
    </row>
    <row r="95">
      <c r="A95">
        <f>IFERROR(__xludf.DUMMYFUNCTION("""COMPUTED_VALUE"""),146.0)</f>
        <v>146</v>
      </c>
      <c r="B95" s="12" t="str">
        <f>IFERROR(__xludf.DUMMYFUNCTION("""COMPUTED_VALUE"""),"It was easier and faster than creating a separate account")</f>
        <v>It was easier and faster than creating a separate account</v>
      </c>
      <c r="C95" s="3"/>
      <c r="D95" s="3"/>
      <c r="E95" s="12"/>
      <c r="F95" s="12"/>
      <c r="G95" s="12"/>
      <c r="H95" s="12"/>
      <c r="I95" s="12"/>
      <c r="J95" s="12"/>
    </row>
    <row r="96">
      <c r="A96">
        <f>IFERROR(__xludf.DUMMYFUNCTION("""COMPUTED_VALUE"""),147.0)</f>
        <v>147</v>
      </c>
      <c r="B96" s="12" t="str">
        <f>IFERROR(__xludf.DUMMYFUNCTION("""COMPUTED_VALUE"""),"How much i trust the app, if its a verified app on google play store, if the developer is famous or of trust.")</f>
        <v>How much i trust the app, if its a verified app on google play store, if the developer is famous or of trust.</v>
      </c>
      <c r="C96" s="3"/>
      <c r="D96" s="3"/>
      <c r="E96" s="3"/>
      <c r="F96" s="12"/>
      <c r="G96" s="12"/>
      <c r="H96" s="12"/>
      <c r="I96" s="12"/>
      <c r="J96" s="12"/>
    </row>
    <row r="97">
      <c r="A97">
        <f>IFERROR(__xludf.DUMMYFUNCTION("""COMPUTED_VALUE"""),148.0)</f>
        <v>148</v>
      </c>
      <c r="B97" s="12" t="str">
        <f>IFERROR(__xludf.DUMMYFUNCTION("""COMPUTED_VALUE"""),"if it would work")</f>
        <v>if it would work</v>
      </c>
      <c r="C97" s="3"/>
      <c r="D97" s="3"/>
      <c r="E97" s="12"/>
      <c r="F97" s="12"/>
      <c r="G97" s="12"/>
      <c r="H97" s="12"/>
      <c r="I97" s="12"/>
      <c r="J97" s="12"/>
    </row>
    <row r="98">
      <c r="A98">
        <f>IFERROR(__xludf.DUMMYFUNCTION("""COMPUTED_VALUE"""),149.0)</f>
        <v>149</v>
      </c>
      <c r="B98" s="12" t="str">
        <f>IFERROR(__xludf.DUMMYFUNCTION("""COMPUTED_VALUE"""),"I didn't consider much, I use google sign in pretty regularly.")</f>
        <v>I didn't consider much, I use google sign in pretty regularly.</v>
      </c>
      <c r="C98" s="3"/>
      <c r="D98" s="3"/>
      <c r="E98" s="3"/>
      <c r="F98" s="3"/>
      <c r="G98" s="12"/>
      <c r="H98" s="12"/>
      <c r="I98" s="12"/>
      <c r="J98" s="12"/>
    </row>
    <row r="99">
      <c r="A99">
        <f>IFERROR(__xludf.DUMMYFUNCTION("""COMPUTED_VALUE"""),150.0)</f>
        <v>150</v>
      </c>
      <c r="B99" s="12" t="str">
        <f>IFERROR(__xludf.DUMMYFUNCTION("""COMPUTED_VALUE"""),"There were benefits of linking the software to my google account as a teacher.")</f>
        <v>There were benefits of linking the software to my google account as a teacher.</v>
      </c>
      <c r="C99" s="3"/>
      <c r="D99" s="12"/>
      <c r="E99" s="12"/>
      <c r="F99" s="12"/>
      <c r="G99" s="12"/>
      <c r="H99" s="12"/>
      <c r="I99" s="12"/>
      <c r="J99" s="12"/>
    </row>
    <row r="100">
      <c r="A100">
        <f>IFERROR(__xludf.DUMMYFUNCTION("""COMPUTED_VALUE"""),151.0)</f>
        <v>151</v>
      </c>
      <c r="B100" s="12" t="str">
        <f>IFERROR(__xludf.DUMMYFUNCTION("""COMPUTED_VALUE"""),"Mostly I try to look at the permissions and the reputation of the company itself")</f>
        <v>Mostly I try to look at the permissions and the reputation of the company itself</v>
      </c>
      <c r="C100" s="3"/>
      <c r="D100" s="12"/>
      <c r="E100" s="12"/>
      <c r="F100" s="12"/>
      <c r="G100" s="12"/>
      <c r="H100" s="12"/>
      <c r="I100" s="12"/>
      <c r="J100" s="12"/>
    </row>
    <row r="101">
      <c r="A101">
        <f>IFERROR(__xludf.DUMMYFUNCTION("""COMPUTED_VALUE"""),152.0)</f>
        <v>152</v>
      </c>
      <c r="B101" s="12" t="str">
        <f>IFERROR(__xludf.DUMMYFUNCTION("""COMPUTED_VALUE"""),"I do consider privacy, but mostly I consider convenience as I have relative trust in Google's privacy measures.")</f>
        <v>I do consider privacy, but mostly I consider convenience as I have relative trust in Google's privacy measures.</v>
      </c>
      <c r="C101" s="3"/>
      <c r="D101" s="3"/>
      <c r="E101" s="3"/>
      <c r="F101" s="12"/>
      <c r="G101" s="12"/>
      <c r="H101" s="12"/>
      <c r="I101" s="12"/>
      <c r="J101" s="12"/>
    </row>
    <row r="102">
      <c r="A102">
        <f>IFERROR(__xludf.DUMMYFUNCTION("""COMPUTED_VALUE"""),154.0)</f>
        <v>154</v>
      </c>
      <c r="B102" s="12" t="str">
        <f>IFERROR(__xludf.DUMMYFUNCTION("""COMPUTED_VALUE"""),"The ease of signing in via Google.")</f>
        <v>The ease of signing in via Google.</v>
      </c>
      <c r="C102" s="3"/>
      <c r="D102" s="3"/>
      <c r="E102" s="3"/>
      <c r="F102" s="12"/>
      <c r="G102" s="12"/>
      <c r="H102" s="12"/>
      <c r="I102" s="12"/>
      <c r="J102" s="12"/>
    </row>
    <row r="103">
      <c r="A103">
        <f>IFERROR(__xludf.DUMMYFUNCTION("""COMPUTED_VALUE"""),155.0)</f>
        <v>155</v>
      </c>
      <c r="B103" s="12" t="str">
        <f>IFERROR(__xludf.DUMMYFUNCTION("""COMPUTED_VALUE"""),"I was trying to figure out if I would remember how I logged into this site. I have dozens and dozens of websites and apps that require user names and passwords. So now I have one more site to remember.")</f>
        <v>I was trying to figure out if I would remember how I logged into this site. I have dozens and dozens of websites and apps that require user names and passwords. So now I have one more site to remember.</v>
      </c>
      <c r="C103" s="3"/>
      <c r="D103" s="3"/>
      <c r="E103" s="12"/>
      <c r="F103" s="12"/>
      <c r="G103" s="12"/>
      <c r="H103" s="12"/>
      <c r="I103" s="12"/>
      <c r="J103" s="12"/>
    </row>
    <row r="104">
      <c r="A104">
        <f>IFERROR(__xludf.DUMMYFUNCTION("""COMPUTED_VALUE"""),156.0)</f>
        <v>156</v>
      </c>
      <c r="B104" s="12" t="str">
        <f>IFERROR(__xludf.DUMMYFUNCTION("""COMPUTED_VALUE"""),"Do I want to actually go through with this")</f>
        <v>Do I want to actually go through with this</v>
      </c>
      <c r="C104" s="3"/>
      <c r="D104" s="3"/>
      <c r="E104" s="12"/>
      <c r="F104" s="12"/>
      <c r="G104" s="12"/>
      <c r="H104" s="12"/>
      <c r="I104" s="12"/>
      <c r="J104" s="12"/>
    </row>
    <row r="105">
      <c r="A105">
        <f>IFERROR(__xludf.DUMMYFUNCTION("""COMPUTED_VALUE"""),157.0)</f>
        <v>157</v>
      </c>
      <c r="B105" s="12" t="str">
        <f>IFERROR(__xludf.DUMMYFUNCTION("""COMPUTED_VALUE"""),"How they would use my info and if my info would be secure")</f>
        <v>How they would use my info and if my info would be secure</v>
      </c>
      <c r="C105" s="3"/>
      <c r="D105" s="3"/>
      <c r="E105" s="3"/>
      <c r="F105" s="3"/>
      <c r="G105" s="12"/>
      <c r="H105" s="12"/>
      <c r="I105" s="12"/>
      <c r="J105" s="12"/>
    </row>
    <row r="106">
      <c r="A106">
        <f>IFERROR(__xludf.DUMMYFUNCTION("""COMPUTED_VALUE"""),158.0)</f>
        <v>158</v>
      </c>
      <c r="B106" s="12" t="str">
        <f>IFERROR(__xludf.DUMMYFUNCTION("""COMPUTED_VALUE"""),"If I wanted to use my Google or Facebook account to log on.")</f>
        <v>If I wanted to use my Google or Facebook account to log on.</v>
      </c>
      <c r="C106" s="3"/>
      <c r="D106" s="3"/>
      <c r="E106" s="12"/>
      <c r="F106" s="12"/>
      <c r="G106" s="12"/>
      <c r="H106" s="12"/>
      <c r="I106" s="12"/>
      <c r="J106" s="12"/>
    </row>
    <row r="107">
      <c r="A107">
        <f>IFERROR(__xludf.DUMMYFUNCTION("""COMPUTED_VALUE"""),159.0)</f>
        <v>159</v>
      </c>
      <c r="B107" s="12" t="str">
        <f>IFERROR(__xludf.DUMMYFUNCTION("""COMPUTED_VALUE"""),"Nothing. I often sign in with my Google Account, so it's easy to access my apps.")</f>
        <v>Nothing. I often sign in with my Google Account, so it's easy to access my apps.</v>
      </c>
      <c r="C107" s="3"/>
      <c r="D107" s="3"/>
      <c r="E107" s="3"/>
      <c r="F107" s="3"/>
      <c r="G107" s="12"/>
      <c r="H107" s="12"/>
      <c r="I107" s="12"/>
      <c r="J107" s="12"/>
    </row>
    <row r="108">
      <c r="A108">
        <f>IFERROR(__xludf.DUMMYFUNCTION("""COMPUTED_VALUE"""),160.0)</f>
        <v>160</v>
      </c>
      <c r="B108" s="12" t="str">
        <f>IFERROR(__xludf.DUMMYFUNCTION("""COMPUTED_VALUE"""),"Its mainly a matter of convenience its gets old making new accounts for everything.")</f>
        <v>Its mainly a matter of convenience its gets old making new accounts for everything.</v>
      </c>
      <c r="C108" s="3"/>
      <c r="D108" s="3"/>
      <c r="E108" s="3"/>
      <c r="F108" s="12"/>
      <c r="G108" s="12"/>
      <c r="H108" s="12"/>
      <c r="I108" s="12"/>
      <c r="J108" s="12"/>
    </row>
    <row r="109">
      <c r="A109">
        <f>IFERROR(__xludf.DUMMYFUNCTION("""COMPUTED_VALUE"""),162.0)</f>
        <v>162</v>
      </c>
      <c r="B109" s="12" t="str">
        <f>IFERROR(__xludf.DUMMYFUNCTION("""COMPUTED_VALUE"""),"Nothing really, I figure if it's educational it's pretty safe.")</f>
        <v>Nothing really, I figure if it's educational it's pretty safe.</v>
      </c>
      <c r="C109" s="3"/>
      <c r="D109" s="3"/>
      <c r="E109" s="12"/>
      <c r="F109" s="12"/>
      <c r="G109" s="12"/>
      <c r="H109" s="12"/>
      <c r="I109" s="12"/>
      <c r="J109" s="12"/>
    </row>
    <row r="110">
      <c r="A110">
        <f>IFERROR(__xludf.DUMMYFUNCTION("""COMPUTED_VALUE"""),163.0)</f>
        <v>163</v>
      </c>
      <c r="B110" s="12" t="str">
        <f>IFERROR(__xludf.DUMMYFUNCTION("""COMPUTED_VALUE"""),"I considered how much information they'd receive from me and if it would make an account.")</f>
        <v>I considered how much information they'd receive from me and if it would make an account.</v>
      </c>
      <c r="C110" s="3"/>
      <c r="D110" s="3"/>
      <c r="E110" s="3"/>
      <c r="F110" s="12"/>
      <c r="G110" s="12"/>
      <c r="H110" s="12"/>
      <c r="I110" s="12"/>
      <c r="J110" s="12"/>
    </row>
    <row r="111">
      <c r="A111">
        <f>IFERROR(__xludf.DUMMYFUNCTION("""COMPUTED_VALUE"""),164.0)</f>
        <v>164</v>
      </c>
      <c r="B111" s="12" t="str">
        <f>IFERROR(__xludf.DUMMYFUNCTION("""COMPUTED_VALUE"""),"If my information would be stolen.")</f>
        <v>If my information would be stolen.</v>
      </c>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t="str">
        <f>IFERROR(__xludf.DUMMYFUNCTION("""COMPUTED_VALUE"""),"I considered signing in with a username and password but google account was easier")</f>
        <v>I considered signing in with a username and password but google account was easier</v>
      </c>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t="str">
        <f>IFERROR(__xludf.DUMMYFUNCTION("""COMPUTED_VALUE"""),"That it was more convenient")</f>
        <v>That it was more convenient</v>
      </c>
      <c r="C115" s="3"/>
      <c r="D115" s="12"/>
      <c r="E115" s="12"/>
      <c r="F115" s="12"/>
      <c r="G115" s="12"/>
      <c r="H115" s="12"/>
      <c r="I115" s="12"/>
      <c r="J115" s="12"/>
    </row>
    <row r="116">
      <c r="A116">
        <f>IFERROR(__xludf.DUMMYFUNCTION("""COMPUTED_VALUE"""),170.0)</f>
        <v>170</v>
      </c>
      <c r="B116" s="12" t="str">
        <f>IFERROR(__xludf.DUMMYFUNCTION("""COMPUTED_VALUE"""),"I didn't consider much, my google account has always been good to me and offered ease of use with many things.")</f>
        <v>I didn't consider much, my google account has always been good to me and offered ease of use with many things.</v>
      </c>
      <c r="C116" s="3"/>
      <c r="D116" s="3"/>
      <c r="E116" s="3"/>
      <c r="F116" s="3"/>
      <c r="G116" s="12"/>
      <c r="H116" s="12"/>
      <c r="I116" s="12"/>
      <c r="J116" s="12"/>
    </row>
    <row r="117">
      <c r="A117">
        <f>IFERROR(__xludf.DUMMYFUNCTION("""COMPUTED_VALUE"""),171.0)</f>
        <v>171</v>
      </c>
      <c r="B117" s="12" t="str">
        <f>IFERROR(__xludf.DUMMYFUNCTION("""COMPUTED_VALUE"""),"nothing, I often use this for software I use frequently")</f>
        <v>nothing, I often use this for software I use frequently</v>
      </c>
      <c r="C117" s="3"/>
      <c r="D117" s="3"/>
      <c r="E117" s="12"/>
      <c r="F117" s="12"/>
      <c r="G117" s="12"/>
      <c r="H117" s="12"/>
      <c r="I117" s="12"/>
      <c r="J117" s="12"/>
    </row>
    <row r="118">
      <c r="A118">
        <f>IFERROR(__xludf.DUMMYFUNCTION("""COMPUTED_VALUE"""),172.0)</f>
        <v>172</v>
      </c>
      <c r="B118" s="12" t="str">
        <f>IFERROR(__xludf.DUMMYFUNCTION("""COMPUTED_VALUE"""),"Security")</f>
        <v>Security</v>
      </c>
      <c r="C118" s="3"/>
      <c r="D118" s="3"/>
      <c r="E118" s="12"/>
      <c r="F118" s="12"/>
      <c r="G118" s="12"/>
      <c r="H118" s="12"/>
      <c r="I118" s="12"/>
      <c r="J118" s="12"/>
    </row>
    <row r="119">
      <c r="A119">
        <f>IFERROR(__xludf.DUMMYFUNCTION("""COMPUTED_VALUE"""),174.0)</f>
        <v>174</v>
      </c>
      <c r="B119" s="12" t="str">
        <f>IFERROR(__xludf.DUMMYFUNCTION("""COMPUTED_VALUE"""),"I knew that I only really needed to use Lumin PDF for a quick task related to some job application, so I wasn't bothered to try to actually make an account on their service, I knew that using my google account to sign in was convenient and easy.")</f>
        <v>I knew that I only really needed to use Lumin PDF for a quick task related to some job application, so I wasn't bothered to try to actually make an account on their service, I knew that using my google account to sign in was convenient and easy.</v>
      </c>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t="str">
        <f>IFERROR(__xludf.DUMMYFUNCTION("""COMPUTED_VALUE"""),"I don't usually sign in with my Google account because I don't want to start getting a bunch of spam to my Gmail account, but I didn't think this was very likely in this case.")</f>
        <v>I don't usually sign in with my Google account because I don't want to start getting a bunch of spam to my Gmail account, but I didn't think this was very likely in this case.</v>
      </c>
      <c r="C121" s="3"/>
      <c r="D121" s="3"/>
      <c r="E121" s="3"/>
      <c r="F121" s="3"/>
      <c r="G121" s="12"/>
      <c r="H121" s="12"/>
      <c r="I121" s="12"/>
      <c r="J121" s="12"/>
    </row>
    <row r="122">
      <c r="A122">
        <f>IFERROR(__xludf.DUMMYFUNCTION("""COMPUTED_VALUE"""),179.0)</f>
        <v>179</v>
      </c>
      <c r="B122" s="12" t="str">
        <f>IFERROR(__xludf.DUMMYFUNCTION("""COMPUTED_VALUE"""),"Will this lead to shady, unclear recurring payments?")</f>
        <v>Will this lead to shady, unclear recurring payments?</v>
      </c>
      <c r="C122" s="3"/>
      <c r="D122" s="3"/>
      <c r="E122" s="3"/>
      <c r="F122" s="12"/>
      <c r="G122" s="12"/>
      <c r="H122" s="12"/>
      <c r="I122" s="12"/>
      <c r="J122" s="12"/>
    </row>
    <row r="123">
      <c r="A123">
        <f>IFERROR(__xludf.DUMMYFUNCTION("""COMPUTED_VALUE"""),180.0)</f>
        <v>180</v>
      </c>
      <c r="B123" s="12" t="str">
        <f>IFERROR(__xludf.DUMMYFUNCTION("""COMPUTED_VALUE"""),"Creating an account with email just in case there was inter-data mingling. I'm usually really precautious of my information.")</f>
        <v>Creating an account with email just in case there was inter-data mingling. I'm usually really precautious of my information.</v>
      </c>
      <c r="C123" s="3"/>
      <c r="D123" s="3"/>
      <c r="E123" s="3"/>
      <c r="F123" s="3"/>
      <c r="G123" s="12"/>
      <c r="H123" s="12"/>
      <c r="I123" s="12"/>
      <c r="J123" s="12"/>
    </row>
    <row r="124">
      <c r="A124">
        <f>IFERROR(__xludf.DUMMYFUNCTION("""COMPUTED_VALUE"""),182.0)</f>
        <v>182</v>
      </c>
      <c r="B124" s="12" t="str">
        <f>IFERROR(__xludf.DUMMYFUNCTION("""COMPUTED_VALUE"""),"Whether my account on the site was truly linked to my Google Account or not")</f>
        <v>Whether my account on the site was truly linked to my Google Account or not</v>
      </c>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t="str">
        <f>IFERROR(__xludf.DUMMYFUNCTION("""COMPUTED_VALUE"""),"I didn't consider anything.")</f>
        <v>I didn't consider anything.</v>
      </c>
      <c r="C126" s="3"/>
      <c r="D126" s="3"/>
      <c r="E126" s="12"/>
      <c r="F126" s="12"/>
      <c r="G126" s="12"/>
      <c r="H126" s="12"/>
      <c r="I126" s="12"/>
      <c r="J126" s="12"/>
    </row>
    <row r="127">
      <c r="A127">
        <f>IFERROR(__xludf.DUMMYFUNCTION("""COMPUTED_VALUE"""),187.0)</f>
        <v>187</v>
      </c>
      <c r="B127" s="12" t="str">
        <f>IFERROR(__xludf.DUMMYFUNCTION("""COMPUTED_VALUE"""),"I find that signing in with my Google account is much faster and easier than to remember many different login information pieces.")</f>
        <v>I find that signing in with my Google account is much faster and easier than to remember many different login information pieces.</v>
      </c>
      <c r="C127" s="3"/>
      <c r="D127" s="12"/>
      <c r="E127" s="12"/>
      <c r="F127" s="12"/>
      <c r="G127" s="12"/>
      <c r="H127" s="12"/>
      <c r="I127" s="12"/>
      <c r="J127" s="12"/>
    </row>
    <row r="128">
      <c r="A128">
        <f>IFERROR(__xludf.DUMMYFUNCTION("""COMPUTED_VALUE"""),188.0)</f>
        <v>188</v>
      </c>
      <c r="B128" s="12" t="str">
        <f>IFERROR(__xludf.DUMMYFUNCTION("""COMPUTED_VALUE"""),"I did not consider anything, as I thought that it was completely safe.")</f>
        <v>I did not consider anything, as I thought that it was completely safe.</v>
      </c>
      <c r="C128" s="3"/>
      <c r="D128" s="3"/>
      <c r="E128" s="3"/>
      <c r="F128" s="3"/>
      <c r="G128" s="12"/>
      <c r="H128" s="12"/>
      <c r="I128" s="12"/>
      <c r="J128" s="12"/>
    </row>
    <row r="129">
      <c r="A129">
        <f>IFERROR(__xludf.DUMMYFUNCTION("""COMPUTED_VALUE"""),189.0)</f>
        <v>189</v>
      </c>
      <c r="B129" s="12" t="str">
        <f>IFERROR(__xludf.DUMMYFUNCTION("""COMPUTED_VALUE"""),"Facebook sign in")</f>
        <v>Facebook sign in</v>
      </c>
      <c r="C129" s="3"/>
      <c r="D129" s="3"/>
      <c r="E129" s="12"/>
      <c r="F129" s="12"/>
      <c r="G129" s="12"/>
      <c r="H129" s="12"/>
      <c r="I129" s="12"/>
      <c r="J129" s="12"/>
    </row>
    <row r="130">
      <c r="A130">
        <f>IFERROR(__xludf.DUMMYFUNCTION("""COMPUTED_VALUE"""),191.0)</f>
        <v>191</v>
      </c>
      <c r="B130" s="12" t="str">
        <f>IFERROR(__xludf.DUMMYFUNCTION("""COMPUTED_VALUE"""),"If I remembered my email.")</f>
        <v>If I remembered my email.</v>
      </c>
      <c r="C130" s="3"/>
      <c r="D130" s="3"/>
      <c r="E130" s="3"/>
      <c r="F130" s="3"/>
      <c r="G130" s="12"/>
      <c r="H130" s="12"/>
      <c r="I130" s="12"/>
      <c r="J130" s="12"/>
    </row>
    <row r="131">
      <c r="A131">
        <f>IFERROR(__xludf.DUMMYFUNCTION("""COMPUTED_VALUE"""),192.0)</f>
        <v>192</v>
      </c>
      <c r="B131" s="12" t="str">
        <f>IFERROR(__xludf.DUMMYFUNCTION("""COMPUTED_VALUE"""),"If it was safe and if my info would be safe.")</f>
        <v>If it was safe and if my info would be safe.</v>
      </c>
      <c r="C131" s="3"/>
      <c r="D131" s="3"/>
      <c r="E131" s="12"/>
      <c r="F131" s="12"/>
      <c r="G131" s="12"/>
      <c r="H131" s="12"/>
      <c r="I131" s="12"/>
      <c r="J131" s="12"/>
    </row>
    <row r="132">
      <c r="A132">
        <f>IFERROR(__xludf.DUMMYFUNCTION("""COMPUTED_VALUE"""),194.0)</f>
        <v>194</v>
      </c>
      <c r="B132" s="12" t="str">
        <f>IFERROR(__xludf.DUMMYFUNCTION("""COMPUTED_VALUE"""),"creating an account on the site, or use the federated login to create an account.")</f>
        <v>creating an account on the site, or use the federated login to create an account.</v>
      </c>
      <c r="C132" s="3"/>
      <c r="D132" s="3"/>
      <c r="E132" s="12"/>
      <c r="F132" s="12"/>
      <c r="G132" s="12"/>
      <c r="H132" s="12"/>
      <c r="I132" s="12"/>
      <c r="J132" s="12"/>
    </row>
    <row r="133">
      <c r="A133">
        <f>IFERROR(__xludf.DUMMYFUNCTION("""COMPUTED_VALUE"""),195.0)</f>
        <v>195</v>
      </c>
      <c r="B133" s="12" t="str">
        <f>IFERROR(__xludf.DUMMYFUNCTION("""COMPUTED_VALUE"""),"whether or not to sign in using my facebook account instead")</f>
        <v>whether or not to sign in using my facebook account instead</v>
      </c>
      <c r="C133" s="3"/>
      <c r="D133" s="3"/>
      <c r="E133" s="12"/>
      <c r="F133" s="12"/>
      <c r="G133" s="12"/>
      <c r="H133" s="12"/>
      <c r="I133" s="12"/>
      <c r="J133" s="12"/>
    </row>
    <row r="134">
      <c r="A134">
        <f>IFERROR(__xludf.DUMMYFUNCTION("""COMPUTED_VALUE"""),198.0)</f>
        <v>198</v>
      </c>
      <c r="B134" s="12" t="str">
        <f>IFERROR(__xludf.DUMMYFUNCTION("""COMPUTED_VALUE"""),"if it was safe")</f>
        <v>if it was safe</v>
      </c>
      <c r="C134" s="3"/>
      <c r="D134" s="3"/>
      <c r="E134" s="3"/>
      <c r="F134" s="12"/>
      <c r="G134" s="12"/>
      <c r="H134" s="12"/>
      <c r="I134" s="12"/>
      <c r="J134" s="12"/>
    </row>
    <row r="135">
      <c r="A135">
        <f>IFERROR(__xludf.DUMMYFUNCTION("""COMPUTED_VALUE"""),199.0)</f>
        <v>199</v>
      </c>
      <c r="B135" s="12" t="str">
        <f>IFERROR(__xludf.DUMMYFUNCTION("""COMPUTED_VALUE"""),"Making an account")</f>
        <v>Making an account</v>
      </c>
      <c r="C135" s="3"/>
      <c r="D135" s="3"/>
      <c r="E135" s="12"/>
      <c r="F135" s="12"/>
      <c r="G135" s="12"/>
      <c r="H135" s="12"/>
      <c r="I135" s="12"/>
      <c r="J135" s="12"/>
    </row>
    <row r="136">
      <c r="A136">
        <f>IFERROR(__xludf.DUMMYFUNCTION("""COMPUTED_VALUE"""),200.0)</f>
        <v>200</v>
      </c>
      <c r="B136" s="12" t="str">
        <f>IFERROR(__xludf.DUMMYFUNCTION("""COMPUTED_VALUE"""),"How much information I want to share")</f>
        <v>How much information I want to share</v>
      </c>
      <c r="C136" s="3"/>
      <c r="D136" s="3"/>
      <c r="E136" s="3"/>
      <c r="F136" s="12"/>
      <c r="G136" s="12"/>
      <c r="H136" s="12"/>
      <c r="I136" s="12"/>
      <c r="J136" s="12"/>
    </row>
    <row r="137">
      <c r="A137">
        <f>IFERROR(__xludf.DUMMYFUNCTION("""COMPUTED_VALUE"""),201.0)</f>
        <v>201</v>
      </c>
      <c r="B137" s="12" t="str">
        <f>IFERROR(__xludf.DUMMYFUNCTION("""COMPUTED_VALUE"""),"I didn't consider much, except how much quicker and easier it would be to sign on using this method.")</f>
        <v>I didn't consider much, except how much quicker and easier it would be to sign on using this method.</v>
      </c>
      <c r="C137" s="3"/>
      <c r="D137" s="3"/>
      <c r="E137" s="12"/>
      <c r="F137" s="12"/>
      <c r="G137" s="12"/>
      <c r="H137" s="12"/>
      <c r="I137" s="12"/>
      <c r="J137" s="12"/>
    </row>
    <row r="138">
      <c r="A138">
        <f>IFERROR(__xludf.DUMMYFUNCTION("""COMPUTED_VALUE"""),202.0)</f>
        <v>202</v>
      </c>
      <c r="B138" s="12" t="str">
        <f>IFERROR(__xludf.DUMMYFUNCTION("""COMPUTED_VALUE"""),"I considered if I wanted to create an account or conveniently use my google account.")</f>
        <v>I considered if I wanted to create an account or conveniently use my google account.</v>
      </c>
      <c r="C138" s="3"/>
      <c r="D138" s="3"/>
      <c r="E138" s="3"/>
      <c r="F138" s="12"/>
      <c r="G138" s="12"/>
      <c r="H138" s="12"/>
      <c r="I138" s="12"/>
      <c r="J138" s="12"/>
    </row>
    <row r="139">
      <c r="A139">
        <f>IFERROR(__xludf.DUMMYFUNCTION("""COMPUTED_VALUE"""),203.0)</f>
        <v>203</v>
      </c>
      <c r="B139" s="12" t="str">
        <f>IFERROR(__xludf.DUMMYFUNCTION("""COMPUTED_VALUE"""),"How they would see my information, and if they would market it. What data they would get on my profile, and if anything were unnecessary. I personally prefer Sign in with Apple as it's more private but I digress.")</f>
        <v>How they would see my information, and if they would market it. What data they would get on my profile, and if anything were unnecessary. I personally prefer Sign in with Apple as it's more private but I digress.</v>
      </c>
      <c r="C139" s="3"/>
      <c r="D139" s="3"/>
      <c r="E139" s="3"/>
      <c r="F139" s="12"/>
      <c r="G139" s="12"/>
      <c r="H139" s="12"/>
      <c r="I139" s="12"/>
      <c r="J139" s="12"/>
    </row>
    <row r="140">
      <c r="A140">
        <f>IFERROR(__xludf.DUMMYFUNCTION("""COMPUTED_VALUE"""),204.0)</f>
        <v>204</v>
      </c>
      <c r="B140" s="12" t="str">
        <f>IFERROR(__xludf.DUMMYFUNCTION("""COMPUTED_VALUE"""),"I considered the amount of ease that it would take to just sign in with that account and not have to enter all of my information.")</f>
        <v>I considered the amount of ease that it would take to just sign in with that account and not have to enter all of my information.</v>
      </c>
      <c r="C140" s="3"/>
      <c r="D140" s="3"/>
      <c r="E140" s="3"/>
      <c r="F140" s="3"/>
      <c r="G140" s="12"/>
      <c r="H140" s="12"/>
      <c r="I140" s="12"/>
      <c r="J140" s="12"/>
    </row>
    <row r="141">
      <c r="A141">
        <f>IFERROR(__xludf.DUMMYFUNCTION("""COMPUTED_VALUE"""),207.0)</f>
        <v>207</v>
      </c>
      <c r="B141" s="12" t="str">
        <f>IFERROR(__xludf.DUMMYFUNCTION("""COMPUTED_VALUE"""),"if it tracked my video analytics")</f>
        <v>if it tracked my video analytics</v>
      </c>
      <c r="C141" s="3"/>
      <c r="D141" s="3"/>
      <c r="E141" s="12"/>
      <c r="F141" s="12"/>
      <c r="G141" s="12"/>
      <c r="H141" s="12"/>
      <c r="I141" s="12"/>
      <c r="J141" s="12"/>
    </row>
    <row r="142">
      <c r="A142">
        <f>IFERROR(__xludf.DUMMYFUNCTION("""COMPUTED_VALUE"""),208.0)</f>
        <v>208</v>
      </c>
      <c r="B142" s="12" t="str">
        <f>IFERROR(__xludf.DUMMYFUNCTION("""COMPUTED_VALUE"""),"Trying to figure out if it would be better to try and create an account or if I wanted to do it the easy way.")</f>
        <v>Trying to figure out if it would be better to try and create an account or if I wanted to do it the easy way.</v>
      </c>
      <c r="C142" s="3"/>
      <c r="D142" s="3"/>
      <c r="E142" s="12"/>
      <c r="F142" s="12"/>
      <c r="G142" s="12"/>
      <c r="H142" s="12"/>
      <c r="I142" s="12"/>
      <c r="J142" s="12"/>
    </row>
    <row r="143">
      <c r="A143">
        <f>IFERROR(__xludf.DUMMYFUNCTION("""COMPUTED_VALUE"""),209.0)</f>
        <v>209</v>
      </c>
      <c r="B143" s="12" t="str">
        <f>IFERROR(__xludf.DUMMYFUNCTION("""COMPUTED_VALUE"""),"I was hungry and wanted a fast login.")</f>
        <v>I was hungry and wanted a fast login.</v>
      </c>
      <c r="C143" s="3"/>
      <c r="D143" s="3"/>
      <c r="E143" s="3"/>
      <c r="F143" s="12"/>
      <c r="G143" s="12"/>
      <c r="H143" s="12"/>
      <c r="I143" s="12"/>
      <c r="J143" s="12"/>
    </row>
    <row r="144">
      <c r="A144">
        <f>IFERROR(__xludf.DUMMYFUNCTION("""COMPUTED_VALUE"""),210.0)</f>
        <v>210</v>
      </c>
      <c r="B144" s="12" t="str">
        <f>IFERROR(__xludf.DUMMYFUNCTION("""COMPUTED_VALUE"""),"oh, well I considered whether I wanted to be pestered by the site or not.")</f>
        <v>oh, well I considered whether I wanted to be pestered by the site or not.</v>
      </c>
      <c r="C144" s="3"/>
      <c r="D144" s="3"/>
      <c r="E144" s="3"/>
      <c r="F144" s="3"/>
      <c r="G144" s="3"/>
      <c r="H144" s="12"/>
      <c r="I144" s="12"/>
      <c r="J144" s="12"/>
    </row>
    <row r="145">
      <c r="A145">
        <f>IFERROR(__xludf.DUMMYFUNCTION("""COMPUTED_VALUE"""),212.0)</f>
        <v>212</v>
      </c>
      <c r="B145" s="12" t="str">
        <f>IFERROR(__xludf.DUMMYFUNCTION("""COMPUTED_VALUE"""),"nothing")</f>
        <v>nothing</v>
      </c>
      <c r="C145" s="3"/>
      <c r="D145" s="3"/>
      <c r="E145" s="3"/>
      <c r="F145" s="12"/>
      <c r="G145" s="12"/>
      <c r="H145" s="12"/>
      <c r="I145" s="12"/>
      <c r="J145" s="12"/>
    </row>
    <row r="146">
      <c r="A146">
        <f>IFERROR(__xludf.DUMMYFUNCTION("""COMPUTED_VALUE"""),213.0)</f>
        <v>213</v>
      </c>
      <c r="B146" s="12" t="str">
        <f>IFERROR(__xludf.DUMMYFUNCTION("""COMPUTED_VALUE"""),"How easily the service could be hacked")</f>
        <v>How easily the service could be hacked</v>
      </c>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t="str">
        <f>IFERROR(__xludf.DUMMYFUNCTION("""COMPUTED_VALUE"""),"I considered using facebook because most of my accounts are linked to my facebook instead.")</f>
        <v>I considered using facebook because most of my accounts are linked to my facebook instead.</v>
      </c>
      <c r="C148" s="3"/>
      <c r="D148" s="3"/>
      <c r="E148" s="12"/>
      <c r="F148" s="12"/>
      <c r="H148" s="12"/>
      <c r="I148" s="12"/>
      <c r="J148" s="12"/>
    </row>
    <row r="149">
      <c r="A149">
        <f>IFERROR(__xludf.DUMMYFUNCTION("""COMPUTED_VALUE"""),216.0)</f>
        <v>216</v>
      </c>
      <c r="B149" s="12" t="str">
        <f>IFERROR(__xludf.DUMMYFUNCTION("""COMPUTED_VALUE"""),"I thought it would more convenient to use my existing account rather than make a new one specifically for the service.")</f>
        <v>I thought it would more convenient to use my existing account rather than make a new one specifically for the service.</v>
      </c>
      <c r="C149" s="3"/>
      <c r="D149" s="12"/>
      <c r="E149" s="12"/>
      <c r="F149" s="12"/>
      <c r="H149" s="12"/>
      <c r="I149" s="12"/>
      <c r="J149" s="12"/>
    </row>
    <row r="150">
      <c r="A150">
        <f>IFERROR(__xludf.DUMMYFUNCTION("""COMPUTED_VALUE"""),217.0)</f>
        <v>217</v>
      </c>
      <c r="B150" s="12" t="str">
        <f>IFERROR(__xludf.DUMMYFUNCTION("""COMPUTED_VALUE"""),"Would google be tracking what I do on site.
 Is site privy to my other uses of google login.
 will the site log me into other sites automatically using login.")</f>
        <v>Would google be tracking what I do on site.
 Is site privy to my other uses of google login.
 will the site log me into other sites automatically using login.</v>
      </c>
      <c r="C150" s="3"/>
      <c r="D150" s="3"/>
      <c r="E150" s="3"/>
      <c r="F150" s="3"/>
      <c r="H150" s="12"/>
      <c r="I150" s="12"/>
      <c r="J150" s="12"/>
    </row>
    <row r="151">
      <c r="A151">
        <f>IFERROR(__xludf.DUMMYFUNCTION("""COMPUTED_VALUE"""),220.0)</f>
        <v>220</v>
      </c>
      <c r="B151" s="12" t="str">
        <f>IFERROR(__xludf.DUMMYFUNCTION("""COMPUTED_VALUE"""),"I considered the ease of use that logging in with Google would bring, but also balanced the potential privacy issue that could arise if the third-party app turned out to be malicious and use my Google information nefariously")</f>
        <v>I considered the ease of use that logging in with Google would bring, but also balanced the potential privacy issue that could arise if the third-party app turned out to be malicious and use my Google information nefariously</v>
      </c>
      <c r="C151" s="3"/>
      <c r="D151" s="3"/>
      <c r="E151" s="3"/>
      <c r="F151" s="3"/>
      <c r="H151" s="12"/>
      <c r="I151" s="12"/>
      <c r="J151" s="12"/>
    </row>
    <row r="152">
      <c r="A152">
        <f>IFERROR(__xludf.DUMMYFUNCTION("""COMPUTED_VALUE"""),221.0)</f>
        <v>221</v>
      </c>
      <c r="B152" s="12" t="str">
        <f>IFERROR(__xludf.DUMMYFUNCTION("""COMPUTED_VALUE"""),"If I would be able to remember my gmail password")</f>
        <v>If I would be able to remember my gmail password</v>
      </c>
      <c r="C152" s="3"/>
      <c r="D152" s="3"/>
      <c r="E152" s="12"/>
      <c r="F152" s="12"/>
      <c r="H152" s="12"/>
      <c r="I152" s="12"/>
      <c r="J152" s="12"/>
    </row>
    <row r="153">
      <c r="A153">
        <f>IFERROR(__xludf.DUMMYFUNCTION("""COMPUTED_VALUE"""),222.0)</f>
        <v>222</v>
      </c>
      <c r="B153" s="12" t="str">
        <f>IFERROR(__xludf.DUMMYFUNCTION("""COMPUTED_VALUE"""),"Do I want this account to be associated with what I'm signing into?")</f>
        <v>Do I want this account to be associated with what I'm signing into?</v>
      </c>
      <c r="C153" s="3"/>
      <c r="D153" s="3"/>
      <c r="E153" s="12"/>
      <c r="F153" s="12"/>
      <c r="H153" s="12"/>
      <c r="I153" s="12"/>
      <c r="J153" s="12"/>
    </row>
    <row r="154">
      <c r="A154">
        <f>IFERROR(__xludf.DUMMYFUNCTION("""COMPUTED_VALUE"""),223.0)</f>
        <v>223</v>
      </c>
      <c r="B154" s="12" t="str">
        <f>IFERROR(__xludf.DUMMYFUNCTION("""COMPUTED_VALUE"""),"Convenience versus privacy")</f>
        <v>Convenience versus privacy</v>
      </c>
      <c r="C154" s="3"/>
      <c r="D154" s="3"/>
      <c r="E154" s="3"/>
      <c r="F154" s="3"/>
      <c r="H154" s="12"/>
      <c r="I154" s="12"/>
      <c r="J154" s="12"/>
    </row>
    <row r="155">
      <c r="A155">
        <f>IFERROR(__xludf.DUMMYFUNCTION("""COMPUTED_VALUE"""),225.0)</f>
        <v>225</v>
      </c>
      <c r="B155" s="12" t="str">
        <f>IFERROR(__xludf.DUMMYFUNCTION("""COMPUTED_VALUE"""),"How secure I feel it is.")</f>
        <v>How secure I feel it is.</v>
      </c>
      <c r="C155" s="12"/>
      <c r="D155" s="12"/>
      <c r="E155" s="12"/>
      <c r="F155" s="12"/>
      <c r="G155" s="12"/>
      <c r="H155" s="12"/>
      <c r="I155" s="12"/>
      <c r="J155" s="12"/>
    </row>
    <row r="156">
      <c r="A156">
        <f>IFERROR(__xludf.DUMMYFUNCTION("""COMPUTED_VALUE"""),226.0)</f>
        <v>226</v>
      </c>
      <c r="B156" s="12" t="str">
        <f>IFERROR(__xludf.DUMMYFUNCTION("""COMPUTED_VALUE"""),"Are they safe and legitiment")</f>
        <v>Are they safe and legitiment</v>
      </c>
      <c r="C156" s="12"/>
      <c r="D156" s="12"/>
      <c r="E156" s="12"/>
      <c r="F156" s="12"/>
      <c r="G156" s="12"/>
      <c r="H156" s="12"/>
      <c r="I156" s="12"/>
      <c r="J156" s="12"/>
    </row>
    <row r="157">
      <c r="A157">
        <f>IFERROR(__xludf.DUMMYFUNCTION("""COMPUTED_VALUE"""),228.0)</f>
        <v>228</v>
      </c>
      <c r="B157" s="12" t="str">
        <f>IFERROR(__xludf.DUMMYFUNCTION("""COMPUTED_VALUE"""),"I wasn't sure if the app would spam me emails or not.")</f>
        <v>I wasn't sure if the app would spam me emails or not.</v>
      </c>
      <c r="C157" s="12"/>
      <c r="D157" s="12"/>
      <c r="E157" s="12"/>
      <c r="F157" s="12"/>
      <c r="G157" s="12"/>
      <c r="H157" s="12"/>
      <c r="I157" s="12"/>
      <c r="J157" s="12"/>
    </row>
    <row r="158">
      <c r="A158">
        <f>IFERROR(__xludf.DUMMYFUNCTION("""COMPUTED_VALUE"""),230.0)</f>
        <v>230</v>
      </c>
      <c r="B158" s="12" t="str">
        <f>IFERROR(__xludf.DUMMYFUNCTION("""COMPUTED_VALUE"""),"I did not wanted to create account on Loopnet, and it is easier to sign in with my Google account")</f>
        <v>I did not wanted to create account on Loopnet, and it is easier to sign in with my Google account</v>
      </c>
      <c r="C158" s="12"/>
      <c r="D158" s="12"/>
      <c r="E158" s="12"/>
      <c r="F158" s="12"/>
      <c r="G158" s="12"/>
      <c r="H158" s="12"/>
      <c r="I158" s="12"/>
      <c r="J158" s="12"/>
    </row>
    <row r="159">
      <c r="A159">
        <f>IFERROR(__xludf.DUMMYFUNCTION("""COMPUTED_VALUE"""),231.0)</f>
        <v>231</v>
      </c>
      <c r="B159" s="12" t="str">
        <f>IFERROR(__xludf.DUMMYFUNCTION("""COMPUTED_VALUE"""),"whether it was secure")</f>
        <v>whether it was secure</v>
      </c>
      <c r="C159" s="12"/>
      <c r="D159" s="12"/>
      <c r="E159" s="12"/>
      <c r="F159" s="12"/>
      <c r="G159" s="12"/>
      <c r="H159" s="12"/>
      <c r="I159" s="12"/>
      <c r="J159" s="12"/>
    </row>
    <row r="160">
      <c r="A160">
        <f>IFERROR(__xludf.DUMMYFUNCTION("""COMPUTED_VALUE"""),233.0)</f>
        <v>233</v>
      </c>
      <c r="B160" s="12" t="str">
        <f>IFERROR(__xludf.DUMMYFUNCTION("""COMPUTED_VALUE"""),"Nothing! I trust the SSO thing that's built into websites, I just think that it'll be significantly easier to log in even though I use a password manager")</f>
        <v>Nothing! I trust the SSO thing that's built into websites, I just think that it'll be significantly easier to log in even though I use a password manager</v>
      </c>
      <c r="C160" s="12"/>
      <c r="D160" s="12"/>
      <c r="E160" s="12"/>
      <c r="F160" s="12"/>
      <c r="G160" s="12"/>
      <c r="H160" s="12"/>
      <c r="I160" s="12"/>
      <c r="J160" s="12"/>
    </row>
    <row r="161">
      <c r="A161">
        <f>IFERROR(__xludf.DUMMYFUNCTION("""COMPUTED_VALUE"""),234.0)</f>
        <v>234</v>
      </c>
      <c r="B161" s="12" t="str">
        <f>IFERROR(__xludf.DUMMYFUNCTION("""COMPUTED_VALUE"""),"Reliability of the website is usually crucial to me. I don't typically use Google Accounts to sign in unless I know the website is legitimate. I don't know if Google checks what third-party apps or service use their API, but if they do, I don't think they"&amp;" do a great job. Just want to make sure I don't get my primary email spammed before applying it and signing in.")</f>
        <v>Reliability of the website is usually crucial to me. I don't typically use Google Accounts to sign in unless I know the website is legitimate. I don't know if Google checks what third-party apps or service use their API, but if they do, I don't think they do a great job. Just want to make sure I don't get my primary email spammed before applying it and signing in.</v>
      </c>
      <c r="C161" s="12"/>
      <c r="D161" s="12"/>
      <c r="E161" s="12"/>
      <c r="F161" s="12"/>
      <c r="G161" s="12"/>
      <c r="H161" s="12"/>
      <c r="I161" s="12"/>
      <c r="J161" s="12"/>
    </row>
    <row r="162">
      <c r="A162">
        <f>IFERROR(__xludf.DUMMYFUNCTION("""COMPUTED_VALUE"""),235.0)</f>
        <v>235</v>
      </c>
      <c r="B162" s="12" t="str">
        <f>IFERROR(__xludf.DUMMYFUNCTION("""COMPUTED_VALUE"""),"I considered who could access my data and what the consequences would be.")</f>
        <v>I considered who could access my data and what the consequences would be.</v>
      </c>
      <c r="C162" s="12"/>
      <c r="D162" s="12"/>
      <c r="E162" s="12"/>
      <c r="F162" s="12"/>
      <c r="G162" s="12"/>
      <c r="H162" s="12"/>
      <c r="I162" s="12"/>
      <c r="J162" s="12"/>
    </row>
    <row r="163">
      <c r="A163">
        <f>IFERROR(__xludf.DUMMYFUNCTION("""COMPUTED_VALUE"""),236.0)</f>
        <v>236</v>
      </c>
      <c r="B163" s="12" t="str">
        <f>IFERROR(__xludf.DUMMYFUNCTION("""COMPUTED_VALUE"""),"If they're not a well-known, trusted site, then I don't do that 3rd party sign-in because I don't want it linked to my email because I've been hacked before.")</f>
        <v>If they're not a well-known, trusted site, then I don't do that 3rd party sign-in because I don't want it linked to my email because I've been hacked before.</v>
      </c>
      <c r="C163" s="12"/>
      <c r="D163" s="12"/>
      <c r="E163" s="12"/>
      <c r="F163" s="12"/>
      <c r="G163" s="12"/>
      <c r="H163" s="12"/>
      <c r="I163" s="12"/>
      <c r="J163" s="12"/>
    </row>
    <row r="164">
      <c r="A164">
        <f>IFERROR(__xludf.DUMMYFUNCTION("""COMPUTED_VALUE"""),237.0)</f>
        <v>237</v>
      </c>
      <c r="B164" s="12" t="str">
        <f>IFERROR(__xludf.DUMMYFUNCTION("""COMPUTED_VALUE"""),"I didn't have to think twice, just signed in using google")</f>
        <v>I didn't have to think twice, just signed in using google</v>
      </c>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t="str">
        <f>IFERROR(__xludf.DUMMYFUNCTION("""COMPUTED_VALUE"""),"If I wanted to create an account or not")</f>
        <v>If I wanted to create an account or not</v>
      </c>
      <c r="C166" s="12"/>
      <c r="D166" s="12"/>
      <c r="E166" s="12"/>
      <c r="F166" s="12"/>
      <c r="G166" s="12"/>
      <c r="H166" s="12"/>
      <c r="I166" s="12"/>
      <c r="J166" s="12"/>
    </row>
    <row r="167">
      <c r="A167">
        <f>IFERROR(__xludf.DUMMYFUNCTION("""COMPUTED_VALUE"""),241.0)</f>
        <v>241</v>
      </c>
      <c r="B167" s="12" t="str">
        <f>IFERROR(__xludf.DUMMYFUNCTION("""COMPUTED_VALUE"""),"nothing")</f>
        <v>nothing</v>
      </c>
      <c r="C167" s="12"/>
      <c r="D167" s="12"/>
      <c r="E167" s="12"/>
      <c r="F167" s="12"/>
      <c r="G167" s="12"/>
      <c r="H167" s="12"/>
      <c r="I167" s="12"/>
      <c r="J167" s="12"/>
    </row>
    <row r="168">
      <c r="A168">
        <f>IFERROR(__xludf.DUMMYFUNCTION("""COMPUTED_VALUE"""),242.0)</f>
        <v>242</v>
      </c>
      <c r="B168" s="12" t="str">
        <f>IFERROR(__xludf.DUMMYFUNCTION("""COMPUTED_VALUE"""),"If I was logging into the correct google account")</f>
        <v>If I was logging into the correct google account</v>
      </c>
      <c r="C168" s="12"/>
      <c r="D168" s="12"/>
      <c r="E168" s="12"/>
      <c r="F168" s="12"/>
      <c r="G168" s="12"/>
      <c r="H168" s="12"/>
      <c r="I168" s="12"/>
      <c r="J168" s="12"/>
    </row>
    <row r="169">
      <c r="A169">
        <f>IFERROR(__xludf.DUMMYFUNCTION("""COMPUTED_VALUE"""),245.0)</f>
        <v>245</v>
      </c>
      <c r="B169" s="12" t="str">
        <f>IFERROR(__xludf.DUMMYFUNCTION("""COMPUTED_VALUE"""),"I didn't consider anything. OAuth is a no-brainer to me.")</f>
        <v>I didn't consider anything. OAuth is a no-brainer to me.</v>
      </c>
      <c r="C169" s="12"/>
      <c r="D169" s="12"/>
      <c r="E169" s="12"/>
      <c r="F169" s="12"/>
      <c r="G169" s="12"/>
      <c r="H169" s="12"/>
      <c r="I169" s="12"/>
      <c r="J169" s="12"/>
    </row>
    <row r="170">
      <c r="A170">
        <f>IFERROR(__xludf.DUMMYFUNCTION("""COMPUTED_VALUE"""),246.0)</f>
        <v>246</v>
      </c>
      <c r="B170" s="12" t="str">
        <f>IFERROR(__xludf.DUMMYFUNCTION("""COMPUTED_VALUE"""),"I didn't consider anything beyond knowing that it would give me personalized access to the app by creating an account linked to my google account.")</f>
        <v>I didn't consider anything beyond knowing that it would give me personalized access to the app by creating an account linked to my google account.</v>
      </c>
      <c r="C170" s="12"/>
      <c r="D170" s="12"/>
      <c r="E170" s="12"/>
      <c r="F170" s="12"/>
      <c r="G170" s="12"/>
      <c r="H170" s="12"/>
      <c r="I170" s="12"/>
      <c r="J170" s="12"/>
    </row>
    <row r="171">
      <c r="A171">
        <f>IFERROR(__xludf.DUMMYFUNCTION("""COMPUTED_VALUE"""),248.0)</f>
        <v>248</v>
      </c>
      <c r="B171" s="12" t="str">
        <f>IFERROR(__xludf.DUMMYFUNCTION("""COMPUTED_VALUE"""),"that i didnt want to make yet another password, so i just signed in with my gmail instead")</f>
        <v>that i didnt want to make yet another password, so i just signed in with my gmail instead</v>
      </c>
      <c r="C171" s="12"/>
      <c r="D171" s="12"/>
      <c r="E171" s="12"/>
      <c r="F171" s="12"/>
      <c r="G171" s="12"/>
      <c r="H171" s="12"/>
      <c r="I171" s="12"/>
      <c r="J171" s="12"/>
    </row>
    <row r="172">
      <c r="A172">
        <f>IFERROR(__xludf.DUMMYFUNCTION("""COMPUTED_VALUE"""),249.0)</f>
        <v>249</v>
      </c>
      <c r="B172" s="12" t="str">
        <f>IFERROR(__xludf.DUMMYFUNCTION("""COMPUTED_VALUE"""),"How well known the company publishing the app was.")</f>
        <v>How well known the company publishing the app was.</v>
      </c>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t="str">
        <f>IFERROR(__xludf.DUMMYFUNCTION("""COMPUTED_VALUE"""),"i thought it might not be a great idea safetywise but still did it")</f>
        <v>i thought it might not be a great idea safetywise but still did it</v>
      </c>
      <c r="C176" s="12"/>
      <c r="D176" s="12"/>
      <c r="E176" s="12"/>
      <c r="F176" s="12"/>
      <c r="G176" s="12"/>
      <c r="H176" s="12"/>
      <c r="I176" s="12"/>
      <c r="J176" s="12"/>
    </row>
    <row r="177">
      <c r="A177">
        <f>IFERROR(__xludf.DUMMYFUNCTION("""COMPUTED_VALUE"""),256.0)</f>
        <v>256</v>
      </c>
      <c r="B177" s="12" t="str">
        <f>IFERROR(__xludf.DUMMYFUNCTION("""COMPUTED_VALUE"""),"I didn't really consider much - if anything I thought about whether I wanted the app tied to my Google or Facebook account. I chose Google since Facebook seems to open up a bit more personal information during SSO than Google does.")</f>
        <v>I didn't really consider much - if anything I thought about whether I wanted the app tied to my Google or Facebook account. I chose Google since Facebook seems to open up a bit more personal information during SSO than Google does.</v>
      </c>
      <c r="C177" s="12"/>
      <c r="D177" s="12"/>
      <c r="E177" s="12"/>
      <c r="F177" s="12"/>
      <c r="G177" s="12"/>
      <c r="H177" s="12"/>
      <c r="I177" s="12"/>
      <c r="J177" s="12"/>
    </row>
    <row r="178">
      <c r="A178">
        <f>IFERROR(__xludf.DUMMYFUNCTION("""COMPUTED_VALUE"""),257.0)</f>
        <v>257</v>
      </c>
      <c r="B178" s="12" t="str">
        <f>IFERROR(__xludf.DUMMYFUNCTION("""COMPUTED_VALUE"""),"If my Google account password could possibly be compromised by signing in that way")</f>
        <v>If my Google account password could possibly be compromised by signing in that way</v>
      </c>
      <c r="C178" s="12"/>
      <c r="D178" s="12"/>
      <c r="E178" s="12"/>
      <c r="F178" s="12"/>
      <c r="G178" s="12"/>
      <c r="H178" s="12"/>
      <c r="I178" s="12"/>
      <c r="J178" s="12"/>
    </row>
    <row r="179">
      <c r="A179">
        <f>IFERROR(__xludf.DUMMYFUNCTION("""COMPUTED_VALUE"""),258.0)</f>
        <v>258</v>
      </c>
      <c r="B179" s="12" t="str">
        <f>IFERROR(__xludf.DUMMYFUNCTION("""COMPUTED_VALUE"""),"Usually I weigh whether it's more convenient to make a specific account for that site/service or just use my google account to log-in")</f>
        <v>Usually I weigh whether it's more convenient to make a specific account for that site/service or just use my google account to log-in</v>
      </c>
      <c r="C179" s="12"/>
      <c r="D179" s="12"/>
      <c r="E179" s="12"/>
      <c r="F179" s="12"/>
      <c r="G179" s="12"/>
      <c r="H179" s="12"/>
      <c r="I179" s="12"/>
      <c r="J179" s="12"/>
    </row>
    <row r="180">
      <c r="A180">
        <f>IFERROR(__xludf.DUMMYFUNCTION("""COMPUTED_VALUE"""),259.0)</f>
        <v>259</v>
      </c>
      <c r="B180" s="12" t="str">
        <f>IFERROR(__xludf.DUMMYFUNCTION("""COMPUTED_VALUE"""),"I considered using my email and password instead.")</f>
        <v>I considered using my email and password instead.</v>
      </c>
      <c r="C180" s="12"/>
      <c r="D180" s="12"/>
      <c r="E180" s="12"/>
      <c r="F180" s="12"/>
      <c r="G180" s="12"/>
      <c r="H180" s="12"/>
      <c r="I180" s="12"/>
      <c r="J180" s="12"/>
    </row>
    <row r="181">
      <c r="A181">
        <f>IFERROR(__xludf.DUMMYFUNCTION("""COMPUTED_VALUE"""),260.0)</f>
        <v>260</v>
      </c>
      <c r="B181" s="12" t="str">
        <f>IFERROR(__xludf.DUMMYFUNCTION("""COMPUTED_VALUE"""),"How hard it would be to create another account with that third party app or service compared to how easy it would be to sign in with Google")</f>
        <v>How hard it would be to create another account with that third party app or service compared to how easy it would be to sign in with Google</v>
      </c>
      <c r="C181" s="12"/>
      <c r="D181" s="12"/>
      <c r="E181" s="12"/>
      <c r="F181" s="12"/>
      <c r="G181" s="12"/>
      <c r="H181" s="12"/>
      <c r="I181" s="12"/>
      <c r="J181" s="12"/>
    </row>
    <row r="182">
      <c r="A182">
        <f>IFERROR(__xludf.DUMMYFUNCTION("""COMPUTED_VALUE"""),261.0)</f>
        <v>261</v>
      </c>
      <c r="B182" s="12" t="str">
        <f>IFERROR(__xludf.DUMMYFUNCTION("""COMPUTED_VALUE"""),"I try to keep it to a minimum and only allow apps that are widely known and trusted.")</f>
        <v>I try to keep it to a minimum and only allow apps that are widely known and trusted.</v>
      </c>
      <c r="C182" s="12"/>
      <c r="D182" s="12"/>
      <c r="E182" s="12"/>
      <c r="F182" s="12"/>
      <c r="G182" s="12"/>
      <c r="H182" s="12"/>
      <c r="I182" s="12"/>
      <c r="J182" s="12"/>
    </row>
    <row r="183">
      <c r="A183">
        <f>IFERROR(__xludf.DUMMYFUNCTION("""COMPUTED_VALUE"""),262.0)</f>
        <v>262</v>
      </c>
      <c r="B183" s="12" t="str">
        <f>IFERROR(__xludf.DUMMYFUNCTION("""COMPUTED_VALUE"""),"I looked to see how easy it was to log in to the application and whether or not I wanted to share the information with FaceBook.")</f>
        <v>I looked to see how easy it was to log in to the application and whether or not I wanted to share the information with FaceBook.</v>
      </c>
      <c r="C183" s="12"/>
      <c r="D183" s="12"/>
      <c r="E183" s="12"/>
      <c r="F183" s="12"/>
      <c r="G183" s="12"/>
      <c r="H183" s="12"/>
      <c r="I183" s="12"/>
      <c r="J183" s="12"/>
    </row>
    <row r="184">
      <c r="A184">
        <f>IFERROR(__xludf.DUMMYFUNCTION("""COMPUTED_VALUE"""),263.0)</f>
        <v>263</v>
      </c>
      <c r="B184" s="12" t="str">
        <f>IFERROR(__xludf.DUMMYFUNCTION("""COMPUTED_VALUE"""),"signing up through regular email and password")</f>
        <v>signing up through regular email and password</v>
      </c>
      <c r="C184" s="12"/>
      <c r="D184" s="12"/>
      <c r="E184" s="12"/>
      <c r="F184" s="12"/>
      <c r="G184" s="12"/>
      <c r="H184" s="12"/>
      <c r="I184" s="12"/>
      <c r="J184" s="12"/>
    </row>
    <row r="185">
      <c r="A185">
        <f>IFERROR(__xludf.DUMMYFUNCTION("""COMPUTED_VALUE"""),264.0)</f>
        <v>264</v>
      </c>
      <c r="B185" s="12" t="str">
        <f>IFERROR(__xludf.DUMMYFUNCTION("""COMPUTED_VALUE"""),"how much faster it is than making an account")</f>
        <v>how much faster it is than making an account</v>
      </c>
      <c r="C185" s="12"/>
      <c r="D185" s="12"/>
      <c r="E185" s="12"/>
      <c r="F185" s="12"/>
      <c r="G185" s="12"/>
      <c r="H185" s="12"/>
      <c r="I185" s="12"/>
      <c r="J185" s="12"/>
    </row>
    <row r="186">
      <c r="A186">
        <f>IFERROR(__xludf.DUMMYFUNCTION("""COMPUTED_VALUE"""),266.0)</f>
        <v>266</v>
      </c>
      <c r="B186" s="12" t="str">
        <f>IFERROR(__xludf.DUMMYFUNCTION("""COMPUTED_VALUE"""),"I considered creating an individual account, but figured it'd be easier to just log in with google.")</f>
        <v>I considered creating an individual account, but figured it'd be easier to just log in with google.</v>
      </c>
      <c r="C186" s="12"/>
      <c r="D186" s="12"/>
      <c r="E186" s="12"/>
      <c r="F186" s="12"/>
      <c r="G186" s="12"/>
      <c r="H186" s="12"/>
      <c r="I186" s="12"/>
      <c r="J186" s="12"/>
    </row>
    <row r="187">
      <c r="A187">
        <f>IFERROR(__xludf.DUMMYFUNCTION("""COMPUTED_VALUE"""),268.0)</f>
        <v>268</v>
      </c>
      <c r="B187" s="12" t="str">
        <f>IFERROR(__xludf.DUMMYFUNCTION("""COMPUTED_VALUE"""),"If the app would know anything except my name")</f>
        <v>If the app would know anything except my name</v>
      </c>
      <c r="C187" s="12"/>
      <c r="D187" s="12"/>
      <c r="E187" s="12"/>
      <c r="F187" s="12"/>
      <c r="G187" s="12"/>
      <c r="H187" s="12"/>
      <c r="I187" s="12"/>
      <c r="J187" s="12"/>
    </row>
    <row r="188">
      <c r="A188">
        <f>IFERROR(__xludf.DUMMYFUNCTION("""COMPUTED_VALUE"""),270.0)</f>
        <v>270</v>
      </c>
      <c r="B188" s="12" t="str">
        <f>IFERROR(__xludf.DUMMYFUNCTION("""COMPUTED_VALUE"""),"If they will use my information")</f>
        <v>If they will use my information</v>
      </c>
      <c r="C188" s="12"/>
      <c r="D188" s="12"/>
      <c r="E188" s="12"/>
      <c r="F188" s="12"/>
      <c r="G188" s="12"/>
      <c r="H188" s="12"/>
      <c r="I188" s="12"/>
      <c r="J188" s="12"/>
    </row>
    <row r="189">
      <c r="A189">
        <f>IFERROR(__xludf.DUMMYFUNCTION("""COMPUTED_VALUE"""),271.0)</f>
        <v>271</v>
      </c>
      <c r="B189" s="12" t="str">
        <f>IFERROR(__xludf.DUMMYFUNCTION("""COMPUTED_VALUE"""),"If it was going to take longer doing it that way vs just typing in my information")</f>
        <v>If it was going to take longer doing it that way vs just typing in my information</v>
      </c>
      <c r="C189" s="12"/>
      <c r="D189" s="12"/>
      <c r="E189" s="12"/>
      <c r="F189" s="12"/>
      <c r="G189" s="12"/>
      <c r="H189" s="12"/>
      <c r="I189" s="12"/>
      <c r="J189" s="12"/>
    </row>
    <row r="190">
      <c r="A190">
        <f>IFERROR(__xludf.DUMMYFUNCTION("""COMPUTED_VALUE"""),273.0)</f>
        <v>273</v>
      </c>
      <c r="B190" s="12" t="str">
        <f>IFERROR(__xludf.DUMMYFUNCTION("""COMPUTED_VALUE"""),"I didn't consider anything.")</f>
        <v>I didn't consider anything.</v>
      </c>
      <c r="C190" s="12"/>
      <c r="D190" s="12"/>
      <c r="E190" s="12"/>
      <c r="F190" s="12"/>
      <c r="G190" s="12"/>
      <c r="H190" s="12"/>
      <c r="I190" s="12"/>
      <c r="J190" s="12"/>
    </row>
    <row r="191">
      <c r="A191">
        <f>IFERROR(__xludf.DUMMYFUNCTION("""COMPUTED_VALUE"""),275.0)</f>
        <v>275</v>
      </c>
      <c r="B191" s="12" t="str">
        <f>IFERROR(__xludf.DUMMYFUNCTION("""COMPUTED_VALUE"""),"If I always wanted to sign in with my google account in the future.")</f>
        <v>If I always wanted to sign in with my google account in the future.</v>
      </c>
      <c r="C191" s="12"/>
      <c r="D191" s="12"/>
      <c r="E191" s="12"/>
      <c r="F191" s="12"/>
      <c r="G191" s="12"/>
      <c r="H191" s="12"/>
      <c r="I191" s="12"/>
      <c r="J191" s="12"/>
    </row>
    <row r="192">
      <c r="A192">
        <f>IFERROR(__xludf.DUMMYFUNCTION("""COMPUTED_VALUE"""),276.0)</f>
        <v>276</v>
      </c>
      <c r="B192" s="12" t="str">
        <f>IFERROR(__xludf.DUMMYFUNCTION("""COMPUTED_VALUE"""),"resetting my password")</f>
        <v>resetting my password</v>
      </c>
      <c r="C192" s="12"/>
      <c r="D192" s="12"/>
      <c r="E192" s="12"/>
      <c r="F192" s="12"/>
      <c r="G192" s="12"/>
      <c r="H192" s="12"/>
      <c r="I192" s="12"/>
      <c r="J192" s="12"/>
    </row>
    <row r="193">
      <c r="A193">
        <f>IFERROR(__xludf.DUMMYFUNCTION("""COMPUTED_VALUE"""),277.0)</f>
        <v>277</v>
      </c>
      <c r="B193" s="12" t="str">
        <f>IFERROR(__xludf.DUMMYFUNCTION("""COMPUTED_VALUE"""),"I considered whether or not the process would be easier than creating a new account. I also thought about what info from my Google account it may have access to.")</f>
        <v>I considered whether or not the process would be easier than creating a new account. I also thought about what info from my Google account it may have access to.</v>
      </c>
      <c r="C193" s="12"/>
      <c r="D193" s="12"/>
      <c r="E193" s="12"/>
      <c r="F193" s="12"/>
      <c r="G193" s="12"/>
      <c r="H193" s="12"/>
      <c r="I193" s="12"/>
      <c r="J193" s="12"/>
    </row>
    <row r="194">
      <c r="A194">
        <f>IFERROR(__xludf.DUMMYFUNCTION("""COMPUTED_VALUE"""),278.0)</f>
        <v>278</v>
      </c>
      <c r="B194" s="12" t="str">
        <f>IFERROR(__xludf.DUMMYFUNCTION("""COMPUTED_VALUE"""),"If I already had an account")</f>
        <v>If I already had an account</v>
      </c>
      <c r="C194" s="12"/>
      <c r="D194" s="12"/>
      <c r="E194" s="12"/>
      <c r="F194" s="12"/>
      <c r="G194" s="12"/>
      <c r="H194" s="12"/>
      <c r="I194" s="12"/>
      <c r="J194" s="12"/>
    </row>
    <row r="195">
      <c r="A195">
        <f>IFERROR(__xludf.DUMMYFUNCTION("""COMPUTED_VALUE"""),279.0)</f>
        <v>279</v>
      </c>
      <c r="B195" s="12" t="str">
        <f>IFERROR(__xludf.DUMMYFUNCTION("""COMPUTED_VALUE"""),"Privacy concerns-- what info the company would get from my gmail account")</f>
        <v>Privacy concerns-- what info the company would get from my gmail account</v>
      </c>
      <c r="C195" s="12"/>
      <c r="D195" s="12"/>
      <c r="E195" s="12"/>
      <c r="F195" s="12"/>
      <c r="G195" s="12"/>
      <c r="H195" s="12"/>
      <c r="I195" s="12"/>
      <c r="J195" s="12"/>
    </row>
    <row r="196">
      <c r="A196">
        <f>IFERROR(__xludf.DUMMYFUNCTION("""COMPUTED_VALUE"""),284.0)</f>
        <v>284</v>
      </c>
      <c r="B196" s="12" t="str">
        <f>IFERROR(__xludf.DUMMYFUNCTION("""COMPUTED_VALUE"""),"Nothing")</f>
        <v>Nothing</v>
      </c>
      <c r="C196" s="12"/>
      <c r="D196" s="12"/>
      <c r="E196" s="12"/>
      <c r="F196" s="12"/>
      <c r="G196" s="12"/>
      <c r="H196" s="12"/>
      <c r="I196" s="12"/>
      <c r="J196" s="12"/>
    </row>
    <row r="197">
      <c r="A197">
        <f>IFERROR(__xludf.DUMMYFUNCTION("""COMPUTED_VALUE"""),285.0)</f>
        <v>285</v>
      </c>
      <c r="B197" s="12" t="str">
        <f>IFERROR(__xludf.DUMMYFUNCTION("""COMPUTED_VALUE"""),"If it was worth using my account")</f>
        <v>If it was worth using my account</v>
      </c>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t="str">
        <f>IFERROR(__xludf.DUMMYFUNCTION("""COMPUTED_VALUE"""),"I pause for a second to make sure the site doesn't seem sketchy or fraudulent")</f>
        <v>I pause for a second to make sure the site doesn't seem sketchy or fraudulent</v>
      </c>
      <c r="C199" s="12"/>
      <c r="D199" s="12"/>
      <c r="E199" s="12"/>
      <c r="F199" s="12"/>
      <c r="G199" s="12"/>
      <c r="H199" s="12"/>
      <c r="I199" s="12"/>
      <c r="J199" s="12"/>
    </row>
    <row r="200">
      <c r="A200">
        <f>IFERROR(__xludf.DUMMYFUNCTION("""COMPUTED_VALUE"""),291.0)</f>
        <v>291</v>
      </c>
      <c r="B200" s="12" t="str">
        <f>IFERROR(__xludf.DUMMYFUNCTION("""COMPUTED_VALUE"""),"WHether my info would be shared.")</f>
        <v>WHether my info would be shared.</v>
      </c>
      <c r="C200" s="12"/>
      <c r="D200" s="12"/>
      <c r="E200" s="12"/>
      <c r="F200" s="12"/>
      <c r="G200" s="12"/>
      <c r="H200" s="12"/>
      <c r="I200" s="12"/>
      <c r="J200" s="12"/>
    </row>
    <row r="201">
      <c r="A201">
        <f>IFERROR(__xludf.DUMMYFUNCTION("""COMPUTED_VALUE"""),292.0)</f>
        <v>292</v>
      </c>
      <c r="B201" s="12" t="str">
        <f>IFERROR(__xludf.DUMMYFUNCTION("""COMPUTED_VALUE"""),"Who I wanted to have my data")</f>
        <v>Who I wanted to have my data</v>
      </c>
      <c r="C201" s="12"/>
      <c r="D201" s="12"/>
      <c r="E201" s="12"/>
      <c r="F201" s="12"/>
      <c r="G201" s="12"/>
      <c r="H201" s="12"/>
      <c r="I201" s="12"/>
      <c r="J201" s="12"/>
    </row>
    <row r="202">
      <c r="A202">
        <f>IFERROR(__xludf.DUMMYFUNCTION("""COMPUTED_VALUE"""),295.0)</f>
        <v>295</v>
      </c>
      <c r="B202" s="12" t="str">
        <f>IFERROR(__xludf.DUMMYFUNCTION("""COMPUTED_VALUE"""),"Whether my Google data would be available to them.")</f>
        <v>Whether my Google data would be available to them.</v>
      </c>
      <c r="C202" s="12"/>
      <c r="D202" s="12"/>
      <c r="E202" s="12"/>
      <c r="F202" s="12"/>
      <c r="G202" s="12"/>
      <c r="H202" s="12"/>
      <c r="I202" s="12"/>
      <c r="J202" s="12"/>
    </row>
    <row r="203">
      <c r="A203">
        <f>IFERROR(__xludf.DUMMYFUNCTION("""COMPUTED_VALUE"""),296.0)</f>
        <v>296</v>
      </c>
      <c r="B203" s="12" t="str">
        <f>IFERROR(__xludf.DUMMYFUNCTION("""COMPUTED_VALUE"""),"I considered entering my password, but I don't think I remember it so I just signed in using my connected google account.")</f>
        <v>I considered entering my password, but I don't think I remember it so I just signed in using my connected google account.</v>
      </c>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t="str">
        <f>IFERROR(__xludf.DUMMYFUNCTION("""COMPUTED_VALUE"""),"I considered the convenience of using this account across multiple devices, whether I would want to create a unique password for this service (I would not use Google and create a unique password if the account was sensitive/involved my finances), and ease"&amp;" of subsequent logins.")</f>
        <v>I considered the convenience of using this account across multiple devices, whether I would want to create a unique password for this service (I would not use Google and create a unique password if the account was sensitive/involved my finances), and ease of subsequent logins.</v>
      </c>
      <c r="C205" s="12"/>
      <c r="D205" s="12"/>
      <c r="E205" s="12"/>
      <c r="F205" s="12"/>
      <c r="G205" s="12"/>
      <c r="H205" s="12"/>
      <c r="I205" s="12"/>
      <c r="J205" s="12"/>
    </row>
    <row r="206">
      <c r="A206">
        <f>IFERROR(__xludf.DUMMYFUNCTION("""COMPUTED_VALUE"""),299.0)</f>
        <v>299</v>
      </c>
      <c r="B206" s="12" t="str">
        <f>IFERROR(__xludf.DUMMYFUNCTION("""COMPUTED_VALUE"""),"How much spam I may or may not receive is the biggest concern when connecting my gmail account to websites and services. Also, convenience.")</f>
        <v>How much spam I may or may not receive is the biggest concern when connecting my gmail account to websites and services. Also, convenience.</v>
      </c>
      <c r="C206" s="12"/>
      <c r="D206" s="12"/>
      <c r="E206" s="12"/>
      <c r="F206" s="12"/>
      <c r="G206" s="12"/>
      <c r="H206" s="12"/>
      <c r="I206" s="12"/>
      <c r="J206" s="12"/>
    </row>
    <row r="207">
      <c r="A207">
        <f>IFERROR(__xludf.DUMMYFUNCTION("""COMPUTED_VALUE"""),300.0)</f>
        <v>300</v>
      </c>
      <c r="B207" s="12" t="str">
        <f>IFERROR(__xludf.DUMMYFUNCTION("""COMPUTED_VALUE"""),"That it would be easier than coming up with a new password or to remember what that password was in the future.")</f>
        <v>That it would be easier than coming up with a new password or to remember what that password was in the future.</v>
      </c>
      <c r="C207" s="12"/>
      <c r="D207" s="12"/>
      <c r="E207" s="12"/>
      <c r="F207" s="12"/>
      <c r="G207" s="12"/>
      <c r="H207" s="12"/>
      <c r="I207" s="12"/>
      <c r="J207" s="12"/>
    </row>
    <row r="208">
      <c r="A208">
        <f>IFERROR(__xludf.DUMMYFUNCTION("""COMPUTED_VALUE"""),301.0)</f>
        <v>301</v>
      </c>
      <c r="B208" s="12" t="str">
        <f>IFERROR(__xludf.DUMMYFUNCTION("""COMPUTED_VALUE"""),"privacy")</f>
        <v>privacy</v>
      </c>
      <c r="C208" s="12"/>
      <c r="D208" s="12"/>
      <c r="E208" s="12"/>
      <c r="F208" s="12"/>
      <c r="G208" s="12"/>
      <c r="H208" s="12"/>
      <c r="I208" s="12"/>
      <c r="J208" s="12"/>
    </row>
    <row r="209">
      <c r="A209">
        <f>IFERROR(__xludf.DUMMYFUNCTION("""COMPUTED_VALUE"""),302.0)</f>
        <v>302</v>
      </c>
      <c r="B209" s="12" t="str">
        <f>IFERROR(__xludf.DUMMYFUNCTION("""COMPUTED_VALUE"""),"I thought about how prolific the website was, and if it would be trustworthy. I also though about the hassle of creating a new account versus just signing up with my existing Google Account.")</f>
        <v>I thought about how prolific the website was, and if it would be trustworthy. I also though about the hassle of creating a new account versus just signing up with my existing Google Account.</v>
      </c>
      <c r="C209" s="12"/>
      <c r="D209" s="12"/>
      <c r="E209" s="12"/>
      <c r="F209" s="12"/>
      <c r="G209" s="12"/>
      <c r="H209" s="12"/>
      <c r="I209" s="12"/>
      <c r="J209" s="12"/>
    </row>
    <row r="210">
      <c r="A210">
        <f>IFERROR(__xludf.DUMMYFUNCTION("""COMPUTED_VALUE"""),303.0)</f>
        <v>303</v>
      </c>
      <c r="B210" s="12" t="str">
        <f>IFERROR(__xludf.DUMMYFUNCTION("""COMPUTED_VALUE"""),"I considered whether it was connected to ESPN or not.")</f>
        <v>I considered whether it was connected to ESPN or not.</v>
      </c>
      <c r="C210" s="12"/>
      <c r="D210" s="12"/>
      <c r="E210" s="12"/>
      <c r="F210" s="12"/>
      <c r="G210" s="12"/>
      <c r="H210" s="12"/>
      <c r="I210" s="12"/>
      <c r="J210" s="12"/>
    </row>
    <row r="211">
      <c r="A211">
        <f>IFERROR(__xludf.DUMMYFUNCTION("""COMPUTED_VALUE"""),305.0)</f>
        <v>305</v>
      </c>
      <c r="B211" s="12" t="str">
        <f>IFERROR(__xludf.DUMMYFUNCTION("""COMPUTED_VALUE"""),"It's how I made the account, so my gmail address is linked to the account.")</f>
        <v>It's how I made the account, so my gmail address is linked to the account.</v>
      </c>
      <c r="C211" s="12"/>
      <c r="D211" s="12"/>
      <c r="E211" s="12"/>
      <c r="F211" s="12"/>
      <c r="G211" s="12"/>
      <c r="H211" s="12"/>
      <c r="I211" s="12"/>
      <c r="J211" s="12"/>
    </row>
    <row r="212">
      <c r="A212">
        <f>IFERROR(__xludf.DUMMYFUNCTION("""COMPUTED_VALUE"""),306.0)</f>
        <v>306</v>
      </c>
      <c r="B212" s="12" t="str">
        <f>IFERROR(__xludf.DUMMYFUNCTION("""COMPUTED_VALUE"""),"I considered whether I would get spam email from the website")</f>
        <v>I considered whether I would get spam email from the website</v>
      </c>
      <c r="C212" s="12"/>
      <c r="D212" s="12"/>
      <c r="E212" s="12"/>
      <c r="F212" s="12"/>
      <c r="G212" s="12"/>
      <c r="H212" s="12"/>
      <c r="I212" s="12"/>
      <c r="J212" s="12"/>
    </row>
    <row r="213">
      <c r="A213">
        <f>IFERROR(__xludf.DUMMYFUNCTION("""COMPUTED_VALUE"""),307.0)</f>
        <v>307</v>
      </c>
      <c r="B213" s="12" t="str">
        <f>IFERROR(__xludf.DUMMYFUNCTION("""COMPUTED_VALUE"""),"Whether the website was secure")</f>
        <v>Whether the website was secure</v>
      </c>
      <c r="C213" s="12"/>
      <c r="D213" s="12"/>
      <c r="E213" s="12"/>
      <c r="F213" s="12"/>
      <c r="G213" s="12"/>
      <c r="H213" s="12"/>
      <c r="I213" s="12"/>
      <c r="J213" s="12"/>
    </row>
    <row r="214">
      <c r="A214">
        <f>IFERROR(__xludf.DUMMYFUNCTION("""COMPUTED_VALUE"""),308.0)</f>
        <v>308</v>
      </c>
      <c r="B214" s="12" t="str">
        <f>IFERROR(__xludf.DUMMYFUNCTION("""COMPUTED_VALUE"""),"ease of continued login")</f>
        <v>ease of continued login</v>
      </c>
      <c r="C214" s="12"/>
      <c r="D214" s="12"/>
      <c r="E214" s="12"/>
      <c r="F214" s="12"/>
      <c r="G214" s="12"/>
      <c r="H214" s="12"/>
      <c r="I214" s="12"/>
      <c r="J214" s="12"/>
    </row>
    <row r="215">
      <c r="A215">
        <f>IFERROR(__xludf.DUMMYFUNCTION("""COMPUTED_VALUE"""),309.0)</f>
        <v>309</v>
      </c>
      <c r="B215" s="12" t="str">
        <f>IFERROR(__xludf.DUMMYFUNCTION("""COMPUTED_VALUE"""),"Should I just make an account with email instead?")</f>
        <v>Should I just make an account with email instead?</v>
      </c>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t="str">
        <f>IFERROR(__xludf.DUMMYFUNCTION("""COMPUTED_VALUE"""),"what info they would have access to")</f>
        <v>what info they would have access to</v>
      </c>
      <c r="C217" s="12"/>
      <c r="D217" s="12"/>
      <c r="E217" s="12"/>
      <c r="F217" s="12"/>
      <c r="G217" s="12"/>
      <c r="H217" s="12"/>
      <c r="I217" s="12"/>
      <c r="J217" s="12"/>
    </row>
    <row r="218">
      <c r="A218">
        <f>IFERROR(__xludf.DUMMYFUNCTION("""COMPUTED_VALUE"""),312.0)</f>
        <v>312</v>
      </c>
      <c r="B218" s="12" t="str">
        <f>IFERROR(__xludf.DUMMYFUNCTION("""COMPUTED_VALUE"""),"If I had to make an account for that site or not")</f>
        <v>If I had to make an account for that site or not</v>
      </c>
      <c r="C218" s="12"/>
      <c r="D218" s="12"/>
      <c r="E218" s="12"/>
      <c r="F218" s="12"/>
      <c r="G218" s="12"/>
      <c r="H218" s="12"/>
      <c r="I218" s="12"/>
      <c r="J218" s="12"/>
    </row>
    <row r="219">
      <c r="A219">
        <f>IFERROR(__xludf.DUMMYFUNCTION("""COMPUTED_VALUE"""),313.0)</f>
        <v>313</v>
      </c>
      <c r="B219" s="12" t="str">
        <f>IFERROR(__xludf.DUMMYFUNCTION("""COMPUTED_VALUE"""),"What personal information would be released by doing so.")</f>
        <v>What personal information would be released by doing so.</v>
      </c>
      <c r="C219" s="12"/>
      <c r="D219" s="12"/>
      <c r="E219" s="12"/>
      <c r="F219" s="12"/>
      <c r="G219" s="12"/>
      <c r="H219" s="12"/>
      <c r="I219" s="12"/>
      <c r="J219" s="12"/>
    </row>
    <row r="220">
      <c r="A220">
        <f>IFERROR(__xludf.DUMMYFUNCTION("""COMPUTED_VALUE"""),314.0)</f>
        <v>314</v>
      </c>
      <c r="B220" s="12" t="str">
        <f>IFERROR(__xludf.DUMMYFUNCTION("""COMPUTED_VALUE"""),"Facebook")</f>
        <v>Facebook</v>
      </c>
      <c r="C220" s="12"/>
      <c r="D220" s="12"/>
      <c r="E220" s="12"/>
      <c r="F220" s="12"/>
      <c r="G220" s="12"/>
      <c r="H220" s="12"/>
      <c r="I220" s="12"/>
      <c r="J220" s="12"/>
    </row>
    <row r="221">
      <c r="A221">
        <f>IFERROR(__xludf.DUMMYFUNCTION("""COMPUTED_VALUE"""),315.0)</f>
        <v>315</v>
      </c>
      <c r="B221" s="12" t="str">
        <f>IFERROR(__xludf.DUMMYFUNCTION("""COMPUTED_VALUE"""),"I just clicked the ""sign-in with Google"" button and then selected which Gmail account I wanted to link to the app I was using.")</f>
        <v>I just clicked the "sign-in with Google" button and then selected which Gmail account I wanted to link to the app I was using.</v>
      </c>
      <c r="C221" s="12"/>
      <c r="D221" s="12"/>
      <c r="E221" s="12"/>
      <c r="F221" s="12"/>
      <c r="G221" s="12"/>
      <c r="H221" s="12"/>
      <c r="I221" s="12"/>
      <c r="J221" s="12"/>
    </row>
    <row r="222">
      <c r="A222">
        <f>IFERROR(__xludf.DUMMYFUNCTION("""COMPUTED_VALUE"""),317.0)</f>
        <v>317</v>
      </c>
      <c r="B222" s="12" t="str">
        <f>IFERROR(__xludf.DUMMYFUNCTION("""COMPUTED_VALUE"""),"I considered ease of remembering sign-on info and ease of registering")</f>
        <v>I considered ease of remembering sign-on info and ease of registering</v>
      </c>
      <c r="C222" s="12"/>
      <c r="D222" s="12"/>
      <c r="E222" s="12"/>
      <c r="F222" s="12"/>
      <c r="G222" s="12"/>
      <c r="H222" s="12"/>
      <c r="I222" s="12"/>
      <c r="J222" s="12"/>
    </row>
    <row r="223">
      <c r="A223">
        <f>IFERROR(__xludf.DUMMYFUNCTION("""COMPUTED_VALUE"""),318.0)</f>
        <v>318</v>
      </c>
      <c r="B223" s="12" t="str">
        <f>IFERROR(__xludf.DUMMYFUNCTION("""COMPUTED_VALUE"""),"If my information will be automatically synced to their servers then I will be added to a mailing list.")</f>
        <v>If my information will be automatically synced to their servers then I will be added to a mailing list.</v>
      </c>
      <c r="C223" s="12"/>
      <c r="D223" s="12"/>
      <c r="E223" s="12"/>
      <c r="F223" s="12"/>
      <c r="G223" s="12"/>
      <c r="H223" s="12"/>
      <c r="I223" s="12"/>
      <c r="J223" s="12"/>
    </row>
    <row r="224">
      <c r="A224">
        <f>IFERROR(__xludf.DUMMYFUNCTION("""COMPUTED_VALUE"""),319.0)</f>
        <v>319</v>
      </c>
      <c r="B224" s="12" t="str">
        <f>IFERROR(__xludf.DUMMYFUNCTION("""COMPUTED_VALUE"""),"Mostly private data and concerns regarding hacking")</f>
        <v>Mostly private data and concerns regarding hacking</v>
      </c>
      <c r="C224" s="12"/>
      <c r="D224" s="12"/>
      <c r="E224" s="12"/>
      <c r="F224" s="12"/>
      <c r="G224" s="12"/>
      <c r="H224" s="12"/>
      <c r="I224" s="12"/>
      <c r="J224" s="12"/>
    </row>
    <row r="225">
      <c r="A225">
        <f>IFERROR(__xludf.DUMMYFUNCTION("""COMPUTED_VALUE"""),321.0)</f>
        <v>321</v>
      </c>
      <c r="B225" s="12" t="str">
        <f>IFERROR(__xludf.DUMMYFUNCTION("""COMPUTED_VALUE"""),"Nothing")</f>
        <v>Nothing</v>
      </c>
      <c r="C225" s="12"/>
      <c r="D225" s="12"/>
      <c r="E225" s="12"/>
      <c r="F225" s="12"/>
      <c r="G225" s="12"/>
      <c r="H225" s="12"/>
      <c r="I225" s="12"/>
      <c r="J225" s="12"/>
    </row>
    <row r="226">
      <c r="A226">
        <f>IFERROR(__xludf.DUMMYFUNCTION("""COMPUTED_VALUE"""),322.0)</f>
        <v>322</v>
      </c>
      <c r="B226" s="12" t="str">
        <f>IFERROR(__xludf.DUMMYFUNCTION("""COMPUTED_VALUE"""),"I didn't consider anything in particular. I was simply logging in after having to switch my browser.")</f>
        <v>I didn't consider anything in particular. I was simply logging in after having to switch my browser.</v>
      </c>
      <c r="C226" s="12"/>
      <c r="D226" s="12"/>
      <c r="E226" s="12"/>
      <c r="F226" s="12"/>
      <c r="G226" s="12"/>
      <c r="H226" s="12"/>
      <c r="I226" s="12"/>
      <c r="J226" s="12"/>
    </row>
    <row r="227">
      <c r="A227">
        <f>IFERROR(__xludf.DUMMYFUNCTION("""COMPUTED_VALUE"""),323.0)</f>
        <v>323</v>
      </c>
      <c r="B227" s="12" t="str">
        <f>IFERROR(__xludf.DUMMYFUNCTION("""COMPUTED_VALUE"""),"I considered the effort it would take to make a whole new account.")</f>
        <v>I considered the effort it would take to make a whole new account.</v>
      </c>
      <c r="C227" s="12"/>
      <c r="D227" s="12"/>
      <c r="E227" s="12"/>
      <c r="F227" s="12"/>
      <c r="G227" s="12"/>
      <c r="H227" s="12"/>
      <c r="I227" s="12"/>
      <c r="J227" s="12"/>
    </row>
    <row r="228">
      <c r="A228">
        <f>IFERROR(__xludf.DUMMYFUNCTION("""COMPUTED_VALUE"""),325.0)</f>
        <v>325</v>
      </c>
      <c r="B228" s="12" t="str">
        <f>IFERROR(__xludf.DUMMYFUNCTION("""COMPUTED_VALUE"""),"Nothing really. I've used my Google account for this for a long time and have had no issues.")</f>
        <v>Nothing really. I've used my Google account for this for a long time and have had no issues.</v>
      </c>
      <c r="C228" s="12"/>
      <c r="D228" s="12"/>
      <c r="E228" s="12"/>
      <c r="F228" s="12"/>
      <c r="G228" s="12"/>
      <c r="H228" s="12"/>
      <c r="I228" s="12"/>
      <c r="J228" s="12"/>
    </row>
    <row r="229">
      <c r="A229">
        <f>IFERROR(__xludf.DUMMYFUNCTION("""COMPUTED_VALUE"""),326.0)</f>
        <v>326</v>
      </c>
      <c r="B229" s="12" t="str">
        <f>IFERROR(__xludf.DUMMYFUNCTION("""COMPUTED_VALUE"""),"Whether I should use my google account, or just create a new account for the site I was trying to use.")</f>
        <v>Whether I should use my google account, or just create a new account for the site I was trying to use.</v>
      </c>
      <c r="C229" s="12"/>
      <c r="D229" s="12"/>
      <c r="E229" s="12"/>
      <c r="F229" s="12"/>
      <c r="G229" s="12"/>
      <c r="H229" s="12"/>
      <c r="I229" s="12"/>
      <c r="J229" s="12"/>
    </row>
    <row r="230">
      <c r="A230">
        <f>IFERROR(__xludf.DUMMYFUNCTION("""COMPUTED_VALUE"""),327.0)</f>
        <v>327</v>
      </c>
      <c r="B230" s="12" t="str">
        <f>IFERROR(__xludf.DUMMYFUNCTION("""COMPUTED_VALUE"""),"I had some privacy concerns when signing in using my Google Account.")</f>
        <v>I had some privacy concerns when signing in using my Google Account.</v>
      </c>
      <c r="C230" s="12"/>
      <c r="D230" s="12"/>
      <c r="E230" s="12"/>
      <c r="F230" s="12"/>
      <c r="G230" s="12"/>
      <c r="H230" s="12"/>
      <c r="I230" s="12"/>
      <c r="J230" s="12"/>
    </row>
    <row r="231">
      <c r="A231">
        <f>IFERROR(__xludf.DUMMYFUNCTION("""COMPUTED_VALUE"""),328.0)</f>
        <v>328</v>
      </c>
      <c r="B231" s="12" t="str">
        <f>IFERROR(__xludf.DUMMYFUNCTION("""COMPUTED_VALUE"""),"If it was more convenient to have a separate account for the service rather than just using Google to get an account quickly.")</f>
        <v>If it was more convenient to have a separate account for the service rather than just using Google to get an account quickly.</v>
      </c>
      <c r="C231" s="12"/>
      <c r="D231" s="12"/>
      <c r="E231" s="12"/>
      <c r="F231" s="12"/>
      <c r="G231" s="12"/>
      <c r="H231" s="12"/>
      <c r="I231" s="12"/>
      <c r="J231" s="12"/>
    </row>
    <row r="232">
      <c r="A232">
        <f>IFERROR(__xludf.DUMMYFUNCTION("""COMPUTED_VALUE"""),329.0)</f>
        <v>329</v>
      </c>
      <c r="B232" s="12" t="str">
        <f>IFERROR(__xludf.DUMMYFUNCTION("""COMPUTED_VALUE"""),"Usage of my name/profile picture")</f>
        <v>Usage of my name/profile picture</v>
      </c>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t="str">
        <f>IFERROR(__xludf.DUMMYFUNCTION("""COMPUTED_VALUE"""),"Whether I had a google authenticated account or a normal login with my gmail address and would it distinguish a difference.")</f>
        <v>Whether I had a google authenticated account or a normal login with my gmail address and would it distinguish a difference.</v>
      </c>
      <c r="C234" s="12"/>
      <c r="D234" s="12"/>
      <c r="E234" s="12"/>
      <c r="F234" s="12"/>
      <c r="G234" s="12"/>
      <c r="H234" s="12"/>
      <c r="I234" s="12"/>
      <c r="J234" s="12"/>
    </row>
    <row r="235">
      <c r="A235">
        <f>IFERROR(__xludf.DUMMYFUNCTION("""COMPUTED_VALUE"""),332.0)</f>
        <v>332</v>
      </c>
      <c r="B235" s="12" t="str">
        <f>IFERROR(__xludf.DUMMYFUNCTION("""COMPUTED_VALUE"""),"Whether I trusted the third-party app or service to keep my information safe, and if I wanted Google to know that I was using that third-party app.")</f>
        <v>Whether I trusted the third-party app or service to keep my information safe, and if I wanted Google to know that I was using that third-party app.</v>
      </c>
      <c r="C235" s="12"/>
      <c r="D235" s="12"/>
      <c r="E235" s="12"/>
      <c r="F235" s="12"/>
      <c r="G235" s="12"/>
      <c r="H235" s="12"/>
      <c r="I235" s="12"/>
      <c r="J235" s="12"/>
    </row>
    <row r="236">
      <c r="A236">
        <f>IFERROR(__xludf.DUMMYFUNCTION("""COMPUTED_VALUE"""),333.0)</f>
        <v>333</v>
      </c>
      <c r="B236" s="12" t="str">
        <f>IFERROR(__xludf.DUMMYFUNCTION("""COMPUTED_VALUE"""),"I consider whether I want that site or app to have access to my google data.")</f>
        <v>I consider whether I want that site or app to have access to my google data.</v>
      </c>
      <c r="C236" s="12"/>
      <c r="D236" s="12"/>
      <c r="E236" s="12"/>
      <c r="F236" s="12"/>
      <c r="G236" s="12"/>
      <c r="H236" s="12"/>
      <c r="I236" s="12"/>
      <c r="J236" s="12"/>
    </row>
    <row r="237">
      <c r="A237">
        <f>IFERROR(__xludf.DUMMYFUNCTION("""COMPUTED_VALUE"""),335.0)</f>
        <v>335</v>
      </c>
      <c r="B237" s="12" t="str">
        <f>IFERROR(__xludf.DUMMYFUNCTION("""COMPUTED_VALUE"""),"Whether I could trust the app")</f>
        <v>Whether I could trust the app</v>
      </c>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t="str">
        <f>IFERROR(__xludf.DUMMYFUNCTION("""COMPUTED_VALUE"""),"I feel a little weird about them linking stuff to my google account, and wonder how much info they have. But then I am like... ehh, but it's so easy, and just try not to think about it.")</f>
        <v>I feel a little weird about them linking stuff to my google account, and wonder how much info they have. But then I am like... ehh, but it's so easy, and just try not to think about it.</v>
      </c>
      <c r="C239" s="12"/>
      <c r="D239" s="12"/>
      <c r="E239" s="12"/>
      <c r="F239" s="12"/>
      <c r="G239" s="12"/>
      <c r="H239" s="12"/>
      <c r="I239" s="12"/>
      <c r="J239" s="12"/>
    </row>
    <row r="240">
      <c r="A240">
        <f>IFERROR(__xludf.DUMMYFUNCTION("""COMPUTED_VALUE"""),338.0)</f>
        <v>338</v>
      </c>
      <c r="B240" s="12" t="str">
        <f>IFERROR(__xludf.DUMMYFUNCTION("""COMPUTED_VALUE"""),"I considered if I already had an account at ASOS and if I remembered a specific password, usually it is easier to log in using my google account.")</f>
        <v>I considered if I already had an account at ASOS and if I remembered a specific password, usually it is easier to log in using my google account.</v>
      </c>
      <c r="C240" s="12"/>
      <c r="D240" s="12"/>
      <c r="E240" s="12"/>
      <c r="F240" s="12"/>
      <c r="G240" s="12"/>
      <c r="H240" s="12"/>
      <c r="I240" s="12"/>
      <c r="J240" s="12"/>
    </row>
    <row r="241">
      <c r="A241">
        <f>IFERROR(__xludf.DUMMYFUNCTION("""COMPUTED_VALUE"""),339.0)</f>
        <v>339</v>
      </c>
      <c r="B241" s="12" t="str">
        <f>IFERROR(__xludf.DUMMYFUNCTION("""COMPUTED_VALUE"""),"I considered how much easier it is to sign in through my google account")</f>
        <v>I considered how much easier it is to sign in through my google account</v>
      </c>
      <c r="C241" s="12"/>
      <c r="D241" s="12"/>
      <c r="E241" s="12"/>
      <c r="F241" s="12"/>
      <c r="G241" s="12"/>
      <c r="H241" s="12"/>
      <c r="I241" s="12"/>
      <c r="J241" s="12"/>
    </row>
    <row r="242">
      <c r="A242">
        <f>IFERROR(__xludf.DUMMYFUNCTION("""COMPUTED_VALUE"""),340.0)</f>
        <v>340</v>
      </c>
      <c r="B242" s="12" t="str">
        <f>IFERROR(__xludf.DUMMYFUNCTION("""COMPUTED_VALUE"""),"If it was worth making an account not using the email to sign in.")</f>
        <v>If it was worth making an account not using the email to sign in.</v>
      </c>
      <c r="C242" s="12"/>
      <c r="D242" s="12"/>
      <c r="E242" s="12"/>
      <c r="F242" s="12"/>
      <c r="G242" s="12"/>
      <c r="H242" s="12"/>
      <c r="I242" s="12"/>
      <c r="J242" s="12"/>
    </row>
    <row r="243">
      <c r="A243">
        <f>IFERROR(__xludf.DUMMYFUNCTION("""COMPUTED_VALUE"""),341.0)</f>
        <v>341</v>
      </c>
      <c r="B243" s="12" t="str">
        <f>IFERROR(__xludf.DUMMYFUNCTION("""COMPUTED_VALUE"""),"Nothing")</f>
        <v>Nothing</v>
      </c>
      <c r="C243" s="12"/>
      <c r="D243" s="12"/>
      <c r="E243" s="12"/>
      <c r="F243" s="12"/>
      <c r="G243" s="12"/>
      <c r="H243" s="12"/>
      <c r="I243" s="12"/>
      <c r="J243" s="12"/>
    </row>
    <row r="244">
      <c r="A244">
        <f>IFERROR(__xludf.DUMMYFUNCTION("""COMPUTED_VALUE"""),342.0)</f>
        <v>342</v>
      </c>
      <c r="B244" s="12" t="str">
        <f>IFERROR(__xludf.DUMMYFUNCTION("""COMPUTED_VALUE"""),"if i didn't use google i'd have to remember my password and username")</f>
        <v>if i didn't use google i'd have to remember my password and username</v>
      </c>
      <c r="C244" s="12"/>
      <c r="D244" s="12"/>
      <c r="E244" s="12"/>
      <c r="F244" s="12"/>
      <c r="G244" s="12"/>
      <c r="H244" s="12"/>
      <c r="I244" s="12"/>
      <c r="J244" s="12"/>
    </row>
    <row r="245">
      <c r="A245">
        <f>IFERROR(__xludf.DUMMYFUNCTION("""COMPUTED_VALUE"""),345.0)</f>
        <v>345</v>
      </c>
      <c r="B245" s="12" t="str">
        <f>IFERROR(__xludf.DUMMYFUNCTION("""COMPUTED_VALUE"""),"I considered how signing in with my google account worked")</f>
        <v>I considered how signing in with my google account worked</v>
      </c>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IFERROR(__xludf.DUMMYFUNCTION("""COMPUTED_VALUE"""),"I considered my privacy as well as the convenience and ease of simply logging in through Google.")</f>
        <v>I considered my privacy as well as the convenience and ease of simply logging in through Google.</v>
      </c>
      <c r="C247" s="12"/>
      <c r="D247" s="12"/>
      <c r="E247" s="12"/>
      <c r="F247" s="12"/>
      <c r="G247" s="12"/>
      <c r="H247" s="12"/>
      <c r="I247" s="12"/>
      <c r="J247" s="12"/>
    </row>
    <row r="248">
      <c r="A248">
        <f>IFERROR(__xludf.DUMMYFUNCTION("""COMPUTED_VALUE"""),351.0)</f>
        <v>351</v>
      </c>
      <c r="B248" s="12" t="str">
        <f>IFERROR(__xludf.DUMMYFUNCTION("""COMPUTED_VALUE"""),"If it was secure")</f>
        <v>If it was secure</v>
      </c>
      <c r="C248" s="12"/>
      <c r="D248" s="12"/>
      <c r="E248" s="12"/>
      <c r="F248" s="12"/>
      <c r="G248" s="12"/>
      <c r="H248" s="12"/>
      <c r="I248" s="12"/>
      <c r="J248" s="12"/>
    </row>
    <row r="249">
      <c r="A249">
        <f>IFERROR(__xludf.DUMMYFUNCTION("""COMPUTED_VALUE"""),352.0)</f>
        <v>352</v>
      </c>
      <c r="B249" s="12" t="str">
        <f>IFERROR(__xludf.DUMMYFUNCTION("""COMPUTED_VALUE"""),"Playing the game well. Didn't consider anything related to the account.")</f>
        <v>Playing the game well. Didn't consider anything related to the account.</v>
      </c>
      <c r="C249" s="12"/>
      <c r="D249" s="12"/>
      <c r="E249" s="12"/>
      <c r="F249" s="12"/>
      <c r="G249" s="12"/>
      <c r="H249" s="12"/>
      <c r="I249" s="12"/>
      <c r="J249" s="12"/>
    </row>
    <row r="250">
      <c r="A250">
        <f>IFERROR(__xludf.DUMMYFUNCTION("""COMPUTED_VALUE"""),354.0)</f>
        <v>354</v>
      </c>
      <c r="B250" s="12" t="str">
        <f>IFERROR(__xludf.DUMMYFUNCTION("""COMPUTED_VALUE"""),"If I trusted the service enough to have it linked to my google.")</f>
        <v>If I trusted the service enough to have it linked to my google.</v>
      </c>
      <c r="C250" s="12"/>
      <c r="D250" s="12"/>
      <c r="E250" s="12"/>
      <c r="F250" s="12"/>
      <c r="G250" s="12"/>
      <c r="H250" s="12"/>
      <c r="I250" s="12"/>
      <c r="J250" s="12"/>
    </row>
    <row r="251">
      <c r="A251">
        <f>IFERROR(__xludf.DUMMYFUNCTION("""COMPUTED_VALUE"""),355.0)</f>
        <v>355</v>
      </c>
      <c r="B251" s="12" t="str">
        <f>IFERROR(__xludf.DUMMYFUNCTION("""COMPUTED_VALUE"""),"I didn't consider anything really, I just thought it would be easier")</f>
        <v>I didn't consider anything really, I just thought it would be easier</v>
      </c>
      <c r="C251" s="12"/>
      <c r="D251" s="12"/>
      <c r="E251" s="12"/>
      <c r="F251" s="12"/>
      <c r="G251" s="12"/>
      <c r="H251" s="12"/>
      <c r="I251" s="12"/>
      <c r="J251" s="12"/>
    </row>
    <row r="252">
      <c r="A252">
        <f>IFERROR(__xludf.DUMMYFUNCTION("""COMPUTED_VALUE"""),357.0)</f>
        <v>357</v>
      </c>
      <c r="B252" s="12" t="str">
        <f>IFERROR(__xludf.DUMMYFUNCTION("""COMPUTED_VALUE"""),"thet i wouldnt have to deal with making a whole new account with all of my information since google already has it")</f>
        <v>thet i wouldnt have to deal with making a whole new account with all of my information since google already has it</v>
      </c>
      <c r="C252" s="12"/>
      <c r="D252" s="12"/>
      <c r="E252" s="12"/>
      <c r="F252" s="12"/>
      <c r="G252" s="12"/>
      <c r="H252" s="12"/>
      <c r="I252" s="12"/>
      <c r="J252" s="12"/>
    </row>
    <row r="253">
      <c r="A253">
        <f>IFERROR(__xludf.DUMMYFUNCTION("""COMPUTED_VALUE"""),358.0)</f>
        <v>358</v>
      </c>
      <c r="B253" s="12" t="str">
        <f>IFERROR(__xludf.DUMMYFUNCTION("""COMPUTED_VALUE"""),"I considered how large and secure the company was and I felt like Zoom was reputable enough to sign in to my google account with.")</f>
        <v>I considered how large and secure the company was and I felt like Zoom was reputable enough to sign in to my google account with.</v>
      </c>
      <c r="C253" s="12"/>
      <c r="D253" s="12"/>
      <c r="E253" s="12"/>
      <c r="F253" s="12"/>
      <c r="G253" s="12"/>
      <c r="H253" s="12"/>
      <c r="I253" s="12"/>
      <c r="J253" s="12"/>
    </row>
    <row r="254">
      <c r="A254">
        <f>IFERROR(__xludf.DUMMYFUNCTION("""COMPUTED_VALUE"""),360.0)</f>
        <v>360</v>
      </c>
      <c r="B254" s="12" t="str">
        <f>IFERROR(__xludf.DUMMYFUNCTION("""COMPUTED_VALUE"""),"I didn't.")</f>
        <v>I didn't.</v>
      </c>
      <c r="C254" s="12"/>
      <c r="D254" s="12"/>
      <c r="E254" s="12"/>
      <c r="F254" s="12"/>
      <c r="G254" s="12"/>
      <c r="H254" s="12"/>
      <c r="I254" s="12"/>
      <c r="J254" s="12"/>
    </row>
    <row r="255">
      <c r="A255">
        <f>IFERROR(__xludf.DUMMYFUNCTION("""COMPUTED_VALUE"""),361.0)</f>
        <v>361</v>
      </c>
      <c r="B255" s="12" t="str">
        <f>IFERROR(__xludf.DUMMYFUNCTION("""COMPUTED_VALUE"""),"If they would use my account and hack it")</f>
        <v>If they would use my account and hack it</v>
      </c>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t="str">
        <f>IFERROR(__xludf.DUMMYFUNCTION("""COMPUTED_VALUE"""),"I consider privacy and security when using my Google Account.")</f>
        <v>I consider privacy and security when using my Google Account.</v>
      </c>
      <c r="C257" s="12"/>
      <c r="D257" s="12"/>
      <c r="E257" s="12"/>
      <c r="F257" s="12"/>
      <c r="G257" s="12"/>
      <c r="H257" s="12"/>
      <c r="I257" s="12"/>
      <c r="J257" s="12"/>
    </row>
    <row r="258">
      <c r="A258">
        <f>IFERROR(__xludf.DUMMYFUNCTION("""COMPUTED_VALUE"""),364.0)</f>
        <v>364</v>
      </c>
      <c r="B258" s="12" t="str">
        <f>IFERROR(__xludf.DUMMYFUNCTION("""COMPUTED_VALUE"""),"Nothing.")</f>
        <v>Nothing.</v>
      </c>
      <c r="C258" s="12"/>
      <c r="D258" s="12"/>
      <c r="E258" s="12"/>
      <c r="F258" s="12"/>
      <c r="G258" s="12"/>
      <c r="H258" s="12"/>
      <c r="I258" s="12"/>
      <c r="J258" s="12"/>
    </row>
    <row r="259">
      <c r="A259">
        <f>IFERROR(__xludf.DUMMYFUNCTION("""COMPUTED_VALUE"""),365.0)</f>
        <v>365</v>
      </c>
      <c r="B259" s="12" t="str">
        <f>IFERROR(__xludf.DUMMYFUNCTION("""COMPUTED_VALUE"""),"I didn't consider anything. I wanted to buy something and not enter all of my information.")</f>
        <v>I didn't consider anything. I wanted to buy something and not enter all of my information.</v>
      </c>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t="str">
        <f>IFERROR(__xludf.DUMMYFUNCTION("""COMPUTED_VALUE"""),"Security &amp; data privacy")</f>
        <v>Security &amp; data privacy</v>
      </c>
      <c r="C261" s="12"/>
      <c r="D261" s="12"/>
      <c r="E261" s="12"/>
      <c r="F261" s="12"/>
      <c r="G261" s="12"/>
      <c r="H261" s="12"/>
      <c r="I261" s="12"/>
      <c r="J261" s="12"/>
    </row>
    <row r="262">
      <c r="A262">
        <f>IFERROR(__xludf.DUMMYFUNCTION("""COMPUTED_VALUE"""),368.0)</f>
        <v>368</v>
      </c>
      <c r="B262" s="12" t="str">
        <f>IFERROR(__xludf.DUMMYFUNCTION("""COMPUTED_VALUE"""),"I did not consider much just how convenient it was")</f>
        <v>I did not consider much just how convenient it was</v>
      </c>
      <c r="C262" s="12"/>
      <c r="D262" s="12"/>
      <c r="E262" s="12"/>
      <c r="F262" s="12"/>
      <c r="G262" s="12"/>
      <c r="H262" s="12"/>
      <c r="I262" s="12"/>
      <c r="J262" s="12"/>
    </row>
    <row r="263">
      <c r="A263">
        <f>IFERROR(__xludf.DUMMYFUNCTION("""COMPUTED_VALUE"""),372.0)</f>
        <v>372</v>
      </c>
      <c r="B263" s="12" t="str">
        <f>IFERROR(__xludf.DUMMYFUNCTION("""COMPUTED_VALUE"""),"I wasn't sure whether I wanted my data for this website to be shared with Google.")</f>
        <v>I wasn't sure whether I wanted my data for this website to be shared with Google.</v>
      </c>
      <c r="C263" s="12"/>
      <c r="D263" s="12"/>
      <c r="E263" s="12"/>
      <c r="F263" s="12"/>
      <c r="G263" s="12"/>
      <c r="H263" s="12"/>
      <c r="I263" s="12"/>
      <c r="J263" s="12"/>
    </row>
    <row r="264">
      <c r="A264">
        <f>IFERROR(__xludf.DUMMYFUNCTION("""COMPUTED_VALUE"""),373.0)</f>
        <v>373</v>
      </c>
      <c r="B264" s="12" t="str">
        <f>IFERROR(__xludf.DUMMYFUNCTION("""COMPUTED_VALUE"""),"I didnt consider much, companies already have all of my info.")</f>
        <v>I didnt consider much, companies already have all of my info.</v>
      </c>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t="str">
        <f>IFERROR(__xludf.DUMMYFUNCTION("""COMPUTED_VALUE"""),"I was considering how safe it would be to use this method. I was satisfied that it would involve the use of a one-time code and that the site wouldn't be able to capture my password.")</f>
        <v>I was considering how safe it would be to use this method. I was satisfied that it would involve the use of a one-time code and that the site wouldn't be able to capture my password.</v>
      </c>
      <c r="C266" s="12"/>
      <c r="D266" s="12"/>
      <c r="E266" s="12"/>
      <c r="F266" s="12"/>
      <c r="G266" s="12"/>
      <c r="H266" s="12"/>
      <c r="I266" s="12"/>
      <c r="J266" s="12"/>
    </row>
    <row r="267">
      <c r="A267">
        <f>IFERROR(__xludf.DUMMYFUNCTION("""COMPUTED_VALUE"""),377.0)</f>
        <v>377</v>
      </c>
      <c r="B267" s="12" t="str">
        <f>IFERROR(__xludf.DUMMYFUNCTION("""COMPUTED_VALUE"""),"I considered whether the information being taken from my Google Account was being used improperly or not before I signed up.")</f>
        <v>I considered whether the information being taken from my Google Account was being used improperly or not before I signed up.</v>
      </c>
      <c r="C267" s="12"/>
      <c r="D267" s="12"/>
      <c r="E267" s="12"/>
      <c r="F267" s="12"/>
      <c r="G267" s="12"/>
      <c r="H267" s="12"/>
      <c r="I267" s="12"/>
      <c r="J267" s="12"/>
    </row>
    <row r="268">
      <c r="A268">
        <f>IFERROR(__xludf.DUMMYFUNCTION("""COMPUTED_VALUE"""),379.0)</f>
        <v>379</v>
      </c>
      <c r="B268" s="12" t="str">
        <f>IFERROR(__xludf.DUMMYFUNCTION("""COMPUTED_VALUE"""),"I wondered what information saved on my Google account would be shared with Samsung.")</f>
        <v>I wondered what information saved on my Google account would be shared with Samsung.</v>
      </c>
      <c r="C268" s="12"/>
      <c r="D268" s="12"/>
      <c r="E268" s="12"/>
      <c r="F268" s="12"/>
      <c r="G268" s="12"/>
      <c r="H268" s="12"/>
      <c r="I268" s="12"/>
      <c r="J268" s="12"/>
    </row>
    <row r="269">
      <c r="A269">
        <f>IFERROR(__xludf.DUMMYFUNCTION("""COMPUTED_VALUE"""),381.0)</f>
        <v>381</v>
      </c>
      <c r="B269" s="12" t="str">
        <f>IFERROR(__xludf.DUMMYFUNCTION("""COMPUTED_VALUE"""),"I was feeling lazy")</f>
        <v>I was feeling lazy</v>
      </c>
      <c r="C269" s="12"/>
      <c r="D269" s="12"/>
      <c r="E269" s="12"/>
      <c r="F269" s="12"/>
      <c r="G269" s="12"/>
      <c r="H269" s="12"/>
      <c r="I269" s="12"/>
      <c r="J269" s="12"/>
    </row>
    <row r="270">
      <c r="A270">
        <f>IFERROR(__xludf.DUMMYFUNCTION("""COMPUTED_VALUE"""),382.0)</f>
        <v>382</v>
      </c>
      <c r="B270" s="12" t="str">
        <f>IFERROR(__xludf.DUMMYFUNCTION("""COMPUTED_VALUE"""),"The private data that this application was going to read, in other words, I worry about my privacy.")</f>
        <v>The private data that this application was going to read, in other words, I worry about my privacy.</v>
      </c>
      <c r="C270" s="12"/>
      <c r="D270" s="12"/>
      <c r="E270" s="12"/>
      <c r="F270" s="12"/>
      <c r="G270" s="12"/>
      <c r="H270" s="12"/>
      <c r="I270" s="12"/>
      <c r="J270" s="12"/>
    </row>
    <row r="271">
      <c r="A271">
        <f>IFERROR(__xludf.DUMMYFUNCTION("""COMPUTED_VALUE"""),383.0)</f>
        <v>383</v>
      </c>
      <c r="B271" s="12" t="str">
        <f>IFERROR(__xludf.DUMMYFUNCTION("""COMPUTED_VALUE"""),"convience")</f>
        <v>convience</v>
      </c>
      <c r="C271" s="12"/>
      <c r="D271" s="12"/>
      <c r="E271" s="12"/>
      <c r="F271" s="12"/>
      <c r="G271" s="12"/>
      <c r="H271" s="12"/>
      <c r="I271" s="12"/>
      <c r="J271" s="12"/>
    </row>
    <row r="272">
      <c r="A272">
        <f>IFERROR(__xludf.DUMMYFUNCTION("""COMPUTED_VALUE"""),384.0)</f>
        <v>384</v>
      </c>
      <c r="B272" s="12" t="str">
        <f>IFERROR(__xludf.DUMMYFUNCTION("""COMPUTED_VALUE"""),"The ease of clicking on ""google sign in"" without needing to create a new account for the website or app.")</f>
        <v>The ease of clicking on "google sign in" without needing to create a new account for the website or app.</v>
      </c>
      <c r="C272" s="12"/>
      <c r="D272" s="12"/>
      <c r="E272" s="12"/>
      <c r="F272" s="12"/>
      <c r="G272" s="12"/>
      <c r="H272" s="12"/>
      <c r="I272" s="12"/>
      <c r="J272" s="12"/>
    </row>
    <row r="273">
      <c r="A273">
        <f>IFERROR(__xludf.DUMMYFUNCTION("""COMPUTED_VALUE"""),385.0)</f>
        <v>385</v>
      </c>
      <c r="B273" s="12" t="str">
        <f>IFERROR(__xludf.DUMMYFUNCTION("""COMPUTED_VALUE"""),"I don't think there was much to consider.")</f>
        <v>I don't think there was much to consider.</v>
      </c>
      <c r="C273" s="12"/>
      <c r="D273" s="12"/>
      <c r="E273" s="12"/>
      <c r="F273" s="12"/>
      <c r="G273" s="12"/>
      <c r="H273" s="12"/>
      <c r="I273" s="12"/>
      <c r="J273" s="12"/>
    </row>
    <row r="274">
      <c r="A274">
        <f>IFERROR(__xludf.DUMMYFUNCTION("""COMPUTED_VALUE"""),386.0)</f>
        <v>386</v>
      </c>
      <c r="B274" s="12" t="str">
        <f>IFERROR(__xludf.DUMMYFUNCTION("""COMPUTED_VALUE"""),"The convenience of using Google Account")</f>
        <v>The convenience of using Google Account</v>
      </c>
      <c r="C274" s="12"/>
      <c r="D274" s="12"/>
      <c r="E274" s="12"/>
      <c r="F274" s="12"/>
      <c r="G274" s="12"/>
      <c r="H274" s="12"/>
      <c r="I274" s="12"/>
      <c r="J274" s="12"/>
    </row>
    <row r="275">
      <c r="A275">
        <f>IFERROR(__xludf.DUMMYFUNCTION("""COMPUTED_VALUE"""),387.0)</f>
        <v>387</v>
      </c>
      <c r="B275" s="12" t="str">
        <f>IFERROR(__xludf.DUMMYFUNCTION("""COMPUTED_VALUE"""),"I considered whether using my gmail account to sign in might allow Facebook to steal some information about me that I didn't want to share with facebook.")</f>
        <v>I considered whether using my gmail account to sign in might allow Facebook to steal some information about me that I didn't want to share with facebook.</v>
      </c>
      <c r="C275" s="12"/>
      <c r="D275" s="12"/>
      <c r="E275" s="12"/>
      <c r="F275" s="12"/>
      <c r="G275" s="12"/>
      <c r="H275" s="12"/>
      <c r="I275" s="12"/>
      <c r="J275" s="12"/>
    </row>
    <row r="276">
      <c r="A276">
        <f>IFERROR(__xludf.DUMMYFUNCTION("""COMPUTED_VALUE"""),388.0)</f>
        <v>388</v>
      </c>
      <c r="B276" s="12" t="str">
        <f>IFERROR(__xludf.DUMMYFUNCTION("""COMPUTED_VALUE"""),"I consider whether it'd be more convenient for me to create a regular account for the website, or whether I'd prefer to use a secondary email in the specific case (i.e. the spare email I set aside for one-off accounts I make in order to get ""membership"""&amp;" discounts on online shopping websites/apps)")</f>
        <v>I consider whether it'd be more convenient for me to create a regular account for the website, or whether I'd prefer to use a secondary email in the specific case (i.e. the spare email I set aside for one-off accounts I make in order to get "membership" discounts on online shopping websites/apps)</v>
      </c>
      <c r="C276" s="12"/>
      <c r="D276" s="12"/>
      <c r="E276" s="12"/>
      <c r="F276" s="12"/>
      <c r="G276" s="12"/>
      <c r="H276" s="12"/>
      <c r="I276" s="12"/>
      <c r="J276" s="12"/>
    </row>
    <row r="277">
      <c r="A277">
        <f>IFERROR(__xludf.DUMMYFUNCTION("""COMPUTED_VALUE"""),389.0)</f>
        <v>389</v>
      </c>
      <c r="B277" s="12" t="str">
        <f>IFERROR(__xludf.DUMMYFUNCTION("""COMPUTED_VALUE"""),"That using the Google Account Sign In was easiest")</f>
        <v>That using the Google Account Sign In was easiest</v>
      </c>
      <c r="C277" s="12"/>
      <c r="D277" s="12"/>
      <c r="E277" s="12"/>
      <c r="F277" s="12"/>
      <c r="G277" s="12"/>
      <c r="H277" s="12"/>
      <c r="I277" s="12"/>
      <c r="J277" s="12"/>
    </row>
    <row r="278">
      <c r="A278">
        <f>IFERROR(__xludf.DUMMYFUNCTION("""COMPUTED_VALUE"""),391.0)</f>
        <v>391</v>
      </c>
      <c r="B278" s="12" t="str">
        <f>IFERROR(__xludf.DUMMYFUNCTION("""COMPUTED_VALUE"""),"whether they were going to spam me with junk mail")</f>
        <v>whether they were going to spam me with junk mail</v>
      </c>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t="str">
        <f>IFERROR(__xludf.DUMMYFUNCTION("""COMPUTED_VALUE"""),"using an an alternate email")</f>
        <v>using an an alternate email</v>
      </c>
      <c r="C280" s="12"/>
      <c r="D280" s="12"/>
      <c r="E280" s="12"/>
      <c r="F280" s="12"/>
      <c r="G280" s="12"/>
      <c r="H280" s="12"/>
      <c r="I280" s="12"/>
      <c r="J280" s="12"/>
    </row>
    <row r="281">
      <c r="A281">
        <f>IFERROR(__xludf.DUMMYFUNCTION("""COMPUTED_VALUE"""),394.0)</f>
        <v>394</v>
      </c>
      <c r="B281" s="12" t="str">
        <f>IFERROR(__xludf.DUMMYFUNCTION("""COMPUTED_VALUE"""),"If I felt like making a whole new account or if it was worth sharing my account data.")</f>
        <v>If I felt like making a whole new account or if it was worth sharing my account data.</v>
      </c>
      <c r="C281" s="12"/>
      <c r="D281" s="12"/>
      <c r="E281" s="12"/>
      <c r="F281" s="12"/>
      <c r="G281" s="12"/>
      <c r="H281" s="12"/>
      <c r="I281" s="12"/>
      <c r="J281" s="12"/>
    </row>
    <row r="282">
      <c r="A282">
        <f>IFERROR(__xludf.DUMMYFUNCTION("""COMPUTED_VALUE"""),395.0)</f>
        <v>395</v>
      </c>
      <c r="B282" s="12" t="str">
        <f>IFERROR(__xludf.DUMMYFUNCTION("""COMPUTED_VALUE"""),"I considered if there was a security risk of them having my account information.")</f>
        <v>I considered if there was a security risk of them having my account information.</v>
      </c>
      <c r="C282" s="12"/>
      <c r="D282" s="12"/>
      <c r="E282" s="12"/>
      <c r="F282" s="12"/>
      <c r="G282" s="12"/>
      <c r="H282" s="12"/>
      <c r="I282" s="12"/>
      <c r="J282" s="12"/>
    </row>
    <row r="283">
      <c r="A283">
        <f>IFERROR(__xludf.DUMMYFUNCTION("""COMPUTED_VALUE"""),396.0)</f>
        <v>396</v>
      </c>
      <c r="B283" s="12" t="str">
        <f>IFERROR(__xludf.DUMMYFUNCTION("""COMPUTED_VALUE"""),"I made sure I read everything before selecting it.")</f>
        <v>I made sure I read everything before selecting it.</v>
      </c>
      <c r="C283" s="12"/>
      <c r="D283" s="12"/>
      <c r="E283" s="12"/>
      <c r="F283" s="12"/>
      <c r="G283" s="12"/>
      <c r="H283" s="12"/>
      <c r="I283" s="12"/>
      <c r="J283" s="12"/>
    </row>
    <row r="284">
      <c r="A284">
        <f>IFERROR(__xludf.DUMMYFUNCTION("""COMPUTED_VALUE"""),397.0)</f>
        <v>397</v>
      </c>
      <c r="B284" s="12" t="str">
        <f>IFERROR(__xludf.DUMMYFUNCTION("""COMPUTED_VALUE"""),"I briefly considered that it might compromise my security of my google account")</f>
        <v>I briefly considered that it might compromise my security of my google account</v>
      </c>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t="str">
        <f>IFERROR(__xludf.DUMMYFUNCTION("""COMPUTED_VALUE"""),"I consider if the login was secure")</f>
        <v>I consider if the login was secure</v>
      </c>
      <c r="C286" s="12"/>
      <c r="D286" s="12"/>
      <c r="E286" s="12"/>
      <c r="F286" s="12"/>
      <c r="G286" s="12"/>
      <c r="H286" s="12"/>
      <c r="I286" s="12"/>
      <c r="J286" s="12"/>
    </row>
    <row r="287">
      <c r="A287">
        <f>IFERROR(__xludf.DUMMYFUNCTION("""COMPUTED_VALUE"""),400.0)</f>
        <v>400</v>
      </c>
      <c r="B287" s="12" t="str">
        <f>IFERROR(__xludf.DUMMYFUNCTION("""COMPUTED_VALUE"""),"trust. will allowing to sign in this way get my account hacked.")</f>
        <v>trust. will allowing to sign in this way get my account hacked.</v>
      </c>
      <c r="C287" s="12"/>
      <c r="D287" s="12"/>
      <c r="E287" s="12"/>
      <c r="F287" s="12"/>
      <c r="G287" s="12"/>
      <c r="H287" s="12"/>
      <c r="I287" s="12"/>
      <c r="J287" s="12"/>
    </row>
    <row r="288">
      <c r="A288">
        <f>IFERROR(__xludf.DUMMYFUNCTION("""COMPUTED_VALUE"""),401.0)</f>
        <v>401</v>
      </c>
      <c r="B288" s="12" t="str">
        <f>IFERROR(__xludf.DUMMYFUNCTION("""COMPUTED_VALUE"""),"Nothing really.")</f>
        <v>Nothing really.</v>
      </c>
      <c r="C288" s="12"/>
      <c r="D288" s="12"/>
      <c r="E288" s="12"/>
      <c r="F288" s="12"/>
      <c r="G288" s="12"/>
      <c r="H288" s="12"/>
      <c r="I288" s="12"/>
      <c r="J288" s="12"/>
    </row>
    <row r="289">
      <c r="A289">
        <f>IFERROR(__xludf.DUMMYFUNCTION("""COMPUTED_VALUE"""),402.0)</f>
        <v>402</v>
      </c>
      <c r="B289" s="12" t="str">
        <f>IFERROR(__xludf.DUMMYFUNCTION("""COMPUTED_VALUE"""),"ease of use")</f>
        <v>ease of use</v>
      </c>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t="str">
        <f>IFERROR(__xludf.DUMMYFUNCTION("""COMPUTED_VALUE"""),"What type of privacy am I giving up from my Google Account?")</f>
        <v>What type of privacy am I giving up from my Google Account?</v>
      </c>
      <c r="C291" s="12"/>
      <c r="D291" s="12"/>
      <c r="E291" s="12"/>
      <c r="F291" s="12"/>
      <c r="G291" s="12"/>
      <c r="H291" s="12"/>
      <c r="I291" s="12"/>
      <c r="J291" s="12"/>
    </row>
    <row r="292">
      <c r="A292">
        <f>IFERROR(__xludf.DUMMYFUNCTION("""COMPUTED_VALUE"""),405.0)</f>
        <v>405</v>
      </c>
      <c r="B292" s="12" t="str">
        <f>IFERROR(__xludf.DUMMYFUNCTION("""COMPUTED_VALUE"""),"I think about not wanting to register for a website and make a new password.")</f>
        <v>I think about not wanting to register for a website and make a new password.</v>
      </c>
      <c r="C292" s="12"/>
      <c r="D292" s="12"/>
      <c r="E292" s="12"/>
      <c r="F292" s="12"/>
      <c r="G292" s="12"/>
      <c r="H292" s="12"/>
      <c r="I292" s="12"/>
      <c r="J292" s="12"/>
    </row>
    <row r="293">
      <c r="A293">
        <f>IFERROR(__xludf.DUMMYFUNCTION("""COMPUTED_VALUE"""),406.0)</f>
        <v>406</v>
      </c>
      <c r="B293" s="12" t="str">
        <f>IFERROR(__xludf.DUMMYFUNCTION("""COMPUTED_VALUE"""),"I considered whether or not they are a trustworthy website and if they would send me spam emails")</f>
        <v>I considered whether or not they are a trustworthy website and if they would send me spam emails</v>
      </c>
      <c r="C293" s="12"/>
      <c r="D293" s="12"/>
      <c r="E293" s="12"/>
      <c r="F293" s="12"/>
      <c r="G293" s="12"/>
      <c r="H293" s="12"/>
      <c r="I293" s="12"/>
      <c r="J293" s="12"/>
    </row>
    <row r="294">
      <c r="A294">
        <f>IFERROR(__xludf.DUMMYFUNCTION("""COMPUTED_VALUE"""),407.0)</f>
        <v>407</v>
      </c>
      <c r="B294" s="12" t="str">
        <f>IFERROR(__xludf.DUMMYFUNCTION("""COMPUTED_VALUE"""),"I considered whether or not I wanted to make a new log in information but decided it was easier to use my google account.")</f>
        <v>I considered whether or not I wanted to make a new log in information but decided it was easier to use my google account.</v>
      </c>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IFERROR(__xludf.DUMMYFUNCTION("""COMPUTED_VALUE"""),"It was safe as it is partnered with Google")</f>
        <v>It was safe as it is partnered with Google</v>
      </c>
      <c r="C296" s="12"/>
      <c r="D296" s="12"/>
      <c r="E296" s="12"/>
      <c r="F296" s="12"/>
      <c r="G296" s="12"/>
      <c r="H296" s="12"/>
      <c r="I296" s="12"/>
      <c r="J296" s="12"/>
    </row>
    <row r="297">
      <c r="A297">
        <f>IFERROR(__xludf.DUMMYFUNCTION("""COMPUTED_VALUE"""),411.0)</f>
        <v>411</v>
      </c>
      <c r="B297" s="12" t="str">
        <f>IFERROR(__xludf.DUMMYFUNCTION("""COMPUTED_VALUE"""),"What's the easiest way, the usefulness of not having to set-up an entirely new account.")</f>
        <v>What's the easiest way, the usefulness of not having to set-up an entirely new account.</v>
      </c>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IFERROR(__xludf.DUMMYFUNCTION("""COMPUTED_VALUE"""),"What kind of information would be shared with Juno")</f>
        <v>What kind of information would be shared with Juno</v>
      </c>
      <c r="C299" s="12"/>
      <c r="D299" s="12"/>
      <c r="E299" s="12"/>
      <c r="F299" s="12"/>
      <c r="G299" s="12"/>
      <c r="H299" s="12"/>
      <c r="I299" s="12"/>
      <c r="J299" s="12"/>
    </row>
    <row r="300">
      <c r="A300">
        <f>IFERROR(__xludf.DUMMYFUNCTION("""COMPUTED_VALUE"""),416.0)</f>
        <v>416</v>
      </c>
      <c r="B300" s="12" t="str">
        <f>IFERROR(__xludf.DUMMYFUNCTION("""COMPUTED_VALUE"""),"privacy issues, security of the app")</f>
        <v>privacy issues, security of the app</v>
      </c>
      <c r="C300" s="12"/>
      <c r="D300" s="12"/>
      <c r="E300" s="12"/>
      <c r="F300" s="12"/>
      <c r="G300" s="12"/>
      <c r="H300" s="12"/>
      <c r="I300" s="12"/>
      <c r="J300" s="12"/>
    </row>
    <row r="301">
      <c r="A301">
        <f>IFERROR(__xludf.DUMMYFUNCTION("""COMPUTED_VALUE"""),417.0)</f>
        <v>417</v>
      </c>
      <c r="B301" s="12" t="str">
        <f>IFERROR(__xludf.DUMMYFUNCTION("""COMPUTED_VALUE"""),"security")</f>
        <v>security</v>
      </c>
      <c r="C301" s="12"/>
      <c r="D301" s="12"/>
      <c r="E301" s="12"/>
      <c r="F301" s="12"/>
      <c r="G301" s="12"/>
      <c r="H301" s="12"/>
      <c r="I301" s="12"/>
      <c r="J301" s="12"/>
    </row>
    <row r="302">
      <c r="A302">
        <f>IFERROR(__xludf.DUMMYFUNCTION("""COMPUTED_VALUE"""),418.0)</f>
        <v>418</v>
      </c>
      <c r="B302" s="12" t="str">
        <f>IFERROR(__xludf.DUMMYFUNCTION("""COMPUTED_VALUE"""),"Convenience of not having to make a new account with new log-in info")</f>
        <v>Convenience of not having to make a new account with new log-in info</v>
      </c>
      <c r="C302" s="12"/>
      <c r="D302" s="12"/>
      <c r="E302" s="12"/>
      <c r="F302" s="12"/>
      <c r="G302" s="12"/>
      <c r="H302" s="12"/>
      <c r="I302" s="12"/>
      <c r="J302" s="12"/>
    </row>
    <row r="303">
      <c r="A303">
        <f>IFERROR(__xludf.DUMMYFUNCTION("""COMPUTED_VALUE"""),419.0)</f>
        <v>419</v>
      </c>
      <c r="B303" s="12" t="str">
        <f>IFERROR(__xludf.DUMMYFUNCTION("""COMPUTED_VALUE"""),"I didn't think much of it. When that option comes up I just click on it because it's fast and easy.")</f>
        <v>I didn't think much of it. When that option comes up I just click on it because it's fast and easy.</v>
      </c>
      <c r="C303" s="12"/>
      <c r="D303" s="12"/>
      <c r="E303" s="12"/>
      <c r="F303" s="12"/>
      <c r="G303" s="12"/>
      <c r="H303" s="12"/>
      <c r="I303" s="12"/>
      <c r="J303" s="12"/>
    </row>
    <row r="304">
      <c r="A304">
        <f>IFERROR(__xludf.DUMMYFUNCTION("""COMPUTED_VALUE"""),420.0)</f>
        <v>420</v>
      </c>
      <c r="B304" s="12" t="str">
        <f>IFERROR(__xludf.DUMMYFUNCTION("""COMPUTED_VALUE"""),"The ease of using it.")</f>
        <v>The ease of using it.</v>
      </c>
      <c r="C304" s="12"/>
      <c r="D304" s="12"/>
      <c r="E304" s="12"/>
      <c r="F304" s="12"/>
      <c r="G304" s="12"/>
      <c r="H304" s="12"/>
      <c r="I304" s="12"/>
      <c r="J304" s="12"/>
    </row>
    <row r="305">
      <c r="A305">
        <f>IFERROR(__xludf.DUMMYFUNCTION("""COMPUTED_VALUE"""),422.0)</f>
        <v>422</v>
      </c>
      <c r="B305" s="12" t="str">
        <f>IFERROR(__xludf.DUMMYFUNCTION("""COMPUTED_VALUE"""),"N/A (if it's an unfamiliar third-party app or services, I will briefly consider privacy concerns, but I need to use Zoom, so I don't mind linking my email to it)")</f>
        <v>N/A (if it's an unfamiliar third-party app or services, I will briefly consider privacy concerns, but I need to use Zoom, so I don't mind linking my email to it)</v>
      </c>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IFERROR(__xludf.DUMMYFUNCTION("""COMPUTED_VALUE"""),"nothing")</f>
        <v>nothing</v>
      </c>
      <c r="C307" s="12"/>
      <c r="D307" s="12"/>
      <c r="E307" s="12"/>
      <c r="F307" s="12"/>
      <c r="G307" s="12"/>
      <c r="H307" s="12"/>
      <c r="I307" s="12"/>
      <c r="J307" s="12"/>
    </row>
    <row r="308">
      <c r="A308">
        <f>IFERROR(__xludf.DUMMYFUNCTION("""COMPUTED_VALUE"""),426.0)</f>
        <v>426</v>
      </c>
      <c r="B308" s="12" t="str">
        <f>IFERROR(__xludf.DUMMYFUNCTION("""COMPUTED_VALUE"""),"How much information they would be able to gain from using the Google sign in")</f>
        <v>How much information they would be able to gain from using the Google sign in</v>
      </c>
      <c r="C308" s="12"/>
      <c r="D308" s="12"/>
      <c r="E308" s="12"/>
      <c r="F308" s="12"/>
      <c r="G308" s="12"/>
      <c r="H308" s="12"/>
      <c r="I308" s="12"/>
      <c r="J308" s="12"/>
    </row>
    <row r="309">
      <c r="A309">
        <f>IFERROR(__xludf.DUMMYFUNCTION("""COMPUTED_VALUE"""),427.0)</f>
        <v>427</v>
      </c>
      <c r="B309" s="12" t="str">
        <f>IFERROR(__xludf.DUMMYFUNCTION("""COMPUTED_VALUE"""),"nothing")</f>
        <v>nothing</v>
      </c>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IFERROR(__xludf.DUMMYFUNCTION("""COMPUTED_VALUE"""),"if my info would be abused or spam me with email")</f>
        <v>if my info would be abused or spam me with email</v>
      </c>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t="str">
        <f>IFERROR(__xludf.DUMMYFUNCTION("""COMPUTED_VALUE"""),"What access did it need for me to use their app.")</f>
        <v>What access did it need for me to use their app.</v>
      </c>
      <c r="C313" s="12"/>
      <c r="D313" s="12"/>
      <c r="E313" s="12"/>
      <c r="F313" s="12"/>
      <c r="G313" s="12"/>
      <c r="H313" s="12"/>
      <c r="I313" s="12"/>
      <c r="J313" s="12"/>
    </row>
    <row r="314">
      <c r="A314">
        <f>IFERROR(__xludf.DUMMYFUNCTION("""COMPUTED_VALUE"""),434.0)</f>
        <v>434</v>
      </c>
      <c r="B314" s="12" t="str">
        <f>IFERROR(__xludf.DUMMYFUNCTION("""COMPUTED_VALUE"""),"I just considered if there was any concern with the third party app having my information like name and email address.")</f>
        <v>I just considered if there was any concern with the third party app having my information like name and email address.</v>
      </c>
      <c r="C314" s="12"/>
      <c r="D314" s="12"/>
      <c r="E314" s="12"/>
      <c r="F314" s="12"/>
      <c r="G314" s="12"/>
      <c r="H314" s="12"/>
      <c r="I314" s="12"/>
      <c r="J314" s="12"/>
    </row>
    <row r="315">
      <c r="A315">
        <f>IFERROR(__xludf.DUMMYFUNCTION("""COMPUTED_VALUE"""),435.0)</f>
        <v>435</v>
      </c>
      <c r="B315" s="12" t="str">
        <f>IFERROR(__xludf.DUMMYFUNCTION("""COMPUTED_VALUE"""),"I didn't considered much I thought it was a quick way to get signed in.")</f>
        <v>I didn't considered much I thought it was a quick way to get signed in.</v>
      </c>
      <c r="C315" s="12"/>
      <c r="D315" s="12"/>
      <c r="E315" s="12"/>
      <c r="F315" s="12"/>
      <c r="G315" s="12"/>
      <c r="H315" s="12"/>
      <c r="I315" s="12"/>
      <c r="J315" s="12"/>
    </row>
    <row r="316">
      <c r="A316">
        <f>IFERROR(__xludf.DUMMYFUNCTION("""COMPUTED_VALUE"""),436.0)</f>
        <v>436</v>
      </c>
      <c r="B316" s="12" t="str">
        <f>IFERROR(__xludf.DUMMYFUNCTION("""COMPUTED_VALUE"""),"I considered using an email/password combo that wasn't my google password")</f>
        <v>I considered using an email/password combo that wasn't my google password</v>
      </c>
      <c r="C316" s="12"/>
      <c r="D316" s="12"/>
      <c r="E316" s="12"/>
      <c r="F316" s="12"/>
      <c r="G316" s="12"/>
      <c r="H316" s="12"/>
      <c r="I316" s="12"/>
      <c r="J316" s="12"/>
    </row>
    <row r="317">
      <c r="A317">
        <f>IFERROR(__xludf.DUMMYFUNCTION("""COMPUTED_VALUE"""),437.0)</f>
        <v>437</v>
      </c>
      <c r="B317" s="12" t="str">
        <f>IFERROR(__xludf.DUMMYFUNCTION("""COMPUTED_VALUE"""),"I considered how easy it would be to log in with my Google Account instead of trying to come up with a new password to just log in with my Gmail account another way. This way my Google Account would recognize the site and ask if I want to be logged in.")</f>
        <v>I considered how easy it would be to log in with my Google Account instead of trying to come up with a new password to just log in with my Gmail account another way. This way my Google Account would recognize the site and ask if I want to be logged in.</v>
      </c>
      <c r="C317" s="12"/>
      <c r="D317" s="12"/>
      <c r="E317" s="12"/>
      <c r="F317" s="12"/>
      <c r="G317" s="12"/>
      <c r="H317" s="12"/>
      <c r="I317" s="12"/>
      <c r="J317" s="12"/>
    </row>
    <row r="318">
      <c r="A318">
        <f>IFERROR(__xludf.DUMMYFUNCTION("""COMPUTED_VALUE"""),439.0)</f>
        <v>439</v>
      </c>
      <c r="B318" s="12" t="str">
        <f>IFERROR(__xludf.DUMMYFUNCTION("""COMPUTED_VALUE"""),"It seemed convenient. I didn't think about any security considerations.")</f>
        <v>It seemed convenient. I didn't think about any security considerations.</v>
      </c>
      <c r="C318" s="12"/>
      <c r="D318" s="12"/>
      <c r="E318" s="12"/>
      <c r="F318" s="12"/>
      <c r="G318" s="12"/>
      <c r="H318" s="12"/>
      <c r="I318" s="12"/>
      <c r="J318" s="12"/>
    </row>
    <row r="319">
      <c r="A319">
        <f>IFERROR(__xludf.DUMMYFUNCTION("""COMPUTED_VALUE"""),440.0)</f>
        <v>440</v>
      </c>
      <c r="B319" s="12" t="str">
        <f>IFERROR(__xludf.DUMMYFUNCTION("""COMPUTED_VALUE"""),"How trustworthy the third party app or service was")</f>
        <v>How trustworthy the third party app or service was</v>
      </c>
      <c r="C319" s="12"/>
      <c r="D319" s="12"/>
      <c r="E319" s="12"/>
      <c r="F319" s="12"/>
      <c r="G319" s="12"/>
      <c r="H319" s="12"/>
      <c r="I319" s="12"/>
      <c r="J319" s="12"/>
    </row>
    <row r="320">
      <c r="A320">
        <f>IFERROR(__xludf.DUMMYFUNCTION("""COMPUTED_VALUE"""),442.0)</f>
        <v>442</v>
      </c>
      <c r="B320" s="12" t="str">
        <f>IFERROR(__xludf.DUMMYFUNCTION("""COMPUTED_VALUE"""),"I considered whether it was safe to do.")</f>
        <v>I considered whether it was safe to do.</v>
      </c>
      <c r="C320" s="12"/>
      <c r="D320" s="12"/>
      <c r="E320" s="12"/>
      <c r="F320" s="12"/>
      <c r="G320" s="12"/>
      <c r="H320" s="12"/>
      <c r="I320" s="12"/>
      <c r="J320" s="12"/>
    </row>
    <row r="321">
      <c r="A321">
        <f>IFERROR(__xludf.DUMMYFUNCTION("""COMPUTED_VALUE"""),443.0)</f>
        <v>443</v>
      </c>
      <c r="B321" s="12" t="str">
        <f>IFERROR(__xludf.DUMMYFUNCTION("""COMPUTED_VALUE"""),"I considered the time that I would save by linking my Google Account rather than creating a separate account for that service.")</f>
        <v>I considered the time that I would save by linking my Google Account rather than creating a separate account for that service.</v>
      </c>
      <c r="C321" s="12"/>
      <c r="D321" s="12"/>
      <c r="E321" s="12"/>
      <c r="F321" s="12"/>
      <c r="G321" s="12"/>
      <c r="H321" s="12"/>
      <c r="I321" s="12"/>
      <c r="J321" s="12"/>
    </row>
    <row r="322">
      <c r="A322">
        <f>IFERROR(__xludf.DUMMYFUNCTION("""COMPUTED_VALUE"""),444.0)</f>
        <v>444</v>
      </c>
      <c r="B322" s="12" t="str">
        <f>IFERROR(__xludf.DUMMYFUNCTION("""COMPUTED_VALUE"""),"I considered whether I wanted my real name attached to an account, or if I preferred to stay anonymous and make an account with the website itself.")</f>
        <v>I considered whether I wanted my real name attached to an account, or if I preferred to stay anonymous and make an account with the website itself.</v>
      </c>
      <c r="C322" s="12"/>
      <c r="D322" s="12"/>
      <c r="E322" s="12"/>
      <c r="F322" s="12"/>
      <c r="G322" s="12"/>
      <c r="H322" s="12"/>
      <c r="I322" s="12"/>
      <c r="J322" s="12"/>
    </row>
    <row r="323">
      <c r="A323">
        <f>IFERROR(__xludf.DUMMYFUNCTION("""COMPUTED_VALUE"""),445.0)</f>
        <v>445</v>
      </c>
      <c r="B323" s="12" t="str">
        <f>IFERROR(__xludf.DUMMYFUNCTION("""COMPUTED_VALUE"""),"I consider whether I am more interested in privacy or convenience for a particular website")</f>
        <v>I consider whether I am more interested in privacy or convenience for a particular website</v>
      </c>
      <c r="C323" s="12"/>
      <c r="D323" s="12"/>
      <c r="E323" s="12"/>
      <c r="F323" s="12"/>
      <c r="G323" s="12"/>
      <c r="H323" s="12"/>
      <c r="I323" s="12"/>
      <c r="J323" s="12"/>
    </row>
    <row r="324">
      <c r="A324">
        <f>IFERROR(__xludf.DUMMYFUNCTION("""COMPUTED_VALUE"""),449.0)</f>
        <v>449</v>
      </c>
      <c r="B324" s="12" t="str">
        <f>IFERROR(__xludf.DUMMYFUNCTION("""COMPUTED_VALUE"""),"nothing, it's easier that way")</f>
        <v>nothing, it's easier that way</v>
      </c>
      <c r="C324" s="12"/>
      <c r="D324" s="12"/>
      <c r="E324" s="12"/>
      <c r="F324" s="12"/>
      <c r="G324" s="12"/>
      <c r="H324" s="12"/>
      <c r="I324" s="12"/>
      <c r="J324" s="12"/>
    </row>
    <row r="325">
      <c r="A325">
        <f>IFERROR(__xludf.DUMMYFUNCTION("""COMPUTED_VALUE"""),450.0)</f>
        <v>450</v>
      </c>
      <c r="B325" s="12" t="str">
        <f>IFERROR(__xludf.DUMMYFUNCTION("""COMPUTED_VALUE"""),"I was considering if I wanted to use my main Google account or my secondary one.")</f>
        <v>I was considering if I wanted to use my main Google account or my secondary one.</v>
      </c>
      <c r="C325" s="12"/>
      <c r="D325" s="12"/>
      <c r="E325" s="12"/>
      <c r="F325" s="12"/>
      <c r="G325" s="12"/>
      <c r="H325" s="12"/>
      <c r="I325" s="12"/>
      <c r="J325" s="12"/>
    </row>
    <row r="326">
      <c r="A326">
        <f>IFERROR(__xludf.DUMMYFUNCTION("""COMPUTED_VALUE"""),451.0)</f>
        <v>451</v>
      </c>
      <c r="B326" s="12" t="str">
        <f>IFERROR(__xludf.DUMMYFUNCTION("""COMPUTED_VALUE"""),"I considered that it was a trustworthy website.")</f>
        <v>I considered that it was a trustworthy website.</v>
      </c>
      <c r="C326" s="12"/>
      <c r="D326" s="12"/>
      <c r="E326" s="12"/>
      <c r="F326" s="12"/>
      <c r="G326" s="12"/>
      <c r="H326" s="12"/>
      <c r="I326" s="12"/>
      <c r="J326" s="12"/>
    </row>
    <row r="327">
      <c r="A327">
        <f>IFERROR(__xludf.DUMMYFUNCTION("""COMPUTED_VALUE"""),454.0)</f>
        <v>454</v>
      </c>
      <c r="B327" s="12" t="str">
        <f>IFERROR(__xludf.DUMMYFUNCTION("""COMPUTED_VALUE"""),"if it would be faster and more convenient than logging in")</f>
        <v>if it would be faster and more convenient than logging in</v>
      </c>
      <c r="C327" s="12"/>
      <c r="D327" s="12"/>
      <c r="E327" s="12"/>
      <c r="F327" s="12"/>
      <c r="G327" s="12"/>
      <c r="H327" s="12"/>
      <c r="I327" s="12"/>
      <c r="J327" s="12"/>
    </row>
    <row r="328">
      <c r="A328">
        <f>IFERROR(__xludf.DUMMYFUNCTION("""COMPUTED_VALUE"""),455.0)</f>
        <v>455</v>
      </c>
      <c r="B328" s="12" t="str">
        <f>IFERROR(__xludf.DUMMYFUNCTION("""COMPUTED_VALUE"""),"I had to remember whether I'd signed up using my Google account or using my Facebook account")</f>
        <v>I had to remember whether I'd signed up using my Google account or using my Facebook account</v>
      </c>
      <c r="C328" s="12"/>
      <c r="D328" s="12"/>
      <c r="E328" s="12"/>
      <c r="F328" s="12"/>
      <c r="G328" s="12"/>
      <c r="H328" s="12"/>
      <c r="I328" s="12"/>
      <c r="J328" s="12"/>
    </row>
    <row r="329">
      <c r="A329">
        <f>IFERROR(__xludf.DUMMYFUNCTION("""COMPUTED_VALUE"""),456.0)</f>
        <v>456</v>
      </c>
      <c r="B329" s="12" t="str">
        <f>IFERROR(__xludf.DUMMYFUNCTION("""COMPUTED_VALUE"""),"i didn't think of anything when i used it")</f>
        <v>i didn't think of anything when i used it</v>
      </c>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t="str">
        <f>IFERROR(__xludf.DUMMYFUNCTION("""COMPUTED_VALUE"""),"The dread that comes with Google selling my information")</f>
        <v>The dread that comes with Google selling my information</v>
      </c>
      <c r="C331" s="12"/>
      <c r="D331" s="12"/>
      <c r="E331" s="12"/>
      <c r="F331" s="12"/>
      <c r="G331" s="12"/>
      <c r="H331" s="12"/>
      <c r="I331" s="12"/>
      <c r="J331" s="12"/>
    </row>
    <row r="332">
      <c r="A332">
        <f>IFERROR(__xludf.DUMMYFUNCTION("""COMPUTED_VALUE"""),461.0)</f>
        <v>461</v>
      </c>
      <c r="B332" s="12" t="str">
        <f>IFERROR(__xludf.DUMMYFUNCTION("""COMPUTED_VALUE"""),"whether it would be more secure to sign in directly with the app using a new password")</f>
        <v>whether it would be more secure to sign in directly with the app using a new password</v>
      </c>
      <c r="C332" s="12"/>
      <c r="D332" s="12"/>
      <c r="E332" s="12"/>
      <c r="F332" s="12"/>
      <c r="G332" s="12"/>
      <c r="H332" s="12"/>
      <c r="I332" s="12"/>
      <c r="J332" s="12"/>
    </row>
    <row r="333">
      <c r="A333">
        <f>IFERROR(__xludf.DUMMYFUNCTION("""COMPUTED_VALUE"""),462.0)</f>
        <v>462</v>
      </c>
      <c r="B333" s="12" t="str">
        <f>IFERROR(__xludf.DUMMYFUNCTION("""COMPUTED_VALUE"""),"Nothing because I know it's safe")</f>
        <v>Nothing because I know it's safe</v>
      </c>
      <c r="C333" s="12"/>
      <c r="D333" s="12"/>
      <c r="E333" s="12"/>
      <c r="F333" s="12"/>
      <c r="G333" s="12"/>
      <c r="H333" s="12"/>
      <c r="I333" s="12"/>
      <c r="J333" s="12"/>
    </row>
    <row r="334">
      <c r="A334">
        <f>IFERROR(__xludf.DUMMYFUNCTION("""COMPUTED_VALUE"""),463.0)</f>
        <v>463</v>
      </c>
      <c r="B334" s="12" t="str">
        <f>IFERROR(__xludf.DUMMYFUNCTION("""COMPUTED_VALUE"""),"If I should link the account or just put in the email.")</f>
        <v>If I should link the account or just put in the email.</v>
      </c>
      <c r="C334" s="12"/>
      <c r="D334" s="12"/>
      <c r="E334" s="12"/>
      <c r="F334" s="12"/>
      <c r="G334" s="12"/>
      <c r="H334" s="12"/>
      <c r="I334" s="12"/>
      <c r="J334" s="12"/>
    </row>
    <row r="335">
      <c r="A335">
        <f>IFERROR(__xludf.DUMMYFUNCTION("""COMPUTED_VALUE"""),464.0)</f>
        <v>464</v>
      </c>
      <c r="B335" s="12" t="str">
        <f>IFERROR(__xludf.DUMMYFUNCTION("""COMPUTED_VALUE"""),"I was considering if I use my Gmail to login or my Facebook account.")</f>
        <v>I was considering if I use my Gmail to login or my Facebook account.</v>
      </c>
      <c r="C335" s="12"/>
      <c r="D335" s="12"/>
      <c r="E335" s="12"/>
      <c r="F335" s="12"/>
      <c r="G335" s="12"/>
      <c r="H335" s="12"/>
      <c r="I335" s="12"/>
      <c r="J335" s="12"/>
    </row>
    <row r="336">
      <c r="A336">
        <f>IFERROR(__xludf.DUMMYFUNCTION("""COMPUTED_VALUE"""),465.0)</f>
        <v>465</v>
      </c>
      <c r="B336" s="12" t="str">
        <f>IFERROR(__xludf.DUMMYFUNCTION("""COMPUTED_VALUE"""),"Absolutely nothing. I just signed in")</f>
        <v>Absolutely nothing. I just signed in</v>
      </c>
      <c r="C336" s="12"/>
      <c r="D336" s="12"/>
      <c r="E336" s="12"/>
      <c r="F336" s="12"/>
      <c r="G336" s="12"/>
      <c r="H336" s="12"/>
      <c r="I336" s="12"/>
      <c r="J336" s="12"/>
    </row>
    <row r="337">
      <c r="A337">
        <f>IFERROR(__xludf.DUMMYFUNCTION("""COMPUTED_VALUE"""),466.0)</f>
        <v>466</v>
      </c>
      <c r="B337" s="12" t="str">
        <f>IFERROR(__xludf.DUMMYFUNCTION("""COMPUTED_VALUE"""),"if my own handle would be better")</f>
        <v>if my own handle would be better</v>
      </c>
      <c r="C337" s="12"/>
      <c r="D337" s="12"/>
      <c r="E337" s="12"/>
      <c r="F337" s="12"/>
      <c r="G337" s="12"/>
      <c r="H337" s="12"/>
      <c r="I337" s="12"/>
      <c r="J337" s="12"/>
    </row>
    <row r="338">
      <c r="A338">
        <f>IFERROR(__xludf.DUMMYFUNCTION("""COMPUTED_VALUE"""),468.0)</f>
        <v>468</v>
      </c>
      <c r="B338" s="12" t="str">
        <f>IFERROR(__xludf.DUMMYFUNCTION("""COMPUTED_VALUE"""),"I considered the trustworthiness of the developers and the risk of getting spammed.")</f>
        <v>I considered the trustworthiness of the developers and the risk of getting spammed.</v>
      </c>
      <c r="C338" s="12"/>
      <c r="D338" s="12"/>
      <c r="E338" s="12"/>
      <c r="F338" s="12"/>
      <c r="G338" s="12"/>
      <c r="H338" s="12"/>
      <c r="I338" s="12"/>
      <c r="J338" s="12"/>
    </row>
    <row r="339">
      <c r="A339">
        <f>IFERROR(__xludf.DUMMYFUNCTION("""COMPUTED_VALUE"""),469.0)</f>
        <v>469</v>
      </c>
      <c r="B339" s="12" t="str">
        <f>IFERROR(__xludf.DUMMYFUNCTION("""COMPUTED_VALUE"""),"Nothing, I did it without any consideration besides the fact that it'd make it easier to play the game. As long as a site doesn't ask for my password directly, I trust Google's sign-in process.")</f>
        <v>Nothing, I did it without any consideration besides the fact that it'd make it easier to play the game. As long as a site doesn't ask for my password directly, I trust Google's sign-in process.</v>
      </c>
      <c r="C339" s="12"/>
      <c r="D339" s="12"/>
      <c r="E339" s="12"/>
      <c r="F339" s="12"/>
      <c r="G339" s="12"/>
      <c r="H339" s="12"/>
      <c r="I339" s="12"/>
      <c r="J339" s="12"/>
    </row>
    <row r="340">
      <c r="A340">
        <f>IFERROR(__xludf.DUMMYFUNCTION("""COMPUTED_VALUE"""),470.0)</f>
        <v>470</v>
      </c>
      <c r="B340" s="12" t="str">
        <f>IFERROR(__xludf.DUMMYFUNCTION("""COMPUTED_VALUE"""),"I preferred to sign in through Facebook, but Facebook sign-up wasn't working.")</f>
        <v>I preferred to sign in through Facebook, but Facebook sign-up wasn't working.</v>
      </c>
      <c r="C340" s="12"/>
      <c r="D340" s="12"/>
      <c r="E340" s="12"/>
      <c r="F340" s="12"/>
      <c r="G340" s="12"/>
      <c r="H340" s="12"/>
      <c r="I340" s="12"/>
      <c r="J340" s="12"/>
    </row>
    <row r="341">
      <c r="A341">
        <f>IFERROR(__xludf.DUMMYFUNCTION("""COMPUTED_VALUE"""),471.0)</f>
        <v>471</v>
      </c>
      <c r="B341" s="12" t="str">
        <f>IFERROR(__xludf.DUMMYFUNCTION("""COMPUTED_VALUE"""),"Simplicity of having everything being connected to one account. It keeps everything consistent.")</f>
        <v>Simplicity of having everything being connected to one account. It keeps everything consistent.</v>
      </c>
      <c r="C341" s="12"/>
      <c r="D341" s="12"/>
      <c r="E341" s="12"/>
      <c r="F341" s="12"/>
      <c r="G341" s="12"/>
      <c r="H341" s="12"/>
      <c r="I341" s="12"/>
      <c r="J341" s="12"/>
    </row>
    <row r="342">
      <c r="A342">
        <f>IFERROR(__xludf.DUMMYFUNCTION("""COMPUTED_VALUE"""),474.0)</f>
        <v>474</v>
      </c>
      <c r="B342" s="12" t="str">
        <f>IFERROR(__xludf.DUMMYFUNCTION("""COMPUTED_VALUE"""),"privacy")</f>
        <v>privacy</v>
      </c>
      <c r="C342" s="12"/>
      <c r="D342" s="12"/>
      <c r="E342" s="12"/>
      <c r="F342" s="12"/>
      <c r="G342" s="12"/>
      <c r="H342" s="12"/>
      <c r="I342" s="12"/>
      <c r="J342" s="12"/>
    </row>
    <row r="343">
      <c r="A343">
        <f>IFERROR(__xludf.DUMMYFUNCTION("""COMPUTED_VALUE"""),475.0)</f>
        <v>475</v>
      </c>
      <c r="B343" s="12" t="str">
        <f>IFERROR(__xludf.DUMMYFUNCTION("""COMPUTED_VALUE"""),"How my information will be used by the app and whether I will receive more emails because of it.")</f>
        <v>How my information will be used by the app and whether I will receive more emails because of it.</v>
      </c>
      <c r="C343" s="12"/>
      <c r="D343" s="12"/>
      <c r="E343" s="12"/>
      <c r="F343" s="12"/>
      <c r="G343" s="12"/>
      <c r="H343" s="12"/>
      <c r="I343" s="12"/>
      <c r="J343" s="12"/>
    </row>
    <row r="344">
      <c r="A344">
        <f>IFERROR(__xludf.DUMMYFUNCTION("""COMPUTED_VALUE"""),476.0)</f>
        <v>476</v>
      </c>
      <c r="B344" s="12" t="str">
        <f>IFERROR(__xludf.DUMMYFUNCTION("""COMPUTED_VALUE"""),"i considered my privacy but because twitter is a very mainstream service, I consider it secure.")</f>
        <v>i considered my privacy but because twitter is a very mainstream service, I consider it secure.</v>
      </c>
      <c r="C344" s="12"/>
      <c r="D344" s="12"/>
      <c r="E344" s="12"/>
      <c r="F344" s="12"/>
      <c r="G344" s="12"/>
      <c r="H344" s="12"/>
      <c r="I344" s="12"/>
      <c r="J344" s="12"/>
    </row>
    <row r="345">
      <c r="A345">
        <f>IFERROR(__xludf.DUMMYFUNCTION("""COMPUTED_VALUE"""),477.0)</f>
        <v>477</v>
      </c>
      <c r="B345" s="12" t="str">
        <f>IFERROR(__xludf.DUMMYFUNCTION("""COMPUTED_VALUE"""),"storing password")</f>
        <v>storing password</v>
      </c>
      <c r="C345" s="12"/>
      <c r="D345" s="12"/>
      <c r="E345" s="12"/>
      <c r="F345" s="12"/>
      <c r="G345" s="12"/>
      <c r="H345" s="12"/>
      <c r="I345" s="12"/>
      <c r="J345" s="12"/>
    </row>
    <row r="346">
      <c r="A346">
        <f>IFERROR(__xludf.DUMMYFUNCTION("""COMPUTED_VALUE"""),479.0)</f>
        <v>479</v>
      </c>
      <c r="B346" s="12" t="str">
        <f>IFERROR(__xludf.DUMMYFUNCTION("""COMPUTED_VALUE"""),"I considered what information will be shared between my Google account and my spotify account.")</f>
        <v>I considered what information will be shared between my Google account and my spotify account.</v>
      </c>
      <c r="C346" s="12"/>
      <c r="D346" s="12"/>
      <c r="E346" s="12"/>
      <c r="F346" s="12"/>
      <c r="G346" s="12"/>
      <c r="H346" s="12"/>
      <c r="I346" s="12"/>
      <c r="J346" s="12"/>
    </row>
    <row r="347">
      <c r="A347">
        <f>IFERROR(__xludf.DUMMYFUNCTION("""COMPUTED_VALUE"""),480.0)</f>
        <v>480</v>
      </c>
      <c r="B347" s="12" t="str">
        <f>IFERROR(__xludf.DUMMYFUNCTION("""COMPUTED_VALUE"""),"I feel like it's a safer and less intrusive sign in action than signing in with Facebook, which has loads of personal information.")</f>
        <v>I feel like it's a safer and less intrusive sign in action than signing in with Facebook, which has loads of personal information.</v>
      </c>
      <c r="C347" s="12"/>
      <c r="D347" s="12"/>
      <c r="E347" s="12"/>
      <c r="F347" s="12"/>
      <c r="G347" s="12"/>
      <c r="H347" s="12"/>
      <c r="I347" s="12"/>
      <c r="J347" s="12"/>
    </row>
    <row r="348">
      <c r="A348">
        <f>IFERROR(__xludf.DUMMYFUNCTION("""COMPUTED_VALUE"""),483.0)</f>
        <v>483</v>
      </c>
      <c r="B348" s="12" t="str">
        <f>IFERROR(__xludf.DUMMYFUNCTION("""COMPUTED_VALUE"""),"I also thought about using the facebook option since I think I had used that in the past too")</f>
        <v>I also thought about using the facebook option since I think I had used that in the past too</v>
      </c>
      <c r="C348" s="12"/>
      <c r="D348" s="12"/>
      <c r="E348" s="12"/>
      <c r="F348" s="12"/>
      <c r="G348" s="12"/>
      <c r="H348" s="12"/>
      <c r="I348" s="12"/>
      <c r="J348" s="12"/>
    </row>
    <row r="349">
      <c r="A349">
        <f>IFERROR(__xludf.DUMMYFUNCTION("""COMPUTED_VALUE"""),484.0)</f>
        <v>484</v>
      </c>
      <c r="B349" s="12" t="str">
        <f>IFERROR(__xludf.DUMMYFUNCTION("""COMPUTED_VALUE"""),"I considered if I really wanted to make an account to see the items I wanted to view or if I wanted to view it just the one time.")</f>
        <v>I considered if I really wanted to make an account to see the items I wanted to view or if I wanted to view it just the one time.</v>
      </c>
      <c r="C349" s="12"/>
      <c r="D349" s="12"/>
      <c r="E349" s="12"/>
      <c r="F349" s="12"/>
      <c r="G349" s="12"/>
      <c r="H349" s="12"/>
      <c r="I349" s="12"/>
      <c r="J349" s="12"/>
    </row>
    <row r="350">
      <c r="A350">
        <f>IFERROR(__xludf.DUMMYFUNCTION("""COMPUTED_VALUE"""),485.0)</f>
        <v>485</v>
      </c>
      <c r="B350" s="12" t="str">
        <f>IFERROR(__xludf.DUMMYFUNCTION("""COMPUTED_VALUE"""),"I was worried that any additional information irrelevant to the service I was using for was going to be utilized for purposes beyond what was intended. Such as access to my contacts and stuff I am interested in.")</f>
        <v>I was worried that any additional information irrelevant to the service I was using for was going to be utilized for purposes beyond what was intended. Such as access to my contacts and stuff I am interested in.</v>
      </c>
      <c r="C350" s="12"/>
      <c r="D350" s="12"/>
      <c r="E350" s="12"/>
      <c r="F350" s="12"/>
      <c r="G350" s="12"/>
      <c r="H350" s="12"/>
      <c r="I350" s="12"/>
      <c r="J350" s="12"/>
    </row>
    <row r="351">
      <c r="A351">
        <f>IFERROR(__xludf.DUMMYFUNCTION("""COMPUTED_VALUE"""),486.0)</f>
        <v>486</v>
      </c>
      <c r="B351" s="12" t="str">
        <f>IFERROR(__xludf.DUMMYFUNCTION("""COMPUTED_VALUE"""),"I may have wondered whether or not it was safe.")</f>
        <v>I may have wondered whether or not it was safe.</v>
      </c>
      <c r="C351" s="12"/>
      <c r="D351" s="12"/>
      <c r="E351" s="12"/>
      <c r="F351" s="12"/>
      <c r="G351" s="12"/>
      <c r="H351" s="12"/>
      <c r="I351" s="12"/>
      <c r="J351" s="12"/>
    </row>
    <row r="352">
      <c r="A352">
        <f>IFERROR(__xludf.DUMMYFUNCTION("""COMPUTED_VALUE"""),487.0)</f>
        <v>487</v>
      </c>
      <c r="B352" s="12" t="str">
        <f>IFERROR(__xludf.DUMMYFUNCTION("""COMPUTED_VALUE"""),"Whether I wanted to start up a new account and password to access this online news source and be able to comment, and also whether I wanted to access it through apple or google or whatever others options available.")</f>
        <v>Whether I wanted to start up a new account and password to access this online news source and be able to comment, and also whether I wanted to access it through apple or google or whatever others options available.</v>
      </c>
      <c r="C352" s="12"/>
      <c r="D352" s="12"/>
      <c r="E352" s="12"/>
      <c r="F352" s="12"/>
      <c r="G352" s="12"/>
      <c r="H352" s="12"/>
      <c r="I352" s="12"/>
      <c r="J352" s="12"/>
    </row>
    <row r="353">
      <c r="A353">
        <f>IFERROR(__xludf.DUMMYFUNCTION("""COMPUTED_VALUE"""),488.0)</f>
        <v>488</v>
      </c>
      <c r="B353" s="12" t="str">
        <f>IFERROR(__xludf.DUMMYFUNCTION("""COMPUTED_VALUE"""),"Using traditional email/password login.")</f>
        <v>Using traditional email/password login.</v>
      </c>
      <c r="C353" s="12"/>
      <c r="D353" s="12"/>
      <c r="E353" s="12"/>
      <c r="F353" s="12"/>
      <c r="G353" s="12"/>
      <c r="H353" s="12"/>
      <c r="I353" s="12"/>
      <c r="J353" s="12"/>
    </row>
    <row r="354">
      <c r="A354">
        <f>IFERROR(__xludf.DUMMYFUNCTION("""COMPUTED_VALUE"""),489.0)</f>
        <v>489</v>
      </c>
      <c r="B354" s="12" t="str">
        <f>IFERROR(__xludf.DUMMYFUNCTION("""COMPUTED_VALUE"""),"I considered whether the company would be trustworthy with my data. Since the game is well known, I decided it is okay.")</f>
        <v>I considered whether the company would be trustworthy with my data. Since the game is well known, I decided it is okay.</v>
      </c>
      <c r="C354" s="12"/>
      <c r="D354" s="12"/>
      <c r="E354" s="12"/>
      <c r="F354" s="12"/>
      <c r="G354" s="12"/>
      <c r="H354" s="12"/>
      <c r="I354" s="12"/>
      <c r="J354" s="12"/>
    </row>
    <row r="355">
      <c r="A355">
        <f>IFERROR(__xludf.DUMMYFUNCTION("""COMPUTED_VALUE"""),490.0)</f>
        <v>490</v>
      </c>
      <c r="B355" s="12" t="str">
        <f>IFERROR(__xludf.DUMMYFUNCTION("""COMPUTED_VALUE"""),"I thought about what website I was using and how trustworthy it is.")</f>
        <v>I thought about what website I was using and how trustworthy it is.</v>
      </c>
      <c r="C355" s="12"/>
      <c r="D355" s="12"/>
      <c r="E355" s="12"/>
      <c r="F355" s="12"/>
      <c r="G355" s="12"/>
      <c r="H355" s="12"/>
      <c r="I355" s="12"/>
      <c r="J355" s="12"/>
    </row>
    <row r="356">
      <c r="A356">
        <f>IFERROR(__xludf.DUMMYFUNCTION("""COMPUTED_VALUE"""),491.0)</f>
        <v>491</v>
      </c>
      <c r="B356" s="12" t="str">
        <f>IFERROR(__xludf.DUMMYFUNCTION("""COMPUTED_VALUE"""),"Whether or not I wanted the abundance of emails I would get after allowing that site to have access to my email address.")</f>
        <v>Whether or not I wanted the abundance of emails I would get after allowing that site to have access to my email address.</v>
      </c>
      <c r="C356" s="12"/>
      <c r="D356" s="12"/>
      <c r="E356" s="12"/>
      <c r="F356" s="12"/>
      <c r="G356" s="12"/>
      <c r="H356" s="12"/>
      <c r="I356" s="12"/>
      <c r="J356" s="12"/>
    </row>
    <row r="357">
      <c r="A357">
        <f>IFERROR(__xludf.DUMMYFUNCTION("""COMPUTED_VALUE"""),493.0)</f>
        <v>493</v>
      </c>
      <c r="B357" s="12" t="str">
        <f>IFERROR(__xludf.DUMMYFUNCTION("""COMPUTED_VALUE"""),"I considered using Facebook instead")</f>
        <v>I considered using Facebook instead</v>
      </c>
      <c r="C357" s="12"/>
      <c r="D357" s="12"/>
      <c r="E357" s="12"/>
      <c r="F357" s="12"/>
      <c r="G357" s="12"/>
      <c r="H357" s="12"/>
      <c r="I357" s="12"/>
      <c r="J357" s="12"/>
    </row>
    <row r="358">
      <c r="A358">
        <f>IFERROR(__xludf.DUMMYFUNCTION("""COMPUTED_VALUE"""),496.0)</f>
        <v>496</v>
      </c>
      <c r="B358" s="12" t="str">
        <f>IFERROR(__xludf.DUMMYFUNCTION("""COMPUTED_VALUE"""),"I considered if I should use my personal gmail account or one of my work issued accounts instead.")</f>
        <v>I considered if I should use my personal gmail account or one of my work issued accounts instead.</v>
      </c>
      <c r="C358" s="12"/>
      <c r="D358" s="12"/>
      <c r="E358" s="12"/>
      <c r="F358" s="12"/>
      <c r="G358" s="12"/>
      <c r="H358" s="12"/>
      <c r="I358" s="12"/>
      <c r="J358" s="12"/>
    </row>
    <row r="359">
      <c r="A359">
        <f>IFERROR(__xludf.DUMMYFUNCTION("""COMPUTED_VALUE"""),497.0)</f>
        <v>497</v>
      </c>
      <c r="B359" s="12" t="str">
        <f>IFERROR(__xludf.DUMMYFUNCTION("""COMPUTED_VALUE"""),"nothing")</f>
        <v>nothing</v>
      </c>
      <c r="C359" s="12"/>
      <c r="D359" s="12"/>
      <c r="E359" s="12"/>
      <c r="F359" s="12"/>
      <c r="G359" s="12"/>
      <c r="H359" s="12"/>
      <c r="I359" s="12"/>
      <c r="J359" s="12"/>
    </row>
    <row r="360">
      <c r="A360">
        <f>IFERROR(__xludf.DUMMYFUNCTION("""COMPUTED_VALUE"""),498.0)</f>
        <v>498</v>
      </c>
      <c r="B360" s="12" t="str">
        <f>IFERROR(__xludf.DUMMYFUNCTION("""COMPUTED_VALUE"""),"I don't think I really considered much, besides that it would be quicker to sign in with Google than to create a whole Etsy account by putting in my email and information.")</f>
        <v>I don't think I really considered much, besides that it would be quicker to sign in with Google than to create a whole Etsy account by putting in my email and information.</v>
      </c>
      <c r="C360" s="12"/>
      <c r="D360" s="12"/>
      <c r="E360" s="12"/>
      <c r="F360" s="12"/>
      <c r="G360" s="12"/>
      <c r="H360" s="12"/>
      <c r="I360" s="12"/>
      <c r="J360" s="12"/>
    </row>
    <row r="361">
      <c r="A361">
        <f>IFERROR(__xludf.DUMMYFUNCTION("""COMPUTED_VALUE"""),499.0)</f>
        <v>499</v>
      </c>
      <c r="B361" s="12" t="str">
        <f>IFERROR(__xludf.DUMMYFUNCTION("""COMPUTED_VALUE"""),"What information I would be allowing the third-party to see")</f>
        <v>What information I would be allowing the third-party to see</v>
      </c>
      <c r="C361" s="12"/>
      <c r="D361" s="12"/>
      <c r="E361" s="12"/>
      <c r="F361" s="12"/>
      <c r="G361" s="12"/>
      <c r="H361" s="12"/>
      <c r="I361" s="12"/>
      <c r="J361" s="12"/>
    </row>
    <row r="362">
      <c r="A362">
        <f>IFERROR(__xludf.DUMMYFUNCTION("""COMPUTED_VALUE"""),501.0)</f>
        <v>501</v>
      </c>
      <c r="B362" s="12" t="str">
        <f>IFERROR(__xludf.DUMMYFUNCTION("""COMPUTED_VALUE"""),"nothing")</f>
        <v>nothing</v>
      </c>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t="str">
        <f>IFERROR(__xludf.DUMMYFUNCTION("""COMPUTED_VALUE"""),"Honestly, I considered that I would not have to remember my passoword.")</f>
        <v>Honestly, I considered that I would not have to remember my passoword.</v>
      </c>
      <c r="C364" s="12"/>
      <c r="D364" s="12"/>
      <c r="E364" s="12"/>
      <c r="F364" s="12"/>
      <c r="G364" s="12"/>
      <c r="H364" s="12"/>
      <c r="I364" s="12"/>
      <c r="J364" s="12"/>
    </row>
    <row r="365">
      <c r="A365">
        <f>IFERROR(__xludf.DUMMYFUNCTION("""COMPUTED_VALUE"""),504.0)</f>
        <v>504</v>
      </c>
      <c r="B365" s="12" t="str">
        <f>IFERROR(__xludf.DUMMYFUNCTION("""COMPUTED_VALUE"""),"I considered creating a login specifically for Instacart.")</f>
        <v>I considered creating a login specifically for Instacart.</v>
      </c>
      <c r="C365" s="12"/>
      <c r="D365" s="12"/>
      <c r="E365" s="12"/>
      <c r="F365" s="12"/>
      <c r="G365" s="12"/>
      <c r="H365" s="12"/>
      <c r="I365" s="12"/>
      <c r="J365" s="12"/>
    </row>
    <row r="366">
      <c r="A366">
        <f>IFERROR(__xludf.DUMMYFUNCTION("""COMPUTED_VALUE"""),505.0)</f>
        <v>505</v>
      </c>
      <c r="B366" s="12" t="str">
        <f>IFERROR(__xludf.DUMMYFUNCTION("""COMPUTED_VALUE"""),"I always check to see what permissions that a third-party service is gaining access to.")</f>
        <v>I always check to see what permissions that a third-party service is gaining access to.</v>
      </c>
      <c r="C366" s="12"/>
      <c r="D366" s="12"/>
      <c r="E366" s="12"/>
      <c r="F366" s="12"/>
      <c r="G366" s="12"/>
      <c r="H366" s="12"/>
      <c r="I366" s="12"/>
      <c r="J366" s="12"/>
    </row>
    <row r="367">
      <c r="A367">
        <f>IFERROR(__xludf.DUMMYFUNCTION("""COMPUTED_VALUE"""),507.0)</f>
        <v>507</v>
      </c>
      <c r="B367" s="12" t="str">
        <f>IFERROR(__xludf.DUMMYFUNCTION("""COMPUTED_VALUE"""),"I considered the fact that I may want to stop using Google services one day and that there's no way to unlink my google account from the service.")</f>
        <v>I considered the fact that I may want to stop using Google services one day and that there's no way to unlink my google account from the service.</v>
      </c>
      <c r="C367" s="12"/>
      <c r="D367" s="12"/>
      <c r="E367" s="12"/>
      <c r="F367" s="12"/>
      <c r="G367" s="12"/>
      <c r="H367" s="12"/>
      <c r="I367" s="12"/>
      <c r="J367" s="12"/>
    </row>
    <row r="368">
      <c r="A368">
        <f>IFERROR(__xludf.DUMMYFUNCTION("""COMPUTED_VALUE"""),508.0)</f>
        <v>508</v>
      </c>
      <c r="B368" s="12" t="str">
        <f>IFERROR(__xludf.DUMMYFUNCTION("""COMPUTED_VALUE"""),"Whether the app would send me a bunch of emails")</f>
        <v>Whether the app would send me a bunch of emails</v>
      </c>
      <c r="C368" s="12"/>
      <c r="D368" s="12"/>
      <c r="E368" s="12"/>
      <c r="F368" s="12"/>
      <c r="G368" s="12"/>
      <c r="H368" s="12"/>
      <c r="I368" s="12"/>
      <c r="J368" s="12"/>
    </row>
    <row r="369">
      <c r="A369">
        <f>IFERROR(__xludf.DUMMYFUNCTION("""COMPUTED_VALUE"""),509.0)</f>
        <v>509</v>
      </c>
      <c r="B369" s="12" t="str">
        <f>IFERROR(__xludf.DUMMYFUNCTION("""COMPUTED_VALUE"""),"Do i already have a seperate account that isn't tied to a google account? Is this site important enough to me to warrant a separate-from-google account?")</f>
        <v>Do i already have a seperate account that isn't tied to a google account? Is this site important enough to me to warrant a separate-from-google account?</v>
      </c>
      <c r="C369" s="12"/>
      <c r="D369" s="12"/>
      <c r="E369" s="12"/>
      <c r="F369" s="12"/>
      <c r="G369" s="12"/>
      <c r="H369" s="12"/>
      <c r="I369" s="12"/>
      <c r="J369" s="12"/>
    </row>
    <row r="370">
      <c r="A370">
        <f>IFERROR(__xludf.DUMMYFUNCTION("""COMPUTED_VALUE"""),510.0)</f>
        <v>510</v>
      </c>
      <c r="B370" s="12" t="str">
        <f>IFERROR(__xludf.DUMMYFUNCTION("""COMPUTED_VALUE"""),"I thought about privacy and security")</f>
        <v>I thought about privacy and security</v>
      </c>
      <c r="C370" s="12"/>
      <c r="D370" s="12"/>
      <c r="E370" s="12"/>
      <c r="F370" s="12"/>
      <c r="G370" s="12"/>
      <c r="H370" s="12"/>
      <c r="I370" s="12"/>
      <c r="J370" s="12"/>
    </row>
    <row r="371">
      <c r="A371">
        <f>IFERROR(__xludf.DUMMYFUNCTION("""COMPUTED_VALUE"""),511.0)</f>
        <v>511</v>
      </c>
      <c r="B371" s="12" t="str">
        <f>IFERROR(__xludf.DUMMYFUNCTION("""COMPUTED_VALUE"""),"nothing")</f>
        <v>nothing</v>
      </c>
      <c r="C371" s="12"/>
      <c r="D371" s="12"/>
      <c r="E371" s="12"/>
      <c r="F371" s="12"/>
      <c r="G371" s="12"/>
      <c r="H371" s="12"/>
      <c r="I371" s="12"/>
      <c r="J371" s="12"/>
    </row>
    <row r="372">
      <c r="A372">
        <f>IFERROR(__xludf.DUMMYFUNCTION("""COMPUTED_VALUE"""),512.0)</f>
        <v>512</v>
      </c>
      <c r="B372" s="12" t="str">
        <f>IFERROR(__xludf.DUMMYFUNCTION("""COMPUTED_VALUE"""),"I didn't really consider it, I just did it because it was easier than creating another account.")</f>
        <v>I didn't really consider it, I just did it because it was easier than creating another account.</v>
      </c>
      <c r="C372" s="12"/>
      <c r="D372" s="12"/>
      <c r="E372" s="12"/>
      <c r="F372" s="12"/>
      <c r="G372" s="12"/>
      <c r="H372" s="12"/>
      <c r="I372" s="12"/>
      <c r="J372" s="12"/>
    </row>
    <row r="373">
      <c r="A373">
        <f>IFERROR(__xludf.DUMMYFUNCTION("""COMPUTED_VALUE"""),513.0)</f>
        <v>513</v>
      </c>
      <c r="B373" s="12" t="str">
        <f>IFERROR(__xludf.DUMMYFUNCTION("""COMPUTED_VALUE"""),"my time")</f>
        <v>my time</v>
      </c>
      <c r="C373" s="12"/>
      <c r="D373" s="12"/>
      <c r="E373" s="12"/>
      <c r="F373" s="12"/>
      <c r="G373" s="12"/>
      <c r="H373" s="12"/>
      <c r="I373" s="12"/>
      <c r="J373" s="12"/>
    </row>
    <row r="374">
      <c r="A374">
        <f>IFERROR(__xludf.DUMMYFUNCTION("""COMPUTED_VALUE"""),514.0)</f>
        <v>514</v>
      </c>
      <c r="B374" s="12" t="str">
        <f>IFERROR(__xludf.DUMMYFUNCTION("""COMPUTED_VALUE"""),"I considered setting up a separate account without linking my Google account to the third-party app or service.")</f>
        <v>I considered setting up a separate account without linking my Google account to the third-party app or service.</v>
      </c>
      <c r="C374" s="12"/>
      <c r="D374" s="12"/>
      <c r="E374" s="12"/>
      <c r="F374" s="12"/>
      <c r="G374" s="12"/>
      <c r="H374" s="12"/>
      <c r="I374" s="12"/>
      <c r="J374" s="12"/>
    </row>
    <row r="375">
      <c r="A375">
        <f>IFERROR(__xludf.DUMMYFUNCTION("""COMPUTED_VALUE"""),515.0)</f>
        <v>515</v>
      </c>
      <c r="B375" s="12" t="str">
        <f>IFERROR(__xludf.DUMMYFUNCTION("""COMPUTED_VALUE"""),"I thought if I wanted this to be associated with my email and whether the acccount maybe warranted stronger security than my gmail account")</f>
        <v>I thought if I wanted this to be associated with my email and whether the acccount maybe warranted stronger security than my gmail account</v>
      </c>
      <c r="C375" s="12"/>
      <c r="D375" s="12"/>
      <c r="E375" s="12"/>
      <c r="F375" s="12"/>
      <c r="G375" s="12"/>
      <c r="H375" s="12"/>
      <c r="I375" s="12"/>
      <c r="J375" s="12"/>
    </row>
    <row r="376">
      <c r="A376">
        <f>IFERROR(__xludf.DUMMYFUNCTION("""COMPUTED_VALUE"""),516.0)</f>
        <v>516</v>
      </c>
      <c r="B376" s="12" t="str">
        <f>IFERROR(__xludf.DUMMYFUNCTION("""COMPUTED_VALUE"""),"How convenient Google already has my stored information, I would not need to type it out myself")</f>
        <v>How convenient Google already has my stored information, I would not need to type it out myself</v>
      </c>
      <c r="C376" s="12"/>
      <c r="D376" s="12"/>
      <c r="E376" s="12"/>
      <c r="F376" s="12"/>
      <c r="G376" s="12"/>
      <c r="H376" s="12"/>
      <c r="I376" s="12"/>
      <c r="J376" s="12"/>
    </row>
    <row r="377">
      <c r="A377">
        <f>IFERROR(__xludf.DUMMYFUNCTION("""COMPUTED_VALUE"""),517.0)</f>
        <v>517</v>
      </c>
      <c r="B377" s="12" t="str">
        <f>IFERROR(__xludf.DUMMYFUNCTION("""COMPUTED_VALUE"""),"I didn't consider anything.")</f>
        <v>I didn't consider anything.</v>
      </c>
      <c r="C377" s="12"/>
      <c r="D377" s="12"/>
      <c r="E377" s="12"/>
      <c r="F377" s="12"/>
      <c r="G377" s="12"/>
      <c r="H377" s="12"/>
      <c r="I377" s="12"/>
      <c r="J377" s="12"/>
    </row>
    <row r="378">
      <c r="A378">
        <f>IFERROR(__xludf.DUMMYFUNCTION("""COMPUTED_VALUE"""),518.0)</f>
        <v>518</v>
      </c>
      <c r="B378" s="12" t="str">
        <f>IFERROR(__xludf.DUMMYFUNCTION("""COMPUTED_VALUE"""),"How it's more convenient to sign in using my Google Account")</f>
        <v>How it's more convenient to sign in using my Google Account</v>
      </c>
      <c r="C378" s="12"/>
      <c r="D378" s="12"/>
      <c r="E378" s="12"/>
      <c r="F378" s="12"/>
      <c r="G378" s="12"/>
      <c r="H378" s="12"/>
      <c r="I378" s="12"/>
      <c r="J378" s="12"/>
    </row>
    <row r="379">
      <c r="A379">
        <f>IFERROR(__xludf.DUMMYFUNCTION("""COMPUTED_VALUE"""),519.0)</f>
        <v>519</v>
      </c>
      <c r="B379" s="12" t="str">
        <f>IFERROR(__xludf.DUMMYFUNCTION("""COMPUTED_VALUE"""),"The security risks of linking my account to another party's data")</f>
        <v>The security risks of linking my account to another party's data</v>
      </c>
      <c r="C379" s="12"/>
      <c r="D379" s="12"/>
      <c r="E379" s="12"/>
      <c r="F379" s="12"/>
      <c r="G379" s="12"/>
      <c r="H379" s="12"/>
      <c r="I379" s="12"/>
      <c r="J379" s="12"/>
    </row>
    <row r="380">
      <c r="A380">
        <f>IFERROR(__xludf.DUMMYFUNCTION("""COMPUTED_VALUE"""),521.0)</f>
        <v>521</v>
      </c>
      <c r="B380" s="12" t="str">
        <f>IFERROR(__xludf.DUMMYFUNCTION("""COMPUTED_VALUE"""),"I considered it to be more convenient. Using google is preferable because it means one less account to maintain.")</f>
        <v>I considered it to be more convenient. Using google is preferable because it means one less account to maintain.</v>
      </c>
      <c r="C380" s="12"/>
      <c r="D380" s="12"/>
      <c r="E380" s="12"/>
      <c r="F380" s="12"/>
      <c r="G380" s="12"/>
      <c r="H380" s="12"/>
      <c r="I380" s="12"/>
      <c r="J380" s="12"/>
    </row>
    <row r="381">
      <c r="A381">
        <f>IFERROR(__xludf.DUMMYFUNCTION("""COMPUTED_VALUE"""),522.0)</f>
        <v>522</v>
      </c>
      <c r="B381" s="12" t="str">
        <f>IFERROR(__xludf.DUMMYFUNCTION("""COMPUTED_VALUE"""),"I considered the convenience, since I knew offhand my GMail password.")</f>
        <v>I considered the convenience, since I knew offhand my GMail password.</v>
      </c>
      <c r="C381" s="12"/>
      <c r="D381" s="12"/>
      <c r="E381" s="12"/>
      <c r="F381" s="12"/>
      <c r="G381" s="12"/>
      <c r="H381" s="12"/>
      <c r="I381" s="12"/>
      <c r="J381" s="12"/>
    </row>
    <row r="382">
      <c r="A382">
        <f>IFERROR(__xludf.DUMMYFUNCTION("""COMPUTED_VALUE"""),523.0)</f>
        <v>523</v>
      </c>
      <c r="B382" s="12" t="str">
        <f>IFERROR(__xludf.DUMMYFUNCTION("""COMPUTED_VALUE"""),"I considered if the service is trustworthy.")</f>
        <v>I considered if the service is trustworthy.</v>
      </c>
      <c r="C382" s="12"/>
      <c r="D382" s="12"/>
      <c r="E382" s="12"/>
      <c r="F382" s="12"/>
      <c r="G382" s="12"/>
      <c r="H382" s="12"/>
      <c r="I382" s="12"/>
      <c r="J382" s="12"/>
    </row>
    <row r="383">
      <c r="A383">
        <f>IFERROR(__xludf.DUMMYFUNCTION("""COMPUTED_VALUE"""),527.0)</f>
        <v>527</v>
      </c>
      <c r="B383" s="12" t="str">
        <f>IFERROR(__xludf.DUMMYFUNCTION("""COMPUTED_VALUE"""),"I considered how often I would use the service before signing in with Google Account.")</f>
        <v>I considered how often I would use the service before signing in with Google Account.</v>
      </c>
      <c r="C383" s="12"/>
      <c r="D383" s="12"/>
      <c r="E383" s="12"/>
      <c r="F383" s="12"/>
      <c r="G383" s="12"/>
      <c r="H383" s="12"/>
      <c r="I383" s="12"/>
      <c r="J383" s="12"/>
    </row>
    <row r="384">
      <c r="A384">
        <f>IFERROR(__xludf.DUMMYFUNCTION("""COMPUTED_VALUE"""),528.0)</f>
        <v>528</v>
      </c>
      <c r="B384" s="12" t="str">
        <f>IFERROR(__xludf.DUMMYFUNCTION("""COMPUTED_VALUE"""),"creating a new account")</f>
        <v>creating a new account</v>
      </c>
      <c r="C384" s="12"/>
      <c r="D384" s="12"/>
      <c r="E384" s="12"/>
      <c r="F384" s="12"/>
      <c r="G384" s="12"/>
      <c r="H384" s="12"/>
      <c r="I384" s="12"/>
      <c r="J384" s="12"/>
    </row>
    <row r="385">
      <c r="A385">
        <f>IFERROR(__xludf.DUMMYFUNCTION("""COMPUTED_VALUE"""),529.0)</f>
        <v>529</v>
      </c>
      <c r="B385" s="12" t="str">
        <f>IFERROR(__xludf.DUMMYFUNCTION("""COMPUTED_VALUE"""),"I considered how easy/difficult it would be to set up my own account, whether it would be a security risk to connect my Google account, who would access my data and which kinds of data, how often I would use the game (whether these risks were ""worth"" it"&amp;" for the convenience of easily logging in to play)")</f>
        <v>I considered how easy/difficult it would be to set up my own account, whether it would be a security risk to connect my Google account, who would access my data and which kinds of data, how often I would use the game (whether these risks were "worth" it for the convenience of easily logging in to play)</v>
      </c>
      <c r="C385" s="12"/>
      <c r="D385" s="12"/>
      <c r="E385" s="12"/>
      <c r="F385" s="12"/>
      <c r="G385" s="12"/>
      <c r="H385" s="12"/>
      <c r="I385" s="12"/>
      <c r="J385" s="12"/>
    </row>
    <row r="386">
      <c r="A386">
        <f>IFERROR(__xludf.DUMMYFUNCTION("""COMPUTED_VALUE"""),530.0)</f>
        <v>530</v>
      </c>
      <c r="B386" s="12" t="str">
        <f>IFERROR(__xludf.DUMMYFUNCTION("""COMPUTED_VALUE"""),"n/a")</f>
        <v>n/a</v>
      </c>
      <c r="C386" s="12"/>
      <c r="D386" s="12"/>
      <c r="E386" s="12"/>
      <c r="F386" s="12"/>
      <c r="G386" s="12"/>
      <c r="H386" s="12"/>
      <c r="I386" s="12"/>
      <c r="J386" s="12"/>
    </row>
    <row r="387">
      <c r="A387">
        <f>IFERROR(__xludf.DUMMYFUNCTION("""COMPUTED_VALUE"""),532.0)</f>
        <v>532</v>
      </c>
      <c r="B387" s="12" t="str">
        <f>IFERROR(__xludf.DUMMYFUNCTION("""COMPUTED_VALUE"""),"How the third-party website may be using my Google login information and whether or not it is necessary for me to log in using Google.")</f>
        <v>How the third-party website may be using my Google login information and whether or not it is necessary for me to log in using Google.</v>
      </c>
      <c r="C387" s="12"/>
      <c r="D387" s="12"/>
      <c r="E387" s="12"/>
      <c r="F387" s="12"/>
      <c r="G387" s="12"/>
      <c r="H387" s="12"/>
      <c r="I387" s="12"/>
      <c r="J387" s="12"/>
    </row>
    <row r="388">
      <c r="A388">
        <f>IFERROR(__xludf.DUMMYFUNCTION("""COMPUTED_VALUE"""),533.0)</f>
        <v>533</v>
      </c>
      <c r="B388" s="12" t="str">
        <f>IFERROR(__xludf.DUMMYFUNCTION("""COMPUTED_VALUE"""),"I was wondering it was worth my time to sign in and if it was a safe sight to sign in to.")</f>
        <v>I was wondering it was worth my time to sign in and if it was a safe sight to sign in to.</v>
      </c>
      <c r="C388" s="12"/>
      <c r="D388" s="12"/>
      <c r="E388" s="12"/>
      <c r="F388" s="12"/>
      <c r="G388" s="12"/>
      <c r="H388" s="12"/>
      <c r="I388" s="12"/>
      <c r="J388" s="12"/>
    </row>
    <row r="389">
      <c r="A389">
        <f>IFERROR(__xludf.DUMMYFUNCTION("""COMPUTED_VALUE"""),536.0)</f>
        <v>536</v>
      </c>
      <c r="B389" s="12" t="str">
        <f>IFERROR(__xludf.DUMMYFUNCTION("""COMPUTED_VALUE"""),"Trying to remember my password and username")</f>
        <v>Trying to remember my password and username</v>
      </c>
      <c r="C389" s="12"/>
      <c r="D389" s="12"/>
      <c r="E389" s="12"/>
      <c r="F389" s="12"/>
      <c r="G389" s="12"/>
      <c r="H389" s="12"/>
      <c r="I389" s="12"/>
      <c r="J389" s="12"/>
    </row>
    <row r="390">
      <c r="A390">
        <f>IFERROR(__xludf.DUMMYFUNCTION("""COMPUTED_VALUE"""),537.0)</f>
        <v>537</v>
      </c>
      <c r="B390" s="12" t="str">
        <f>IFERROR(__xludf.DUMMYFUNCTION("""COMPUTED_VALUE"""),"I considered how difficult the signup process for the third-party app would be and if just logging into it with my Google Account would be faster.")</f>
        <v>I considered how difficult the signup process for the third-party app would be and if just logging into it with my Google Account would be faster.</v>
      </c>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t="str">
        <f>IFERROR(__xludf.DUMMYFUNCTION("""COMPUTED_VALUE"""),"Whether that website would be able to see my emails and such")</f>
        <v>Whether that website would be able to see my emails and such</v>
      </c>
      <c r="C392" s="12"/>
      <c r="D392" s="12"/>
      <c r="E392" s="12"/>
      <c r="F392" s="12"/>
      <c r="G392" s="12"/>
      <c r="H392" s="12"/>
      <c r="I392" s="12"/>
      <c r="J392" s="12"/>
    </row>
    <row r="393">
      <c r="A393">
        <f>IFERROR(__xludf.DUMMYFUNCTION("""COMPUTED_VALUE"""),540.0)</f>
        <v>540</v>
      </c>
      <c r="B393" s="12" t="str">
        <f>IFERROR(__xludf.DUMMYFUNCTION("""COMPUTED_VALUE"""),"Convenience")</f>
        <v>Convenience</v>
      </c>
      <c r="C393" s="12"/>
      <c r="D393" s="12"/>
      <c r="E393" s="12"/>
      <c r="F393" s="12"/>
      <c r="G393" s="12"/>
      <c r="H393" s="12"/>
      <c r="I393" s="12"/>
      <c r="J393" s="12"/>
    </row>
    <row r="394">
      <c r="A394">
        <f>IFERROR(__xludf.DUMMYFUNCTION("""COMPUTED_VALUE"""),542.0)</f>
        <v>542</v>
      </c>
      <c r="B394" s="12" t="str">
        <f>IFERROR(__xludf.DUMMYFUNCTION("""COMPUTED_VALUE"""),"I thought about how much I trusted the website I was using google to sign into and if I was comfortable signing in with my google account. I decided it was fine and did.")</f>
        <v>I thought about how much I trusted the website I was using google to sign into and if I was comfortable signing in with my google account. I decided it was fine and did.</v>
      </c>
      <c r="C394" s="12"/>
      <c r="D394" s="12"/>
      <c r="E394" s="12"/>
      <c r="F394" s="12"/>
      <c r="G394" s="12"/>
      <c r="H394" s="12"/>
      <c r="I394" s="12"/>
      <c r="J394" s="12"/>
    </row>
    <row r="395">
      <c r="A395">
        <f>IFERROR(__xludf.DUMMYFUNCTION("""COMPUTED_VALUE"""),543.0)</f>
        <v>543</v>
      </c>
      <c r="B395" s="12" t="str">
        <f>IFERROR(__xludf.DUMMYFUNCTION("""COMPUTED_VALUE"""),"nothing")</f>
        <v>nothing</v>
      </c>
      <c r="C395" s="12"/>
      <c r="D395" s="12"/>
      <c r="E395" s="12"/>
      <c r="F395" s="12"/>
      <c r="G395" s="12"/>
      <c r="H395" s="12"/>
      <c r="I395" s="12"/>
      <c r="J395" s="12"/>
    </row>
    <row r="396">
      <c r="A396">
        <f>IFERROR(__xludf.DUMMYFUNCTION("""COMPUTED_VALUE"""),544.0)</f>
        <v>544</v>
      </c>
      <c r="B396" s="12" t="str">
        <f>IFERROR(__xludf.DUMMYFUNCTION("""COMPUTED_VALUE"""),"am I okay sharing my data")</f>
        <v>am I okay sharing my data</v>
      </c>
      <c r="C396" s="12"/>
      <c r="D396" s="12"/>
      <c r="E396" s="12"/>
      <c r="F396" s="12"/>
      <c r="G396" s="12"/>
      <c r="H396" s="12"/>
      <c r="I396" s="12"/>
      <c r="J396" s="12"/>
    </row>
    <row r="397">
      <c r="A397">
        <f>IFERROR(__xludf.DUMMYFUNCTION("""COMPUTED_VALUE"""),545.0)</f>
        <v>545</v>
      </c>
      <c r="B397" s="12" t="str">
        <f>IFERROR(__xludf.DUMMYFUNCTION("""COMPUTED_VALUE"""),"I considered what could possibly happen if someone malicious gained access to that account.")</f>
        <v>I considered what could possibly happen if someone malicious gained access to that account.</v>
      </c>
      <c r="C397" s="12"/>
      <c r="D397" s="12"/>
      <c r="E397" s="12"/>
      <c r="F397" s="12"/>
      <c r="G397" s="12"/>
      <c r="H397" s="12"/>
      <c r="I397" s="12"/>
      <c r="J397" s="12"/>
    </row>
    <row r="398">
      <c r="A398">
        <f>IFERROR(__xludf.DUMMYFUNCTION("""COMPUTED_VALUE"""),547.0)</f>
        <v>547</v>
      </c>
      <c r="B398" s="12" t="str">
        <f>IFERROR(__xludf.DUMMYFUNCTION("""COMPUTED_VALUE"""),"I wondered if my data would be safe.")</f>
        <v>I wondered if my data would be safe.</v>
      </c>
      <c r="C398" s="12"/>
      <c r="D398" s="12"/>
      <c r="E398" s="12"/>
      <c r="F398" s="12"/>
      <c r="G398" s="12"/>
      <c r="H398" s="12"/>
      <c r="I398" s="12"/>
      <c r="J398" s="12"/>
    </row>
    <row r="399">
      <c r="A399">
        <f>IFERROR(__xludf.DUMMYFUNCTION("""COMPUTED_VALUE"""),548.0)</f>
        <v>548</v>
      </c>
      <c r="B399" s="12" t="str">
        <f>IFERROR(__xludf.DUMMYFUNCTION("""COMPUTED_VALUE"""),"I considered whether the app or service was trustworthy, and I also considered how often I would use this app.")</f>
        <v>I considered whether the app or service was trustworthy, and I also considered how often I would use this app.</v>
      </c>
      <c r="C399" s="12"/>
      <c r="D399" s="12"/>
      <c r="E399" s="12"/>
      <c r="F399" s="12"/>
      <c r="G399" s="12"/>
      <c r="H399" s="12"/>
      <c r="I399" s="12"/>
      <c r="J399" s="12"/>
    </row>
    <row r="400">
      <c r="A400">
        <f>IFERROR(__xludf.DUMMYFUNCTION("""COMPUTED_VALUE"""),549.0)</f>
        <v>549</v>
      </c>
      <c r="B400" s="12" t="str">
        <f>IFERROR(__xludf.DUMMYFUNCTION("""COMPUTED_VALUE"""),"Is it safe and secure?")</f>
        <v>Is it safe and secure?</v>
      </c>
      <c r="C400" s="12"/>
      <c r="D400" s="12"/>
      <c r="E400" s="12"/>
      <c r="F400" s="12"/>
      <c r="G400" s="12"/>
      <c r="H400" s="12"/>
      <c r="I400" s="12"/>
      <c r="J400" s="12"/>
    </row>
    <row r="401">
      <c r="A401">
        <f>IFERROR(__xludf.DUMMYFUNCTION("""COMPUTED_VALUE"""),550.0)</f>
        <v>550</v>
      </c>
      <c r="B401" s="12" t="str">
        <f>IFERROR(__xludf.DUMMYFUNCTION("""COMPUTED_VALUE"""),"Didn't consider anything really")</f>
        <v>Didn't consider anything really</v>
      </c>
      <c r="C401" s="12"/>
      <c r="D401" s="12"/>
      <c r="E401" s="12"/>
      <c r="F401" s="12"/>
      <c r="G401" s="12"/>
      <c r="H401" s="12"/>
      <c r="I401" s="12"/>
      <c r="J401" s="12"/>
    </row>
    <row r="402">
      <c r="A402">
        <f>IFERROR(__xludf.DUMMYFUNCTION("""COMPUTED_VALUE"""),552.0)</f>
        <v>552</v>
      </c>
      <c r="B402" s="12" t="str">
        <f>IFERROR(__xludf.DUMMYFUNCTION("""COMPUTED_VALUE"""),"Is it safe just because it's faster?")</f>
        <v>Is it safe just because it's faster?</v>
      </c>
      <c r="C402" s="12"/>
      <c r="D402" s="12"/>
      <c r="E402" s="12"/>
      <c r="F402" s="12"/>
      <c r="G402" s="12"/>
      <c r="H402" s="12"/>
      <c r="I402" s="12"/>
      <c r="J402" s="12"/>
    </row>
    <row r="403">
      <c r="A403">
        <f>IFERROR(__xludf.DUMMYFUNCTION("""COMPUTED_VALUE"""),553.0)</f>
        <v>553</v>
      </c>
      <c r="B403" s="12" t="str">
        <f>IFERROR(__xludf.DUMMYFUNCTION("""COMPUTED_VALUE"""),"This is probably going to save me a lot of time. I'm not too concerned with theft because I have nothing of value.")</f>
        <v>This is probably going to save me a lot of time. I'm not too concerned with theft because I have nothing of value.</v>
      </c>
      <c r="C403" s="12"/>
      <c r="D403" s="12"/>
      <c r="E403" s="12"/>
      <c r="F403" s="12"/>
      <c r="G403" s="12"/>
      <c r="H403" s="12"/>
      <c r="I403" s="12"/>
      <c r="J403" s="12"/>
    </row>
    <row r="404">
      <c r="A404">
        <f>IFERROR(__xludf.DUMMYFUNCTION("""COMPUTED_VALUE"""),554.0)</f>
        <v>554</v>
      </c>
      <c r="B404" s="12" t="str">
        <f>IFERROR(__xludf.DUMMYFUNCTION("""COMPUTED_VALUE"""),"If there are other options like I previously mentioned, I mostly use Apple log-in or my own, but if I am using Google, then I think about the type of website/app it is and my privacy.")</f>
        <v>If there are other options like I previously mentioned, I mostly use Apple log-in or my own, but if I am using Google, then I think about the type of website/app it is and my privacy.</v>
      </c>
      <c r="C404" s="12"/>
      <c r="D404" s="12"/>
      <c r="E404" s="12"/>
      <c r="F404" s="12"/>
      <c r="G404" s="12"/>
      <c r="H404" s="12"/>
      <c r="I404" s="12"/>
      <c r="J404" s="12"/>
    </row>
    <row r="405">
      <c r="A405">
        <f>IFERROR(__xludf.DUMMYFUNCTION("""COMPUTED_VALUE"""),555.0)</f>
        <v>555</v>
      </c>
      <c r="B405" s="12" t="str">
        <f>IFERROR(__xludf.DUMMYFUNCTION("""COMPUTED_VALUE"""),"I knew I would already have to use that email address to generate a login anyway, so it seemed efficient to use the third-party sign in option.")</f>
        <v>I knew I would already have to use that email address to generate a login anyway, so it seemed efficient to use the third-party sign in option.</v>
      </c>
      <c r="C405" s="12"/>
      <c r="D405" s="12"/>
      <c r="E405" s="12"/>
      <c r="F405" s="12"/>
      <c r="G405" s="12"/>
      <c r="H405" s="12"/>
      <c r="I405" s="12"/>
      <c r="J405" s="12"/>
    </row>
    <row r="406">
      <c r="A406">
        <f>IFERROR(__xludf.DUMMYFUNCTION("""COMPUTED_VALUE"""),556.0)</f>
        <v>556</v>
      </c>
      <c r="B406" s="12" t="str">
        <f>IFERROR(__xludf.DUMMYFUNCTION("""COMPUTED_VALUE"""),"The one thing I considered was the efficiency of signing into it by just a press of a button rather than going through the sign in process.")</f>
        <v>The one thing I considered was the efficiency of signing into it by just a press of a button rather than going through the sign in process.</v>
      </c>
      <c r="C406" s="12"/>
      <c r="D406" s="12"/>
      <c r="E406" s="12"/>
      <c r="F406" s="12"/>
      <c r="G406" s="12"/>
      <c r="H406" s="12"/>
      <c r="I406" s="12"/>
      <c r="J406" s="12"/>
    </row>
    <row r="407">
      <c r="A407">
        <f>IFERROR(__xludf.DUMMYFUNCTION("""COMPUTED_VALUE"""),557.0)</f>
        <v>557</v>
      </c>
      <c r="B407" s="12" t="str">
        <f>IFERROR(__xludf.DUMMYFUNCTION("""COMPUTED_VALUE"""),"Why not just sign in with a email?")</f>
        <v>Why not just sign in with a email?</v>
      </c>
      <c r="C407" s="12"/>
      <c r="D407" s="12"/>
      <c r="E407" s="12"/>
      <c r="F407" s="12"/>
      <c r="G407" s="12"/>
      <c r="H407" s="12"/>
      <c r="I407" s="12"/>
      <c r="J407" s="12"/>
    </row>
    <row r="408">
      <c r="A408">
        <f>IFERROR(__xludf.DUMMYFUNCTION("""COMPUTED_VALUE"""),558.0)</f>
        <v>558</v>
      </c>
      <c r="B408" s="12" t="str">
        <f>IFERROR(__xludf.DUMMYFUNCTION("""COMPUTED_VALUE"""),"Not much. I mainly use the email for gaming content,")</f>
        <v>Not much. I mainly use the email for gaming content,</v>
      </c>
      <c r="C408" s="12"/>
      <c r="D408" s="12"/>
      <c r="E408" s="12"/>
      <c r="F408" s="12"/>
      <c r="G408" s="12"/>
      <c r="H408" s="12"/>
      <c r="I408" s="12"/>
      <c r="J408" s="12"/>
    </row>
    <row r="409">
      <c r="A409">
        <f>IFERROR(__xludf.DUMMYFUNCTION("""COMPUTED_VALUE"""),559.0)</f>
        <v>559</v>
      </c>
      <c r="B409" s="12" t="str">
        <f>IFERROR(__xludf.DUMMYFUNCTION("""COMPUTED_VALUE"""),"Mostly convenience and the fact that I'm less likely to forget or lose account information.")</f>
        <v>Mostly convenience and the fact that I'm less likely to forget or lose account information.</v>
      </c>
      <c r="C409" s="12"/>
      <c r="D409" s="12"/>
      <c r="E409" s="12"/>
      <c r="F409" s="12"/>
      <c r="G409" s="12"/>
      <c r="H409" s="12"/>
      <c r="I409" s="12"/>
      <c r="J409" s="12"/>
    </row>
    <row r="410">
      <c r="A410">
        <f>IFERROR(__xludf.DUMMYFUNCTION("""COMPUTED_VALUE"""),561.0)</f>
        <v>561</v>
      </c>
      <c r="B410" s="12" t="str">
        <f>IFERROR(__xludf.DUMMYFUNCTION("""COMPUTED_VALUE"""),"I considered that I didn't want to use Facebook.")</f>
        <v>I considered that I didn't want to use Facebook.</v>
      </c>
      <c r="C410" s="12"/>
      <c r="D410" s="12"/>
      <c r="E410" s="12"/>
      <c r="F410" s="12"/>
      <c r="G410" s="12"/>
      <c r="H410" s="12"/>
      <c r="I410" s="12"/>
      <c r="J410" s="12"/>
    </row>
    <row r="411">
      <c r="A411">
        <f>IFERROR(__xludf.DUMMYFUNCTION("""COMPUTED_VALUE"""),562.0)</f>
        <v>562</v>
      </c>
      <c r="B411" s="12" t="str">
        <f>IFERROR(__xludf.DUMMYFUNCTION("""COMPUTED_VALUE"""),"I considered if the site would have access to my contacts. Since Google owns Youtube, I did not really care .")</f>
        <v>I considered if the site would have access to my contacts. Since Google owns Youtube, I did not really care .</v>
      </c>
      <c r="C411" s="12"/>
      <c r="D411" s="12"/>
      <c r="E411" s="12"/>
      <c r="F411" s="12"/>
      <c r="G411" s="12"/>
      <c r="H411" s="12"/>
      <c r="I411" s="12"/>
      <c r="J411" s="12"/>
    </row>
    <row r="412">
      <c r="A412">
        <f>IFERROR(__xludf.DUMMYFUNCTION("""COMPUTED_VALUE"""),564.0)</f>
        <v>564</v>
      </c>
      <c r="B412" s="12" t="str">
        <f>IFERROR(__xludf.DUMMYFUNCTION("""COMPUTED_VALUE"""),"I considered my privacy and security.")</f>
        <v>I considered my privacy and security.</v>
      </c>
      <c r="C412" s="12"/>
      <c r="D412" s="12"/>
      <c r="E412" s="12"/>
      <c r="F412" s="12"/>
      <c r="G412" s="12"/>
      <c r="H412" s="12"/>
      <c r="I412" s="12"/>
      <c r="J412" s="12"/>
    </row>
    <row r="413">
      <c r="A413">
        <f>IFERROR(__xludf.DUMMYFUNCTION("""COMPUTED_VALUE"""),566.0)</f>
        <v>566</v>
      </c>
      <c r="B413" s="12" t="str">
        <f>IFERROR(__xludf.DUMMYFUNCTION("""COMPUTED_VALUE"""),"What portions of my account the service would have access to (location, media, contacts, etc.), how often I would get marketing information from the service through that email, what information could be exposed if the service was hacked, how often I would"&amp;" use Google services like adding calendar appointments, submitting payment info, or sharing posts to my contacts.")</f>
        <v>What portions of my account the service would have access to (location, media, contacts, etc.), how often I would get marketing information from the service through that email, what information could be exposed if the service was hacked, how often I would use Google services like adding calendar appointments, submitting payment info, or sharing posts to my contacts.</v>
      </c>
      <c r="C413" s="12"/>
      <c r="D413" s="12"/>
      <c r="E413" s="12"/>
      <c r="F413" s="12"/>
      <c r="G413" s="12"/>
      <c r="H413" s="12"/>
      <c r="I413" s="12"/>
      <c r="J413" s="12"/>
    </row>
    <row r="414">
      <c r="A414">
        <f>IFERROR(__xludf.DUMMYFUNCTION("""COMPUTED_VALUE"""),569.0)</f>
        <v>569</v>
      </c>
      <c r="B414" s="12" t="str">
        <f>IFERROR(__xludf.DUMMYFUNCTION("""COMPUTED_VALUE"""),"I considered if I trusted the company w/ my account info.")</f>
        <v>I considered if I trusted the company w/ my account info.</v>
      </c>
      <c r="C414" s="12"/>
      <c r="D414" s="12"/>
      <c r="E414" s="12"/>
      <c r="F414" s="12"/>
      <c r="G414" s="12"/>
      <c r="H414" s="12"/>
      <c r="I414" s="12"/>
      <c r="J414" s="12"/>
    </row>
    <row r="415">
      <c r="A415">
        <f>IFERROR(__xludf.DUMMYFUNCTION("""COMPUTED_VALUE"""),570.0)</f>
        <v>570</v>
      </c>
      <c r="B415" s="12" t="str">
        <f>IFERROR(__xludf.DUMMYFUNCTION("""COMPUTED_VALUE"""),"If my information would be shared.")</f>
        <v>If my information would be shared.</v>
      </c>
      <c r="C415" s="12"/>
      <c r="D415" s="12"/>
      <c r="E415" s="12"/>
      <c r="F415" s="12"/>
      <c r="G415" s="12"/>
      <c r="H415" s="12"/>
      <c r="I415" s="12"/>
      <c r="J415" s="12"/>
    </row>
    <row r="416">
      <c r="A416">
        <f>IFERROR(__xludf.DUMMYFUNCTION("""COMPUTED_VALUE"""),574.0)</f>
        <v>574</v>
      </c>
      <c r="B416" s="12" t="str">
        <f>IFERROR(__xludf.DUMMYFUNCTION("""COMPUTED_VALUE"""),"What information about me they would get from me connecting my account")</f>
        <v>What information about me they would get from me connecting my account</v>
      </c>
      <c r="C416" s="12"/>
      <c r="D416" s="12"/>
      <c r="E416" s="12"/>
      <c r="F416" s="12"/>
      <c r="G416" s="12"/>
      <c r="H416" s="12"/>
      <c r="I416" s="12"/>
      <c r="J416" s="12"/>
    </row>
    <row r="417">
      <c r="A417">
        <f>IFERROR(__xludf.DUMMYFUNCTION("""COMPUTED_VALUE"""),575.0)</f>
        <v>575</v>
      </c>
      <c r="B417" s="12" t="str">
        <f>IFERROR(__xludf.DUMMYFUNCTION("""COMPUTED_VALUE"""),"I was thinking about logging in with an email and password because I didn't want my personal information to be linked.")</f>
        <v>I was thinking about logging in with an email and password because I didn't want my personal information to be linked.</v>
      </c>
      <c r="C417" s="12"/>
      <c r="D417" s="12"/>
      <c r="E417" s="12"/>
      <c r="F417" s="12"/>
      <c r="G417" s="12"/>
      <c r="H417" s="12"/>
      <c r="I417" s="12"/>
      <c r="J417" s="12"/>
    </row>
    <row r="418">
      <c r="A418">
        <f>IFERROR(__xludf.DUMMYFUNCTION("""COMPUTED_VALUE"""),577.0)</f>
        <v>577</v>
      </c>
      <c r="B418" s="12" t="str">
        <f>IFERROR(__xludf.DUMMYFUNCTION("""COMPUTED_VALUE"""),"Whether I used that last time or had a regular password")</f>
        <v>Whether I used that last time or had a regular password</v>
      </c>
      <c r="C418" s="12"/>
      <c r="D418" s="12"/>
      <c r="E418" s="12"/>
      <c r="F418" s="12"/>
      <c r="G418" s="12"/>
      <c r="H418" s="12"/>
      <c r="I418" s="12"/>
      <c r="J418" s="12"/>
    </row>
    <row r="419">
      <c r="A419">
        <f>IFERROR(__xludf.DUMMYFUNCTION("""COMPUTED_VALUE"""),580.0)</f>
        <v>580</v>
      </c>
      <c r="B419" s="12" t="str">
        <f>IFERROR(__xludf.DUMMYFUNCTION("""COMPUTED_VALUE"""),"The app itself, and whether it is reputable.")</f>
        <v>The app itself, and whether it is reputable.</v>
      </c>
      <c r="C419" s="12"/>
      <c r="D419" s="12"/>
      <c r="E419" s="12"/>
      <c r="F419" s="12"/>
      <c r="G419" s="12"/>
      <c r="H419" s="12"/>
      <c r="I419" s="12"/>
      <c r="J419" s="12"/>
    </row>
    <row r="420">
      <c r="A420">
        <f>IFERROR(__xludf.DUMMYFUNCTION("""COMPUTED_VALUE"""),581.0)</f>
        <v>581</v>
      </c>
      <c r="B420" s="12" t="str">
        <f>IFERROR(__xludf.DUMMYFUNCTION("""COMPUTED_VALUE"""),"my account security")</f>
        <v>my account security</v>
      </c>
      <c r="C420" s="12"/>
      <c r="D420" s="12"/>
      <c r="E420" s="12"/>
      <c r="F420" s="12"/>
      <c r="G420" s="12"/>
      <c r="H420" s="12"/>
      <c r="I420" s="12"/>
      <c r="J420" s="12"/>
    </row>
    <row r="421">
      <c r="A421">
        <f>IFERROR(__xludf.DUMMYFUNCTION("""COMPUTED_VALUE"""),582.0)</f>
        <v>582</v>
      </c>
      <c r="B421" s="12" t="str">
        <f>IFERROR(__xludf.DUMMYFUNCTION("""COMPUTED_VALUE"""),"Using Google to sign in is convenient.")</f>
        <v>Using Google to sign in is convenient.</v>
      </c>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t="str">
        <f>IFERROR(__xludf.DUMMYFUNCTION("""COMPUTED_VALUE"""),"whether I wanted tons of spam from that service")</f>
        <v>whether I wanted tons of spam from that service</v>
      </c>
      <c r="C423" s="12"/>
      <c r="D423" s="12"/>
      <c r="E423" s="12"/>
      <c r="F423" s="12"/>
      <c r="G423" s="12"/>
      <c r="H423" s="12"/>
      <c r="I423" s="12"/>
      <c r="J423" s="12"/>
    </row>
    <row r="424">
      <c r="A424">
        <f>IFERROR(__xludf.DUMMYFUNCTION("""COMPUTED_VALUE"""),588.0)</f>
        <v>588</v>
      </c>
      <c r="B424" s="12" t="str">
        <f>IFERROR(__xludf.DUMMYFUNCTION("""COMPUTED_VALUE"""),"I have used this single sign on for a while and this is a preferred method. I think about taking extra precautions to secure my google account since using single sign on makes things less secure. Overall it makes things a lot easier and more enjoyable to "&amp;"use.")</f>
        <v>I have used this single sign on for a while and this is a preferred method. I think about taking extra precautions to secure my google account since using single sign on makes things less secure. Overall it makes things a lot easier and more enjoyable to use.</v>
      </c>
      <c r="C424" s="12"/>
      <c r="D424" s="12"/>
      <c r="E424" s="12"/>
      <c r="F424" s="12"/>
      <c r="G424" s="12"/>
      <c r="H424" s="12"/>
      <c r="I424" s="12"/>
      <c r="J424" s="12"/>
    </row>
    <row r="425">
      <c r="A425">
        <f>IFERROR(__xludf.DUMMYFUNCTION("""COMPUTED_VALUE"""),589.0)</f>
        <v>589</v>
      </c>
      <c r="B425" s="12" t="str">
        <f>IFERROR(__xludf.DUMMYFUNCTION("""COMPUTED_VALUE"""),"What permissions it has to my google account")</f>
        <v>What permissions it has to my google account</v>
      </c>
      <c r="C425" s="12"/>
      <c r="D425" s="12"/>
      <c r="E425" s="12"/>
      <c r="F425" s="12"/>
      <c r="G425" s="12"/>
      <c r="H425" s="12"/>
      <c r="I425" s="12"/>
      <c r="J425" s="12"/>
    </row>
    <row r="426">
      <c r="A426">
        <f>IFERROR(__xludf.DUMMYFUNCTION("""COMPUTED_VALUE"""),590.0)</f>
        <v>590</v>
      </c>
      <c r="B426" s="12" t="str">
        <f>IFERROR(__xludf.DUMMYFUNCTION("""COMPUTED_VALUE"""),"I thought about how they would have access to my information. Just like you might.")</f>
        <v>I thought about how they would have access to my information. Just like you might.</v>
      </c>
      <c r="C426" s="12"/>
      <c r="D426" s="12"/>
      <c r="E426" s="12"/>
      <c r="F426" s="12"/>
      <c r="G426" s="12"/>
      <c r="H426" s="12"/>
      <c r="I426" s="12"/>
      <c r="J426" s="12"/>
    </row>
    <row r="427">
      <c r="A427">
        <f>IFERROR(__xludf.DUMMYFUNCTION("""COMPUTED_VALUE"""),591.0)</f>
        <v>591</v>
      </c>
      <c r="B427" s="12" t="str">
        <f>IFERROR(__xludf.DUMMYFUNCTION("""COMPUTED_VALUE"""),"My data being shared and exploited.")</f>
        <v>My data being shared and exploited.</v>
      </c>
      <c r="C427" s="12"/>
      <c r="D427" s="12"/>
      <c r="E427" s="12"/>
      <c r="F427" s="12"/>
      <c r="G427" s="12"/>
      <c r="H427" s="12"/>
      <c r="I427" s="12"/>
      <c r="J427" s="12"/>
    </row>
    <row r="428">
      <c r="A428">
        <f>IFERROR(__xludf.DUMMYFUNCTION("""COMPUTED_VALUE"""),592.0)</f>
        <v>592</v>
      </c>
      <c r="B428" s="12" t="str">
        <f>IFERROR(__xludf.DUMMYFUNCTION("""COMPUTED_VALUE"""),"If the site was reputable.")</f>
        <v>If the site was reputable.</v>
      </c>
      <c r="C428" s="12"/>
      <c r="D428" s="12"/>
      <c r="E428" s="12"/>
      <c r="F428" s="12"/>
      <c r="G428" s="12"/>
      <c r="H428" s="12"/>
      <c r="I428" s="12"/>
      <c r="J428" s="12"/>
    </row>
    <row r="429">
      <c r="A429">
        <f>IFERROR(__xludf.DUMMYFUNCTION("""COMPUTED_VALUE"""),593.0)</f>
        <v>593</v>
      </c>
      <c r="B429" s="12" t="str">
        <f>IFERROR(__xludf.DUMMYFUNCTION("""COMPUTED_VALUE"""),"How much easier and convenient it is to use.")</f>
        <v>How much easier and convenient it is to use.</v>
      </c>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IFERROR(__xludf.DUMMYFUNCTION("""COMPUTED_VALUE"""),"Security risks")</f>
        <v>Security risks</v>
      </c>
      <c r="C431" s="12"/>
      <c r="D431" s="12"/>
      <c r="E431" s="12"/>
      <c r="F431" s="12"/>
      <c r="G431" s="12"/>
      <c r="H431" s="12"/>
      <c r="I431" s="12"/>
      <c r="J431" s="12"/>
    </row>
    <row r="432">
      <c r="A432">
        <f>IFERROR(__xludf.DUMMYFUNCTION("""COMPUTED_VALUE"""),598.0)</f>
        <v>598</v>
      </c>
      <c r="B432" s="12" t="str">
        <f>IFERROR(__xludf.DUMMYFUNCTION("""COMPUTED_VALUE"""),"Risk versus reward. I worry a little about giving an app access to my personal information, but, to be honest, if I think I could get money back from something (like the receipt apps) it definitely convinces me a little more. If the app looks shady to me "&amp;"I won't do it, but if it seems relatively legitimate and has good reviews, I'm probably willing.")</f>
        <v>Risk versus reward. I worry a little about giving an app access to my personal information, but, to be honest, if I think I could get money back from something (like the receipt apps) it definitely convinces me a little more. If the app looks shady to me I won't do it, but if it seems relatively legitimate and has good reviews, I'm probably willing.</v>
      </c>
      <c r="C432" s="12"/>
      <c r="D432" s="12"/>
      <c r="E432" s="12"/>
      <c r="F432" s="12"/>
      <c r="G432" s="12"/>
      <c r="H432" s="12"/>
      <c r="I432" s="12"/>
      <c r="J432" s="12"/>
    </row>
    <row r="433">
      <c r="A433">
        <f>IFERROR(__xludf.DUMMYFUNCTION("""COMPUTED_VALUE"""),600.0)</f>
        <v>600</v>
      </c>
      <c r="B433" s="12" t="str">
        <f>IFERROR(__xludf.DUMMYFUNCTION("""COMPUTED_VALUE"""),"That I wanted to sign in.")</f>
        <v>That I wanted to sign in.</v>
      </c>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IFERROR(__xludf.DUMMYFUNCTION("QUERY({'S8 (secondary)'!C2:C1000;'S8 (secondary)'!D2:D1000;'S8 (secondary)'!E2:E1000;'S8 (secondary)'!F2:F1000;'S8 (secondary)'!G2:G1000;'S8 (secondary)'!H2:H1000;'S8 (secondary)'!I2:I1000;'S8 (secondary)'!J2:J1000;'S8 (secondary)'!K2:K1000}, ""select Col"&amp;"1, count(Col1) where Col1 is not null group by Col1 order by Col1 asc"")"),"")</f>
        <v/>
      </c>
      <c r="B2" s="34" t="str">
        <f>IFERROR(__xludf.DUMMYFUNCTION("""COMPUTED_VALUE"""),"count ")</f>
        <v>count </v>
      </c>
      <c r="C2" s="34"/>
      <c r="D2" s="34"/>
      <c r="E2" s="34" t="str">
        <f>IFERROR(__xludf.DUMMYFUNCTION("QUERY({'S8 (secondary)'!C2:C1000;'S8 (secondary)'!D2:D1000;'S8 (secondary)'!E2:E1000;'S8 (secondary)'!F2:F1000;'S8 (secondary)'!G2:G1000;'S8 (secondary)'!H2:H1000;'S8 (secondary)'!I2:I1000;'S8 (secondary)'!J2:J1000;'S8 (secondary)'!K2:K1000}, ""select Col"&amp;"1, count(Col1) where Col1 is not null and not Col1 contains '-&gt;' group by Col1 order by count(Col1) asc"")"),"")</f>
        <v/>
      </c>
      <c r="F2" s="34" t="str">
        <f>IFERROR(__xludf.DUMMYFUNCTION("""COMPUTED_VALUE"""),"count ")</f>
        <v>count </v>
      </c>
    </row>
    <row r="3">
      <c r="A3" t="str">
        <f>IFERROR(__xludf.DUMMYFUNCTION("""COMPUTED_VALUE"""),"distrust")</f>
        <v>distrust</v>
      </c>
      <c r="B3">
        <f>IFERROR(__xludf.DUMMYFUNCTION("""COMPUTED_VALUE"""),1.0)</f>
        <v>1</v>
      </c>
      <c r="E3" t="str">
        <f>IFERROR(__xludf.DUMMYFUNCTION("""COMPUTED_VALUE"""),"distrust")</f>
        <v>distrust</v>
      </c>
      <c r="F3">
        <f>IFERROR(__xludf.DUMMYFUNCTION("""COMPUTED_VALUE"""),1.0)</f>
        <v>1</v>
      </c>
    </row>
    <row r="4">
      <c r="A4" t="str">
        <f>IFERROR(__xludf.DUMMYFUNCTION("""COMPUTED_VALUE"""),"distrust-&gt;google")</f>
        <v>distrust-&gt;google</v>
      </c>
      <c r="B4">
        <f>IFERROR(__xludf.DUMMYFUNCTION("""COMPUTED_VALUE"""),1.0)</f>
        <v>1</v>
      </c>
      <c r="E4" t="str">
        <f>IFERROR(__xludf.DUMMYFUNCTION("""COMPUTED_VALUE"""),"privacy")</f>
        <v>privacy</v>
      </c>
      <c r="F4">
        <f>IFERROR(__xludf.DUMMYFUNCTION("""COMPUTED_VALUE"""),1.0)</f>
        <v>1</v>
      </c>
    </row>
    <row r="5">
      <c r="A5" t="str">
        <f>IFERROR(__xludf.DUMMYFUNCTION("""COMPUTED_VALUE"""),"ease_of_use")</f>
        <v>ease_of_use</v>
      </c>
      <c r="B5">
        <f>IFERROR(__xludf.DUMMYFUNCTION("""COMPUTED_VALUE"""),11.0)</f>
        <v>11</v>
      </c>
      <c r="E5" t="str">
        <f>IFERROR(__xludf.DUMMYFUNCTION("""COMPUTED_VALUE"""),"unsure")</f>
        <v>unsure</v>
      </c>
      <c r="F5">
        <f>IFERROR(__xludf.DUMMYFUNCTION("""COMPUTED_VALUE"""),1.0)</f>
        <v>1</v>
      </c>
    </row>
    <row r="6">
      <c r="A6" t="str">
        <f>IFERROR(__xludf.DUMMYFUNCTION("""COMPUTED_VALUE"""),"ease_of_use-&gt;account_creation")</f>
        <v>ease_of_use-&gt;account_creation</v>
      </c>
      <c r="B6">
        <f>IFERROR(__xludf.DUMMYFUNCTION("""COMPUTED_VALUE"""),6.0)</f>
        <v>6</v>
      </c>
      <c r="E6" t="str">
        <f>IFERROR(__xludf.DUMMYFUNCTION("""COMPUTED_VALUE"""),"other_options")</f>
        <v>other_options</v>
      </c>
      <c r="F6">
        <f>IFERROR(__xludf.DUMMYFUNCTION("""COMPUTED_VALUE"""),2.0)</f>
        <v>2</v>
      </c>
    </row>
    <row r="7">
      <c r="A7" t="str">
        <f>IFERROR(__xludf.DUMMYFUNCTION("""COMPUTED_VALUE"""),"ease_of_use-&gt;fills_in_information")</f>
        <v>ease_of_use-&gt;fills_in_information</v>
      </c>
      <c r="B7">
        <f>IFERROR(__xludf.DUMMYFUNCTION("""COMPUTED_VALUE"""),2.0)</f>
        <v>2</v>
      </c>
      <c r="E7" t="str">
        <f>IFERROR(__xludf.DUMMYFUNCTION("""COMPUTED_VALUE"""),"tradeoff")</f>
        <v>tradeoff</v>
      </c>
      <c r="F7">
        <f>IFERROR(__xludf.DUMMYFUNCTION("""COMPUTED_VALUE"""),2.0)</f>
        <v>2</v>
      </c>
    </row>
    <row r="8">
      <c r="A8" t="str">
        <f>IFERROR(__xludf.DUMMYFUNCTION("""COMPUTED_VALUE"""),"ease_of_use-&gt;how_long")</f>
        <v>ease_of_use-&gt;how_long</v>
      </c>
      <c r="B8">
        <f>IFERROR(__xludf.DUMMYFUNCTION("""COMPUTED_VALUE"""),1.0)</f>
        <v>1</v>
      </c>
      <c r="E8" t="str">
        <f>IFERROR(__xludf.DUMMYFUNCTION("""COMPUTED_VALUE"""),"fewer_accounts")</f>
        <v>fewer_accounts</v>
      </c>
      <c r="F8">
        <f>IFERROR(__xludf.DUMMYFUNCTION("""COMPUTED_VALUE"""),4.0)</f>
        <v>4</v>
      </c>
    </row>
    <row r="9">
      <c r="A9" t="str">
        <f>IFERROR(__xludf.DUMMYFUNCTION("""COMPUTED_VALUE"""),"ease_of_use-&gt;simple")</f>
        <v>ease_of_use-&gt;simple</v>
      </c>
      <c r="B9">
        <f>IFERROR(__xludf.DUMMYFUNCTION("""COMPUTED_VALUE"""),1.0)</f>
        <v>1</v>
      </c>
      <c r="E9" t="str">
        <f>IFERROR(__xludf.DUMMYFUNCTION("""COMPUTED_VALUE"""),"trust")</f>
        <v>trust</v>
      </c>
      <c r="F9">
        <f>IFERROR(__xludf.DUMMYFUNCTION("""COMPUTED_VALUE"""),4.0)</f>
        <v>4</v>
      </c>
    </row>
    <row r="10">
      <c r="A10" t="str">
        <f>IFERROR(__xludf.DUMMYFUNCTION("""COMPUTED_VALUE"""),"fewer_accounts")</f>
        <v>fewer_accounts</v>
      </c>
      <c r="B10">
        <f>IFERROR(__xludf.DUMMYFUNCTION("""COMPUTED_VALUE"""),4.0)</f>
        <v>4</v>
      </c>
      <c r="E10" t="str">
        <f>IFERROR(__xludf.DUMMYFUNCTION("""COMPUTED_VALUE"""),"remember_login")</f>
        <v>remember_login</v>
      </c>
      <c r="F10">
        <f>IFERROR(__xludf.DUMMYFUNCTION("""COMPUTED_VALUE"""),5.0)</f>
        <v>5</v>
      </c>
    </row>
    <row r="11">
      <c r="A11" t="str">
        <f>IFERROR(__xludf.DUMMYFUNCTION("""COMPUTED_VALUE"""),"other_options")</f>
        <v>other_options</v>
      </c>
      <c r="B11">
        <f>IFERROR(__xludf.DUMMYFUNCTION("""COMPUTED_VALUE"""),2.0)</f>
        <v>2</v>
      </c>
      <c r="E11" t="str">
        <f>IFERROR(__xludf.DUMMYFUNCTION("""COMPUTED_VALUE"""),"unknowns")</f>
        <v>unknowns</v>
      </c>
      <c r="F11">
        <f>IFERROR(__xludf.DUMMYFUNCTION("""COMPUTED_VALUE"""),6.0)</f>
        <v>6</v>
      </c>
    </row>
    <row r="12">
      <c r="A12" t="str">
        <f>IFERROR(__xludf.DUMMYFUNCTION("""COMPUTED_VALUE"""),"other_options-&gt;facebook")</f>
        <v>other_options-&gt;facebook</v>
      </c>
      <c r="B12">
        <f>IFERROR(__xludf.DUMMYFUNCTION("""COMPUTED_VALUE"""),1.0)</f>
        <v>1</v>
      </c>
      <c r="E12" t="str">
        <f>IFERROR(__xludf.DUMMYFUNCTION("""COMPUTED_VALUE"""),"unconcerned")</f>
        <v>unconcerned</v>
      </c>
      <c r="F12">
        <f>IFERROR(__xludf.DUMMYFUNCTION("""COMPUTED_VALUE"""),9.0)</f>
        <v>9</v>
      </c>
    </row>
    <row r="13">
      <c r="A13" t="str">
        <f>IFERROR(__xludf.DUMMYFUNCTION("""COMPUTED_VALUE"""),"privacy")</f>
        <v>privacy</v>
      </c>
      <c r="B13">
        <f>IFERROR(__xludf.DUMMYFUNCTION("""COMPUTED_VALUE"""),1.0)</f>
        <v>1</v>
      </c>
      <c r="E13" t="str">
        <f>IFERROR(__xludf.DUMMYFUNCTION("""COMPUTED_VALUE"""),"ease_of_use")</f>
        <v>ease_of_use</v>
      </c>
      <c r="F13">
        <f>IFERROR(__xludf.DUMMYFUNCTION("""COMPUTED_VALUE"""),11.0)</f>
        <v>11</v>
      </c>
    </row>
    <row r="14">
      <c r="A14" t="str">
        <f>IFERROR(__xludf.DUMMYFUNCTION("""COMPUTED_VALUE"""),"remember_login")</f>
        <v>remember_login</v>
      </c>
      <c r="B14">
        <f>IFERROR(__xludf.DUMMYFUNCTION("""COMPUTED_VALUE"""),5.0)</f>
        <v>5</v>
      </c>
      <c r="E14" t="str">
        <f>IFERROR(__xludf.DUMMYFUNCTION("""COMPUTED_VALUE"""),"security")</f>
        <v>security</v>
      </c>
      <c r="F14">
        <f>IFERROR(__xludf.DUMMYFUNCTION("""COMPUTED_VALUE"""),12.0)</f>
        <v>12</v>
      </c>
    </row>
    <row r="15">
      <c r="A15" t="str">
        <f>IFERROR(__xludf.DUMMYFUNCTION("""COMPUTED_VALUE"""),"security")</f>
        <v>security</v>
      </c>
      <c r="B15">
        <f>IFERROR(__xludf.DUMMYFUNCTION("""COMPUTED_VALUE"""),12.0)</f>
        <v>12</v>
      </c>
    </row>
    <row r="16">
      <c r="A16" t="str">
        <f>IFERROR(__xludf.DUMMYFUNCTION("""COMPUTED_VALUE"""),"security-&gt;information")</f>
        <v>security-&gt;information</v>
      </c>
      <c r="B16">
        <f>IFERROR(__xludf.DUMMYFUNCTION("""COMPUTED_VALUE"""),5.0)</f>
        <v>5</v>
      </c>
    </row>
    <row r="17">
      <c r="A17" t="str">
        <f>IFERROR(__xludf.DUMMYFUNCTION("""COMPUTED_VALUE"""),"security-&gt;sign_in")</f>
        <v>security-&gt;sign_in</v>
      </c>
      <c r="B17">
        <f>IFERROR(__xludf.DUMMYFUNCTION("""COMPUTED_VALUE"""),5.0)</f>
        <v>5</v>
      </c>
    </row>
    <row r="18">
      <c r="A18" t="str">
        <f>IFERROR(__xludf.DUMMYFUNCTION("""COMPUTED_VALUE"""),"tradeoff")</f>
        <v>tradeoff</v>
      </c>
      <c r="B18">
        <f>IFERROR(__xludf.DUMMYFUNCTION("""COMPUTED_VALUE"""),2.0)</f>
        <v>2</v>
      </c>
    </row>
    <row r="19">
      <c r="A19" t="str">
        <f>IFERROR(__xludf.DUMMYFUNCTION("""COMPUTED_VALUE"""),"tradeoff-&gt;account_creation")</f>
        <v>tradeoff-&gt;account_creation</v>
      </c>
      <c r="B19">
        <f>IFERROR(__xludf.DUMMYFUNCTION("""COMPUTED_VALUE"""),2.0)</f>
        <v>2</v>
      </c>
    </row>
    <row r="20">
      <c r="A20" t="str">
        <f>IFERROR(__xludf.DUMMYFUNCTION("""COMPUTED_VALUE"""),"tradeoff-&gt;sharing_information")</f>
        <v>tradeoff-&gt;sharing_information</v>
      </c>
      <c r="B20">
        <f>IFERROR(__xludf.DUMMYFUNCTION("""COMPUTED_VALUE"""),1.0)</f>
        <v>1</v>
      </c>
    </row>
    <row r="21">
      <c r="A21" t="str">
        <f>IFERROR(__xludf.DUMMYFUNCTION("""COMPUTED_VALUE"""),"trust")</f>
        <v>trust</v>
      </c>
      <c r="B21">
        <f>IFERROR(__xludf.DUMMYFUNCTION("""COMPUTED_VALUE"""),4.0)</f>
        <v>4</v>
      </c>
    </row>
    <row r="22">
      <c r="A22" t="str">
        <f>IFERROR(__xludf.DUMMYFUNCTION("""COMPUTED_VALUE"""),"trust-&gt;app")</f>
        <v>trust-&gt;app</v>
      </c>
      <c r="B22">
        <f>IFERROR(__xludf.DUMMYFUNCTION("""COMPUTED_VALUE"""),1.0)</f>
        <v>1</v>
      </c>
    </row>
    <row r="23">
      <c r="A23" t="str">
        <f>IFERROR(__xludf.DUMMYFUNCTION("""COMPUTED_VALUE"""),"trust-&gt;google")</f>
        <v>trust-&gt;google</v>
      </c>
      <c r="B23">
        <f>IFERROR(__xludf.DUMMYFUNCTION("""COMPUTED_VALUE"""),1.0)</f>
        <v>1</v>
      </c>
    </row>
    <row r="24">
      <c r="A24" t="str">
        <f>IFERROR(__xludf.DUMMYFUNCTION("""COMPUTED_VALUE"""),"trust-&gt;no_unwanted_email")</f>
        <v>trust-&gt;no_unwanted_email</v>
      </c>
      <c r="B24">
        <f>IFERROR(__xludf.DUMMYFUNCTION("""COMPUTED_VALUE"""),1.0)</f>
        <v>1</v>
      </c>
    </row>
    <row r="25">
      <c r="A25" t="str">
        <f>IFERROR(__xludf.DUMMYFUNCTION("""COMPUTED_VALUE"""),"trust-&gt;website")</f>
        <v>trust-&gt;website</v>
      </c>
      <c r="B25">
        <f>IFERROR(__xludf.DUMMYFUNCTION("""COMPUTED_VALUE"""),2.0)</f>
        <v>2</v>
      </c>
    </row>
    <row r="26">
      <c r="A26" t="str">
        <f>IFERROR(__xludf.DUMMYFUNCTION("""COMPUTED_VALUE"""),"unconcerned")</f>
        <v>unconcerned</v>
      </c>
      <c r="B26">
        <f>IFERROR(__xludf.DUMMYFUNCTION("""COMPUTED_VALUE"""),9.0)</f>
        <v>9</v>
      </c>
    </row>
    <row r="27">
      <c r="A27" t="str">
        <f>IFERROR(__xludf.DUMMYFUNCTION("""COMPUTED_VALUE"""),"unconcerned-&gt;assume-secure")</f>
        <v>unconcerned-&gt;assume-secure</v>
      </c>
      <c r="B27">
        <f>IFERROR(__xludf.DUMMYFUNCTION("""COMPUTED_VALUE"""),1.0)</f>
        <v>1</v>
      </c>
    </row>
    <row r="28">
      <c r="A28" t="str">
        <f>IFERROR(__xludf.DUMMYFUNCTION("""COMPUTED_VALUE"""),"unconcerned-&gt;use_often")</f>
        <v>unconcerned-&gt;use_often</v>
      </c>
      <c r="B28">
        <f>IFERROR(__xludf.DUMMYFUNCTION("""COMPUTED_VALUE"""),2.0)</f>
        <v>2</v>
      </c>
    </row>
    <row r="29">
      <c r="A29" t="str">
        <f>IFERROR(__xludf.DUMMYFUNCTION("""COMPUTED_VALUE"""),"unknowns")</f>
        <v>unknowns</v>
      </c>
      <c r="B29">
        <f>IFERROR(__xludf.DUMMYFUNCTION("""COMPUTED_VALUE"""),6.0)</f>
        <v>6</v>
      </c>
    </row>
    <row r="30">
      <c r="A30" t="str">
        <f>IFERROR(__xludf.DUMMYFUNCTION("""COMPUTED_VALUE"""),"unknowns-&gt;do_they_keep_information")</f>
        <v>unknowns-&gt;do_they_keep_information</v>
      </c>
      <c r="B30">
        <f>IFERROR(__xludf.DUMMYFUNCTION("""COMPUTED_VALUE"""),1.0)</f>
        <v>1</v>
      </c>
    </row>
    <row r="31">
      <c r="A31" t="str">
        <f>IFERROR(__xludf.DUMMYFUNCTION("""COMPUTED_VALUE"""),"unknowns-&gt;email_access")</f>
        <v>unknowns-&gt;email_access</v>
      </c>
      <c r="B31">
        <f>IFERROR(__xludf.DUMMYFUNCTION("""COMPUTED_VALUE"""),1.0)</f>
        <v>1</v>
      </c>
    </row>
    <row r="32">
      <c r="A32" t="str">
        <f>IFERROR(__xludf.DUMMYFUNCTION("""COMPUTED_VALUE"""),"unknowns-&gt;information_access")</f>
        <v>unknowns-&gt;information_access</v>
      </c>
      <c r="B32">
        <f>IFERROR(__xludf.DUMMYFUNCTION("""COMPUTED_VALUE"""),2.0)</f>
        <v>2</v>
      </c>
    </row>
    <row r="33">
      <c r="A33" t="str">
        <f>IFERROR(__xludf.DUMMYFUNCTION("""COMPUTED_VALUE"""),"unknowns-&gt;use_of_information")</f>
        <v>unknowns-&gt;use_of_information</v>
      </c>
      <c r="B33">
        <f>IFERROR(__xludf.DUMMYFUNCTION("""COMPUTED_VALUE"""),3.0)</f>
        <v>3</v>
      </c>
    </row>
    <row r="34">
      <c r="A34" t="str">
        <f>IFERROR(__xludf.DUMMYFUNCTION("""COMPUTED_VALUE"""),"unsure")</f>
        <v>unsure</v>
      </c>
      <c r="B34">
        <f>IFERROR(__xludf.DUMMYFUNCTION("""COMPUTED_VALUE"""),1.0)</f>
        <v>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A,D"")"),"Response ID")</f>
        <v>Response ID</v>
      </c>
      <c r="B1" s="17" t="str">
        <f>IFERROR(__xludf.DUMMYFUNCTION("""COMPUTED_VALUE"""),"google_recall_sso_no_consider")</f>
        <v>google_recall_sso_no_consider</v>
      </c>
      <c r="C1" s="17" t="s">
        <v>1399</v>
      </c>
      <c r="D1" s="17" t="s">
        <v>1400</v>
      </c>
      <c r="E1" s="17" t="s">
        <v>1401</v>
      </c>
      <c r="F1" s="17" t="s">
        <v>1402</v>
      </c>
      <c r="G1" s="17" t="s">
        <v>1403</v>
      </c>
      <c r="H1" s="17" t="s">
        <v>1404</v>
      </c>
      <c r="I1" s="17" t="s">
        <v>1405</v>
      </c>
      <c r="J1" s="17" t="s">
        <v>1406</v>
      </c>
    </row>
    <row r="2">
      <c r="A2" s="48">
        <f>IFERROR(__xludf.DUMMYFUNCTION("""COMPUTED_VALUE"""),1.0)</f>
        <v>1</v>
      </c>
      <c r="B2" s="19" t="str">
        <f>IFERROR(__xludf.DUMMYFUNCTION("""COMPUTED_VALUE"""),"Protection and privacy of my data.")</f>
        <v>Protection and privacy of my data.</v>
      </c>
      <c r="C2" s="3" t="s">
        <v>384</v>
      </c>
      <c r="D2" s="3" t="s">
        <v>65</v>
      </c>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t="str">
        <f>IFERROR(__xludf.DUMMYFUNCTION("""COMPUTED_VALUE"""),"Protection and privacy of my data.")</f>
        <v>Protection and privacy of my data.</v>
      </c>
      <c r="C4" s="3" t="s">
        <v>384</v>
      </c>
      <c r="D4" s="3" t="s">
        <v>65</v>
      </c>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t="str">
        <f>IFERROR(__xludf.DUMMYFUNCTION("""COMPUTED_VALUE"""),"Previous privacy issues that the app/service have had and how secure I feel my data is being kept.")</f>
        <v>Previous privacy issues that the app/service have had and how secure I feel my data is being kept.</v>
      </c>
      <c r="C6" s="3" t="s">
        <v>384</v>
      </c>
      <c r="D6" s="3" t="s">
        <v>1602</v>
      </c>
      <c r="E6" s="3" t="s">
        <v>1615</v>
      </c>
      <c r="F6" s="3" t="s">
        <v>65</v>
      </c>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t="str">
        <f>IFERROR(__xludf.DUMMYFUNCTION("""COMPUTED_VALUE"""),"I would want to know that my information is secure and that it would only be used by trusted parties which i authorize and who have been vetted by Google to be determine secure and trustworthy. Furthermore, that my information would be deleted immediatly "&amp;"upon exiting the service and not stored.")</f>
        <v>I would want to know that my information is secure and that it would only be used by trusted parties which i authorize and who have been vetted by Google to be determine secure and trustworthy. Furthermore, that my information would be deleted immediatly upon exiting the service and not stored.</v>
      </c>
      <c r="C8" s="3" t="s">
        <v>65</v>
      </c>
      <c r="D8" s="3" t="s">
        <v>1602</v>
      </c>
      <c r="E8" s="3" t="s">
        <v>1615</v>
      </c>
      <c r="F8" s="3" t="s">
        <v>1605</v>
      </c>
      <c r="G8" s="3" t="s">
        <v>1617</v>
      </c>
      <c r="H8" s="12"/>
      <c r="I8" s="12"/>
      <c r="J8" s="12"/>
    </row>
    <row r="9">
      <c r="A9" s="48">
        <f>IFERROR(__xludf.DUMMYFUNCTION("""COMPUTED_VALUE"""),13.0)</f>
        <v>13</v>
      </c>
      <c r="B9" s="19"/>
      <c r="C9" s="28"/>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5"/>
      <c r="D11" s="3"/>
      <c r="E11" s="12"/>
      <c r="F11" s="12"/>
      <c r="G11" s="12"/>
      <c r="H11" s="12"/>
      <c r="I11" s="12"/>
      <c r="J11" s="12"/>
    </row>
    <row r="12">
      <c r="A12" s="48">
        <f>IFERROR(__xludf.DUMMYFUNCTION("""COMPUTED_VALUE"""),19.0)</f>
        <v>19</v>
      </c>
      <c r="B12" s="19"/>
      <c r="C12" s="35"/>
      <c r="D12" s="3"/>
      <c r="E12" s="12"/>
      <c r="F12" s="12"/>
      <c r="G12" s="12"/>
      <c r="H12" s="12"/>
      <c r="I12" s="12"/>
      <c r="J12" s="12"/>
    </row>
    <row r="13">
      <c r="A13" s="48">
        <f>IFERROR(__xludf.DUMMYFUNCTION("""COMPUTED_VALUE"""),21.0)</f>
        <v>21</v>
      </c>
      <c r="B13" s="19"/>
      <c r="C13" s="35"/>
      <c r="D13" s="3"/>
      <c r="E13" s="12"/>
      <c r="F13" s="12"/>
      <c r="G13" s="12"/>
      <c r="H13" s="12"/>
      <c r="I13" s="12"/>
      <c r="J13" s="12"/>
    </row>
    <row r="14">
      <c r="A14" s="48">
        <f>IFERROR(__xludf.DUMMYFUNCTION("""COMPUTED_VALUE"""),22.0)</f>
        <v>22</v>
      </c>
      <c r="B14" s="19"/>
      <c r="C14" s="3"/>
      <c r="D14" s="3"/>
      <c r="E14" s="3"/>
      <c r="F14" s="3"/>
      <c r="G14" s="3"/>
      <c r="H14" s="37"/>
      <c r="I14" s="3"/>
      <c r="J14" s="3"/>
    </row>
    <row r="15">
      <c r="A15" s="48">
        <f>IFERROR(__xludf.DUMMYFUNCTION("""COMPUTED_VALUE"""),24.0)</f>
        <v>24</v>
      </c>
      <c r="B15" s="19"/>
      <c r="C15" s="35"/>
      <c r="D15" s="3"/>
      <c r="E15" s="12"/>
      <c r="F15" s="12"/>
      <c r="G15" s="12"/>
      <c r="H15" s="12"/>
      <c r="I15" s="12"/>
      <c r="J15" s="12"/>
    </row>
    <row r="16">
      <c r="A16" s="48">
        <f>IFERROR(__xludf.DUMMYFUNCTION("""COMPUTED_VALUE"""),25.0)</f>
        <v>25</v>
      </c>
      <c r="B16" s="19"/>
      <c r="C16" s="35"/>
      <c r="D16" s="3"/>
      <c r="E16" s="3"/>
      <c r="F16" s="12"/>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t="str">
        <f>IFERROR(__xludf.DUMMYFUNCTION("""COMPUTED_VALUE"""),"I would prefer other options first before using my google account to sign in. If the organization is proven trustworthy then I would be open to using this however.")</f>
        <v>I would prefer other options first before using my google account to sign in. If the organization is proven trustworthy then I would be open to using this however.</v>
      </c>
      <c r="C18" s="3" t="s">
        <v>1620</v>
      </c>
      <c r="D18" s="3" t="s">
        <v>1602</v>
      </c>
      <c r="E18" s="3" t="s">
        <v>1633</v>
      </c>
      <c r="F18" s="12"/>
      <c r="G18" s="12"/>
      <c r="H18" s="12"/>
      <c r="I18" s="12"/>
      <c r="J18" s="12"/>
    </row>
    <row r="19">
      <c r="A19" s="48">
        <f>IFERROR(__xludf.DUMMYFUNCTION("""COMPUTED_VALUE"""),29.0)</f>
        <v>29</v>
      </c>
      <c r="B19" s="19"/>
      <c r="C19" s="35"/>
      <c r="D19" s="26"/>
      <c r="E19" s="3"/>
      <c r="F19" s="12"/>
      <c r="G19" s="12"/>
      <c r="H19" s="12"/>
      <c r="I19" s="12"/>
      <c r="J19" s="12"/>
    </row>
    <row r="20">
      <c r="A20" s="48">
        <f>IFERROR(__xludf.DUMMYFUNCTION("""COMPUTED_VALUE"""),30.0)</f>
        <v>30</v>
      </c>
      <c r="B20" s="19"/>
      <c r="C20" s="35"/>
      <c r="D20" s="3"/>
      <c r="E20" s="3"/>
      <c r="F20" s="12"/>
      <c r="G20" s="12"/>
      <c r="H20" s="12"/>
      <c r="I20" s="12"/>
      <c r="J20" s="12"/>
    </row>
    <row r="21">
      <c r="A21" s="48">
        <f>IFERROR(__xludf.DUMMYFUNCTION("""COMPUTED_VALUE"""),31.0)</f>
        <v>31</v>
      </c>
      <c r="B21" s="19"/>
      <c r="C21" s="35"/>
      <c r="D21" s="3"/>
      <c r="E21" s="12"/>
      <c r="F21" s="12"/>
      <c r="G21" s="12"/>
      <c r="H21" s="12"/>
      <c r="I21" s="12"/>
      <c r="J21" s="12"/>
    </row>
    <row r="22">
      <c r="A22" s="48">
        <f>IFERROR(__xludf.DUMMYFUNCTION("""COMPUTED_VALUE"""),32.0)</f>
        <v>32</v>
      </c>
      <c r="B22" s="19"/>
      <c r="C22" s="35"/>
      <c r="D22" s="26"/>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5"/>
      <c r="D24" s="3"/>
      <c r="E24" s="12"/>
      <c r="F24" s="12"/>
      <c r="G24" s="12"/>
      <c r="H24" s="12"/>
      <c r="I24" s="12"/>
      <c r="J24" s="12"/>
    </row>
    <row r="25">
      <c r="A25" s="48">
        <f>IFERROR(__xludf.DUMMYFUNCTION("""COMPUTED_VALUE"""),39.0)</f>
        <v>39</v>
      </c>
      <c r="B25" s="19"/>
      <c r="C25" s="35"/>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5"/>
      <c r="D27" s="3"/>
      <c r="E27" s="12"/>
      <c r="F27" s="12"/>
      <c r="G27" s="12"/>
      <c r="H27" s="12"/>
      <c r="I27" s="12"/>
      <c r="J27" s="12"/>
    </row>
    <row r="28">
      <c r="A28" s="48">
        <f>IFERROR(__xludf.DUMMYFUNCTION("""COMPUTED_VALUE"""),46.0)</f>
        <v>46</v>
      </c>
      <c r="B28" s="19"/>
      <c r="C28" s="3"/>
      <c r="D28" s="3"/>
      <c r="F28" s="26"/>
      <c r="G28" s="12"/>
      <c r="H28" s="12"/>
      <c r="I28" s="12"/>
      <c r="J28" s="12"/>
    </row>
    <row r="29">
      <c r="A29">
        <f>IFERROR(__xludf.DUMMYFUNCTION("""COMPUTED_VALUE"""),47.0)</f>
        <v>47</v>
      </c>
      <c r="B29" s="12"/>
      <c r="C29" s="35"/>
      <c r="D29" s="3"/>
      <c r="E29" s="26"/>
      <c r="F29" s="26"/>
      <c r="G29" s="12"/>
      <c r="H29" s="12"/>
      <c r="I29" s="12"/>
      <c r="J29" s="12"/>
    </row>
    <row r="30">
      <c r="A30">
        <f>IFERROR(__xludf.DUMMYFUNCTION("""COMPUTED_VALUE"""),50.0)</f>
        <v>50</v>
      </c>
      <c r="B30" s="12"/>
      <c r="C30" s="35"/>
      <c r="D30" s="3"/>
      <c r="E30" s="3"/>
      <c r="F30" s="12"/>
      <c r="G30" s="12"/>
      <c r="H30" s="12"/>
      <c r="I30" s="12"/>
      <c r="J30" s="12"/>
    </row>
    <row r="31">
      <c r="A31">
        <f>IFERROR(__xludf.DUMMYFUNCTION("""COMPUTED_VALUE"""),51.0)</f>
        <v>51</v>
      </c>
      <c r="B31" s="12" t="str">
        <f>IFERROR(__xludf.DUMMYFUNCTION("""COMPUTED_VALUE"""),"I would consider it. I usually use Facebook to sign into a third-party app, but I would use google if I was no longer using Facebook.")</f>
        <v>I would consider it. I usually use Facebook to sign into a third-party app, but I would use google if I was no longer using Facebook.</v>
      </c>
      <c r="C31" s="35" t="s">
        <v>1620</v>
      </c>
      <c r="D31" s="26" t="s">
        <v>1621</v>
      </c>
      <c r="E31" s="12"/>
      <c r="F31" s="12"/>
      <c r="G31" s="12"/>
      <c r="H31" s="12"/>
      <c r="I31" s="12"/>
      <c r="J31" s="12"/>
    </row>
    <row r="32">
      <c r="A32">
        <f>IFERROR(__xludf.DUMMYFUNCTION("""COMPUTED_VALUE"""),52.0)</f>
        <v>52</v>
      </c>
      <c r="B32" s="12"/>
      <c r="C32" s="35"/>
      <c r="D32" s="3"/>
      <c r="E32" s="12"/>
      <c r="F32" s="12"/>
      <c r="G32" s="12"/>
      <c r="H32" s="12"/>
      <c r="I32" s="12"/>
      <c r="J32" s="12"/>
    </row>
    <row r="33">
      <c r="A33">
        <f>IFERROR(__xludf.DUMMYFUNCTION("""COMPUTED_VALUE"""),53.0)</f>
        <v>53</v>
      </c>
      <c r="B33" s="12"/>
      <c r="C33" s="28"/>
      <c r="D33" s="28"/>
      <c r="E33" s="12"/>
      <c r="F33" s="12"/>
      <c r="G33" s="12"/>
      <c r="H33" s="12"/>
      <c r="I33" s="12"/>
      <c r="J33" s="12"/>
    </row>
    <row r="34">
      <c r="A34">
        <f>IFERROR(__xludf.DUMMYFUNCTION("""COMPUTED_VALUE"""),55.0)</f>
        <v>55</v>
      </c>
      <c r="B34" s="12"/>
      <c r="C34" s="35"/>
      <c r="D34" s="3"/>
      <c r="E34" s="12"/>
      <c r="F34" s="12"/>
      <c r="G34" s="12"/>
      <c r="H34" s="12"/>
      <c r="I34" s="12"/>
      <c r="J34" s="12"/>
    </row>
    <row r="35">
      <c r="A35">
        <f>IFERROR(__xludf.DUMMYFUNCTION("""COMPUTED_VALUE"""),56.0)</f>
        <v>56</v>
      </c>
      <c r="B35" s="12"/>
      <c r="C35" s="35"/>
      <c r="D35" s="12"/>
      <c r="E35" s="12"/>
      <c r="F35" s="12"/>
      <c r="G35" s="12"/>
      <c r="H35" s="12"/>
      <c r="I35" s="12"/>
      <c r="J35" s="12"/>
    </row>
    <row r="36">
      <c r="A36">
        <f>IFERROR(__xludf.DUMMYFUNCTION("""COMPUTED_VALUE"""),58.0)</f>
        <v>58</v>
      </c>
      <c r="B36" s="12"/>
      <c r="C36" s="35"/>
      <c r="D36" s="3"/>
      <c r="E36" s="12"/>
      <c r="F36" s="12"/>
      <c r="G36" s="12"/>
      <c r="H36" s="12"/>
      <c r="I36" s="12"/>
      <c r="J36" s="12"/>
    </row>
    <row r="37">
      <c r="A37">
        <f>IFERROR(__xludf.DUMMYFUNCTION("""COMPUTED_VALUE"""),59.0)</f>
        <v>59</v>
      </c>
      <c r="B37" s="12"/>
      <c r="C37" s="35"/>
      <c r="D37" s="3"/>
      <c r="E37" s="3"/>
      <c r="F37" s="3"/>
      <c r="G37" s="3"/>
      <c r="H37" s="12"/>
      <c r="I37" s="12"/>
      <c r="J37" s="12"/>
    </row>
    <row r="38">
      <c r="A38">
        <f>IFERROR(__xludf.DUMMYFUNCTION("""COMPUTED_VALUE"""),60.0)</f>
        <v>60</v>
      </c>
      <c r="B38" s="12"/>
      <c r="C38" s="26"/>
      <c r="D38" s="12"/>
      <c r="E38" s="12"/>
      <c r="F38" s="12"/>
      <c r="G38" s="12"/>
      <c r="H38" s="12"/>
      <c r="I38" s="12"/>
      <c r="J38" s="12"/>
    </row>
    <row r="39">
      <c r="A39">
        <f>IFERROR(__xludf.DUMMYFUNCTION("""COMPUTED_VALUE"""),61.0)</f>
        <v>61</v>
      </c>
      <c r="B39" s="12"/>
      <c r="C39" s="35"/>
      <c r="D39" s="26"/>
      <c r="E39" s="12"/>
      <c r="F39" s="12"/>
      <c r="G39" s="12"/>
      <c r="H39" s="12"/>
      <c r="I39" s="12"/>
      <c r="J39" s="12"/>
    </row>
    <row r="40">
      <c r="A40">
        <f>IFERROR(__xludf.DUMMYFUNCTION("""COMPUTED_VALUE"""),62.0)</f>
        <v>62</v>
      </c>
      <c r="B40" s="12"/>
      <c r="C40" s="35"/>
      <c r="D40" s="3"/>
      <c r="E40" s="3"/>
      <c r="F40" s="12"/>
      <c r="G40" s="12"/>
      <c r="H40" s="12"/>
      <c r="I40" s="12"/>
      <c r="J40" s="12"/>
    </row>
    <row r="41">
      <c r="A41">
        <f>IFERROR(__xludf.DUMMYFUNCTION("""COMPUTED_VALUE"""),64.0)</f>
        <v>64</v>
      </c>
      <c r="B41" s="12"/>
      <c r="C41" s="35"/>
      <c r="D41" s="3"/>
      <c r="E41" s="12"/>
      <c r="F41" s="12"/>
      <c r="G41" s="12"/>
      <c r="H41" s="12"/>
      <c r="I41" s="12"/>
      <c r="J41" s="12"/>
    </row>
    <row r="42">
      <c r="A42">
        <f>IFERROR(__xludf.DUMMYFUNCTION("""COMPUTED_VALUE"""),66.0)</f>
        <v>66</v>
      </c>
      <c r="B42" s="12"/>
      <c r="C42" s="35"/>
      <c r="D42" s="12"/>
      <c r="E42" s="12"/>
      <c r="F42" s="12"/>
      <c r="G42" s="12"/>
      <c r="H42" s="12"/>
      <c r="I42" s="12"/>
      <c r="J42" s="12"/>
    </row>
    <row r="43">
      <c r="A43">
        <f>IFERROR(__xludf.DUMMYFUNCTION("""COMPUTED_VALUE"""),67.0)</f>
        <v>67</v>
      </c>
      <c r="B43" s="12"/>
      <c r="C43" s="35"/>
      <c r="D43" s="3"/>
      <c r="F43" s="3"/>
      <c r="G43" s="3"/>
      <c r="H43" s="3"/>
      <c r="I43" s="12"/>
      <c r="J43" s="12"/>
    </row>
    <row r="44">
      <c r="A44">
        <f>IFERROR(__xludf.DUMMYFUNCTION("""COMPUTED_VALUE"""),69.0)</f>
        <v>69</v>
      </c>
      <c r="B44" s="12"/>
      <c r="C44" s="35"/>
      <c r="D44" s="3"/>
      <c r="E44" s="12"/>
      <c r="F44" s="12"/>
      <c r="G44" s="12"/>
      <c r="H44" s="12"/>
      <c r="I44" s="12"/>
      <c r="J44" s="12"/>
    </row>
    <row r="45">
      <c r="A45">
        <f>IFERROR(__xludf.DUMMYFUNCTION("""COMPUTED_VALUE"""),70.0)</f>
        <v>70</v>
      </c>
      <c r="B45" s="12" t="str">
        <f>IFERROR(__xludf.DUMMYFUNCTION("""COMPUTED_VALUE"""),"I would consider my data privacy, and choose not to link my Google account with the third party app if at all possible. I dont want third party companies to access any of my Google data.")</f>
        <v>I would consider my data privacy, and choose not to link my Google account with the third party app if at all possible. I dont want third party companies to access any of my Google data.</v>
      </c>
      <c r="C45" s="35" t="s">
        <v>384</v>
      </c>
      <c r="D45" s="3" t="s">
        <v>1624</v>
      </c>
      <c r="E45" s="3" t="s">
        <v>1640</v>
      </c>
      <c r="F45" s="12"/>
      <c r="G45" s="12"/>
      <c r="H45" s="12"/>
      <c r="I45" s="12"/>
      <c r="J45" s="12"/>
    </row>
    <row r="46">
      <c r="A46">
        <f>IFERROR(__xludf.DUMMYFUNCTION("""COMPUTED_VALUE"""),72.0)</f>
        <v>72</v>
      </c>
      <c r="B46" s="12"/>
      <c r="C46" s="3"/>
      <c r="D46" s="3"/>
      <c r="E46" s="3"/>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5"/>
      <c r="D48" s="3"/>
      <c r="E48" s="12"/>
      <c r="F48" s="12"/>
      <c r="G48" s="12"/>
      <c r="H48" s="12"/>
      <c r="I48" s="12"/>
      <c r="J48" s="12"/>
    </row>
    <row r="49">
      <c r="A49">
        <f>IFERROR(__xludf.DUMMYFUNCTION("""COMPUTED_VALUE"""),75.0)</f>
        <v>75</v>
      </c>
      <c r="B49" s="12"/>
      <c r="C49" s="35"/>
      <c r="D49" s="3"/>
      <c r="E49" s="12"/>
      <c r="F49" s="12"/>
      <c r="G49" s="12"/>
      <c r="H49" s="12"/>
      <c r="I49" s="12"/>
      <c r="J49" s="12"/>
    </row>
    <row r="50">
      <c r="A50">
        <f>IFERROR(__xludf.DUMMYFUNCTION("""COMPUTED_VALUE"""),78.0)</f>
        <v>78</v>
      </c>
      <c r="B50" s="12"/>
      <c r="C50" s="3"/>
      <c r="D50" s="3"/>
      <c r="E50" s="3"/>
      <c r="F50" s="3"/>
      <c r="G50" s="12"/>
      <c r="H50" s="12"/>
      <c r="I50" s="12"/>
      <c r="J50" s="12"/>
    </row>
    <row r="51">
      <c r="A51">
        <f>IFERROR(__xludf.DUMMYFUNCTION("""COMPUTED_VALUE"""),80.0)</f>
        <v>80</v>
      </c>
      <c r="B51" s="12"/>
      <c r="C51" s="35"/>
      <c r="D51" s="3"/>
      <c r="E51" s="3"/>
      <c r="F51" s="12"/>
      <c r="G51" s="12"/>
      <c r="H51" s="12"/>
      <c r="I51" s="12"/>
      <c r="J51" s="12"/>
    </row>
    <row r="52">
      <c r="A52">
        <f>IFERROR(__xludf.DUMMYFUNCTION("""COMPUTED_VALUE"""),81.0)</f>
        <v>81</v>
      </c>
      <c r="B52" s="12"/>
      <c r="C52" s="3"/>
      <c r="D52" s="3"/>
      <c r="E52" s="3"/>
      <c r="F52" s="3"/>
      <c r="G52" s="12"/>
      <c r="H52" s="12"/>
      <c r="I52" s="12"/>
      <c r="J52" s="12"/>
    </row>
    <row r="53">
      <c r="A53">
        <f>IFERROR(__xludf.DUMMYFUNCTION("""COMPUTED_VALUE"""),84.0)</f>
        <v>84</v>
      </c>
      <c r="B53" s="12"/>
      <c r="C53" s="35"/>
      <c r="D53" s="3"/>
      <c r="E53" s="3"/>
      <c r="F53" s="3"/>
      <c r="G53" s="12"/>
      <c r="H53" s="12"/>
      <c r="I53" s="12"/>
      <c r="J53" s="12"/>
    </row>
    <row r="54">
      <c r="A54">
        <f>IFERROR(__xludf.DUMMYFUNCTION("""COMPUTED_VALUE"""),86.0)</f>
        <v>86</v>
      </c>
      <c r="B54" s="12" t="str">
        <f>IFERROR(__xludf.DUMMYFUNCTION("""COMPUTED_VALUE"""),"How would my information be sold or shared with other third parties?")</f>
        <v>How would my information be sold or shared with other third parties?</v>
      </c>
      <c r="C54" s="35" t="s">
        <v>1605</v>
      </c>
      <c r="D54" s="3" t="s">
        <v>1606</v>
      </c>
      <c r="E54" s="12"/>
      <c r="F54" s="12"/>
      <c r="G54" s="12"/>
      <c r="H54" s="12"/>
      <c r="I54" s="12"/>
      <c r="J54" s="12"/>
    </row>
    <row r="55">
      <c r="A55">
        <f>IFERROR(__xludf.DUMMYFUNCTION("""COMPUTED_VALUE"""),87.0)</f>
        <v>87</v>
      </c>
      <c r="B55" s="12"/>
      <c r="C55" s="3"/>
      <c r="D55" s="49"/>
      <c r="E55" s="12"/>
      <c r="F55" s="12"/>
      <c r="G55" s="12"/>
      <c r="H55" s="12"/>
      <c r="I55" s="12"/>
      <c r="J55" s="12"/>
    </row>
    <row r="56">
      <c r="A56">
        <f>IFERROR(__xludf.DUMMYFUNCTION("""COMPUTED_VALUE"""),88.0)</f>
        <v>88</v>
      </c>
      <c r="B56" s="12"/>
      <c r="C56" s="3"/>
      <c r="D56" s="3"/>
      <c r="E56" s="12"/>
      <c r="F56" s="12"/>
      <c r="G56" s="12"/>
      <c r="H56" s="12"/>
      <c r="I56" s="12"/>
      <c r="J56" s="12"/>
    </row>
    <row r="57">
      <c r="A57">
        <f>IFERROR(__xludf.DUMMYFUNCTION("""COMPUTED_VALUE"""),89.0)</f>
        <v>89</v>
      </c>
      <c r="B57" s="12"/>
      <c r="C57" s="35"/>
      <c r="D57" s="3"/>
      <c r="E57" s="12"/>
      <c r="F57" s="12"/>
      <c r="G57" s="12"/>
      <c r="H57" s="12"/>
      <c r="I57" s="12"/>
      <c r="J57" s="12"/>
    </row>
    <row r="58">
      <c r="A58">
        <f>IFERROR(__xludf.DUMMYFUNCTION("""COMPUTED_VALUE"""),90.0)</f>
        <v>90</v>
      </c>
      <c r="B58" s="12"/>
      <c r="C58" s="3"/>
      <c r="D58" s="3"/>
      <c r="E58" s="3"/>
      <c r="F58" s="3"/>
      <c r="G58" s="12"/>
      <c r="H58" s="12"/>
      <c r="I58" s="12"/>
      <c r="J58" s="12"/>
    </row>
    <row r="59">
      <c r="A59">
        <f>IFERROR(__xludf.DUMMYFUNCTION("""COMPUTED_VALUE"""),93.0)</f>
        <v>93</v>
      </c>
      <c r="B59" s="12"/>
      <c r="C59" s="35"/>
      <c r="D59" s="3"/>
      <c r="E59" s="12"/>
      <c r="F59" s="12"/>
      <c r="G59" s="12"/>
      <c r="H59" s="12"/>
      <c r="I59" s="12"/>
      <c r="J59" s="12"/>
    </row>
    <row r="60">
      <c r="A60">
        <f>IFERROR(__xludf.DUMMYFUNCTION("""COMPUTED_VALUE"""),95.0)</f>
        <v>95</v>
      </c>
      <c r="B60" s="12"/>
      <c r="C60" s="35"/>
      <c r="D60" s="3"/>
      <c r="E60" s="3"/>
      <c r="F60" s="3"/>
      <c r="G60" s="3"/>
      <c r="H60" s="12"/>
      <c r="I60" s="12"/>
      <c r="J60" s="12"/>
    </row>
    <row r="61">
      <c r="A61">
        <f>IFERROR(__xludf.DUMMYFUNCTION("""COMPUTED_VALUE"""),97.0)</f>
        <v>97</v>
      </c>
      <c r="B61" s="12"/>
      <c r="C61" s="35"/>
      <c r="D61" s="12"/>
      <c r="E61" s="12"/>
      <c r="F61" s="12"/>
      <c r="G61" s="12"/>
      <c r="H61" s="12"/>
      <c r="I61" s="12"/>
      <c r="J61" s="12"/>
    </row>
    <row r="62">
      <c r="A62">
        <f>IFERROR(__xludf.DUMMYFUNCTION("""COMPUTED_VALUE"""),98.0)</f>
        <v>98</v>
      </c>
      <c r="B62" s="12"/>
      <c r="C62" s="35"/>
      <c r="D62" s="3"/>
      <c r="E62" s="12"/>
      <c r="F62" s="12"/>
      <c r="G62" s="12"/>
      <c r="H62" s="12"/>
      <c r="I62" s="12"/>
      <c r="J62" s="12"/>
    </row>
    <row r="63">
      <c r="A63">
        <f>IFERROR(__xludf.DUMMYFUNCTION("""COMPUTED_VALUE"""),99.0)</f>
        <v>99</v>
      </c>
      <c r="B63" s="12"/>
      <c r="C63" s="3"/>
      <c r="D63" s="3"/>
      <c r="E63" s="28"/>
      <c r="F63" s="28"/>
      <c r="G63" s="3"/>
      <c r="H63" s="12"/>
      <c r="I63" s="12"/>
      <c r="J63" s="12"/>
    </row>
    <row r="64">
      <c r="A64">
        <f>IFERROR(__xludf.DUMMYFUNCTION("""COMPUTED_VALUE"""),100.0)</f>
        <v>100</v>
      </c>
      <c r="B64" s="12" t="str">
        <f>IFERROR(__xludf.DUMMYFUNCTION("""COMPUTED_VALUE"""),"Whether or not the third party would retain my log in info or track me.")</f>
        <v>Whether or not the third party would retain my log in info or track me.</v>
      </c>
      <c r="C64" s="35" t="s">
        <v>1605</v>
      </c>
      <c r="D64" s="3" t="s">
        <v>1606</v>
      </c>
      <c r="E64" s="12"/>
      <c r="F64" s="12"/>
      <c r="G64" s="12"/>
      <c r="H64" s="12"/>
      <c r="I64" s="12"/>
      <c r="J64" s="12"/>
    </row>
    <row r="65">
      <c r="A65">
        <f>IFERROR(__xludf.DUMMYFUNCTION("""COMPUTED_VALUE"""),101.0)</f>
        <v>101</v>
      </c>
      <c r="B65" s="12"/>
      <c r="C65" s="35"/>
      <c r="D65" s="3"/>
      <c r="E65" s="3"/>
      <c r="F65" s="3"/>
      <c r="G65" s="26"/>
      <c r="H65" s="12"/>
      <c r="I65" s="12"/>
      <c r="J65" s="12"/>
    </row>
    <row r="66">
      <c r="A66">
        <f>IFERROR(__xludf.DUMMYFUNCTION("""COMPUTED_VALUE"""),103.0)</f>
        <v>103</v>
      </c>
      <c r="B66" s="12"/>
      <c r="C66" s="35"/>
      <c r="D66" s="3"/>
      <c r="F66" s="12"/>
      <c r="G66" s="12"/>
      <c r="H66" s="12"/>
      <c r="I66" s="12"/>
      <c r="J66" s="12"/>
    </row>
    <row r="67">
      <c r="A67">
        <f>IFERROR(__xludf.DUMMYFUNCTION("""COMPUTED_VALUE"""),104.0)</f>
        <v>104</v>
      </c>
      <c r="B67" s="12"/>
      <c r="C67" s="35"/>
      <c r="D67" s="3"/>
      <c r="E67" s="26"/>
      <c r="F67" s="26"/>
      <c r="G67" s="3"/>
      <c r="H67" s="3"/>
      <c r="J67" s="12"/>
    </row>
    <row r="68">
      <c r="A68">
        <f>IFERROR(__xludf.DUMMYFUNCTION("""COMPUTED_VALUE"""),105.0)</f>
        <v>105</v>
      </c>
      <c r="B68" s="12"/>
      <c r="C68" s="35"/>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t="str">
        <f>IFERROR(__xludf.DUMMYFUNCTION("""COMPUTED_VALUE"""),"I would consider whether I want the particular website tied to my Google account.")</f>
        <v>I would consider whether I want the particular website tied to my Google account.</v>
      </c>
      <c r="C70" s="35" t="s">
        <v>1602</v>
      </c>
      <c r="D70" s="3"/>
      <c r="E70" s="3"/>
      <c r="F70" s="3"/>
      <c r="G70" s="3"/>
      <c r="H70" s="12"/>
      <c r="I70" s="12"/>
      <c r="J70" s="12"/>
    </row>
    <row r="71">
      <c r="A71">
        <f>IFERROR(__xludf.DUMMYFUNCTION("""COMPUTED_VALUE"""),109.0)</f>
        <v>109</v>
      </c>
      <c r="B71" s="12"/>
      <c r="C71" s="35"/>
      <c r="D71" s="3"/>
      <c r="E71" s="3"/>
      <c r="F71" s="3"/>
      <c r="G71" s="3"/>
      <c r="H71" s="3"/>
      <c r="I71" s="3"/>
      <c r="J71" s="12"/>
    </row>
    <row r="72">
      <c r="A72">
        <f>IFERROR(__xludf.DUMMYFUNCTION("""COMPUTED_VALUE"""),111.0)</f>
        <v>111</v>
      </c>
      <c r="B72" s="12"/>
      <c r="C72" s="35"/>
      <c r="D72" s="3"/>
      <c r="E72" s="12"/>
      <c r="F72" s="12"/>
      <c r="G72" s="12"/>
      <c r="H72" s="12"/>
      <c r="I72" s="12"/>
      <c r="J72" s="12"/>
    </row>
    <row r="73">
      <c r="A73">
        <f>IFERROR(__xludf.DUMMYFUNCTION("""COMPUTED_VALUE"""),112.0)</f>
        <v>112</v>
      </c>
      <c r="B73" s="12" t="str">
        <f>IFERROR(__xludf.DUMMYFUNCTION("""COMPUTED_VALUE"""),"I don't use it because I don't want more things linked to my google account that could be compromised.")</f>
        <v>I don't use it because I don't want more things linked to my google account that could be compromised.</v>
      </c>
      <c r="C73" s="35" t="s">
        <v>65</v>
      </c>
      <c r="D73" s="3"/>
      <c r="E73" s="3"/>
      <c r="F73" s="3"/>
      <c r="G73" s="3"/>
      <c r="H73" s="3"/>
      <c r="I73" s="12"/>
      <c r="J73" s="12"/>
    </row>
    <row r="74">
      <c r="A74">
        <f>IFERROR(__xludf.DUMMYFUNCTION("""COMPUTED_VALUE"""),113.0)</f>
        <v>113</v>
      </c>
      <c r="B74" s="12"/>
      <c r="C74" s="35"/>
      <c r="D74" s="3"/>
      <c r="E74" s="3"/>
      <c r="F74" s="12"/>
      <c r="G74" s="12"/>
      <c r="H74" s="12"/>
      <c r="I74" s="12"/>
      <c r="J74" s="12"/>
    </row>
    <row r="75">
      <c r="A75">
        <f>IFERROR(__xludf.DUMMYFUNCTION("""COMPUTED_VALUE"""),115.0)</f>
        <v>115</v>
      </c>
      <c r="B75" s="12" t="str">
        <f>IFERROR(__xludf.DUMMYFUNCTION("""COMPUTED_VALUE"""),"My own privacy, and whether the app would use it for anything malicious, or to use my account to do things I would not it want it to.")</f>
        <v>My own privacy, and whether the app would use it for anything malicious, or to use my account to do things I would not it want it to.</v>
      </c>
      <c r="C75" s="35" t="s">
        <v>1605</v>
      </c>
      <c r="D75" s="3" t="s">
        <v>1606</v>
      </c>
      <c r="E75" s="3" t="s">
        <v>384</v>
      </c>
      <c r="F75" s="12"/>
      <c r="G75" s="12"/>
      <c r="H75" s="12"/>
      <c r="I75" s="12"/>
      <c r="J75" s="12"/>
    </row>
    <row r="76">
      <c r="A76">
        <f>IFERROR(__xludf.DUMMYFUNCTION("""COMPUTED_VALUE"""),116.0)</f>
        <v>116</v>
      </c>
      <c r="B76" s="12"/>
      <c r="C76" s="35"/>
      <c r="D76" s="3"/>
      <c r="E76" s="3"/>
      <c r="F76" s="12"/>
      <c r="G76" s="12"/>
      <c r="H76" s="12"/>
      <c r="I76" s="12"/>
      <c r="J76" s="12"/>
    </row>
    <row r="77">
      <c r="A77">
        <f>IFERROR(__xludf.DUMMYFUNCTION("""COMPUTED_VALUE"""),117.0)</f>
        <v>117</v>
      </c>
      <c r="B77" s="12"/>
      <c r="C77" s="35"/>
      <c r="D77" s="3"/>
      <c r="E77" s="3"/>
      <c r="F77" s="12"/>
      <c r="G77" s="12"/>
      <c r="H77" s="12"/>
      <c r="I77" s="12"/>
      <c r="J77" s="12"/>
    </row>
    <row r="78">
      <c r="A78">
        <f>IFERROR(__xludf.DUMMYFUNCTION("""COMPUTED_VALUE"""),122.0)</f>
        <v>122</v>
      </c>
      <c r="B78" s="12"/>
      <c r="C78" s="35"/>
      <c r="D78" s="3"/>
      <c r="E78" s="12"/>
      <c r="F78" s="12"/>
      <c r="G78" s="12"/>
      <c r="H78" s="12"/>
      <c r="I78" s="12"/>
      <c r="J78" s="12"/>
    </row>
    <row r="79">
      <c r="A79">
        <f>IFERROR(__xludf.DUMMYFUNCTION("""COMPUTED_VALUE"""),123.0)</f>
        <v>123</v>
      </c>
      <c r="B79" s="12"/>
      <c r="C79" s="35"/>
      <c r="D79" s="3"/>
      <c r="E79" s="12"/>
      <c r="F79" s="12"/>
      <c r="G79" s="12"/>
      <c r="H79" s="12"/>
      <c r="I79" s="12"/>
      <c r="J79" s="12"/>
    </row>
    <row r="80">
      <c r="A80">
        <f>IFERROR(__xludf.DUMMYFUNCTION("""COMPUTED_VALUE"""),124.0)</f>
        <v>124</v>
      </c>
      <c r="B80" s="12" t="str">
        <f>IFERROR(__xludf.DUMMYFUNCTION("""COMPUTED_VALUE"""),"I do not usually use my google account to sign in. I prefer an individual sign in with each app and service")</f>
        <v>I do not usually use my google account to sign in. I prefer an individual sign in with each app and service</v>
      </c>
      <c r="C80" s="35" t="s">
        <v>1620</v>
      </c>
      <c r="D80" s="3"/>
      <c r="E80" s="3"/>
      <c r="F80" s="12"/>
      <c r="G80" s="12"/>
      <c r="H80" s="12"/>
      <c r="I80" s="12"/>
      <c r="J80" s="12"/>
    </row>
    <row r="81">
      <c r="A81">
        <f>IFERROR(__xludf.DUMMYFUNCTION("""COMPUTED_VALUE"""),125.0)</f>
        <v>125</v>
      </c>
      <c r="B81" s="12"/>
      <c r="C81" s="35"/>
      <c r="D81" s="3"/>
      <c r="E81" s="3"/>
      <c r="F81" s="3"/>
      <c r="G81" s="12"/>
      <c r="H81" s="12"/>
      <c r="I81" s="12"/>
      <c r="J81" s="12"/>
    </row>
    <row r="82">
      <c r="A82">
        <f>IFERROR(__xludf.DUMMYFUNCTION("""COMPUTED_VALUE"""),126.0)</f>
        <v>126</v>
      </c>
      <c r="B82" s="12"/>
      <c r="C82" s="35"/>
      <c r="D82" s="3"/>
      <c r="E82" s="12"/>
      <c r="F82" s="12"/>
      <c r="G82" s="12"/>
      <c r="H82" s="12"/>
      <c r="I82" s="12"/>
      <c r="J82" s="12"/>
    </row>
    <row r="83">
      <c r="A83">
        <f>IFERROR(__xludf.DUMMYFUNCTION("""COMPUTED_VALUE"""),127.0)</f>
        <v>127</v>
      </c>
      <c r="B83" s="12"/>
      <c r="C83" s="35"/>
      <c r="D83" s="3"/>
      <c r="E83" s="3"/>
      <c r="F83" s="3"/>
      <c r="G83" s="12"/>
      <c r="H83" s="12"/>
      <c r="I83" s="12"/>
      <c r="J83" s="12"/>
    </row>
    <row r="84">
      <c r="A84">
        <f>IFERROR(__xludf.DUMMYFUNCTION("""COMPUTED_VALUE"""),128.0)</f>
        <v>128</v>
      </c>
      <c r="B84" s="12"/>
      <c r="C84" s="35"/>
      <c r="D84" s="3"/>
      <c r="E84" s="3"/>
      <c r="F84" s="3"/>
      <c r="G84" s="3"/>
      <c r="H84" s="12"/>
      <c r="I84" s="12"/>
      <c r="J84" s="12"/>
    </row>
    <row r="85">
      <c r="A85">
        <f>IFERROR(__xludf.DUMMYFUNCTION("""COMPUTED_VALUE"""),129.0)</f>
        <v>129</v>
      </c>
      <c r="B85" s="12"/>
      <c r="C85" s="35"/>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t="str">
        <f>IFERROR(__xludf.DUMMYFUNCTION("""COMPUTED_VALUE"""),"How reputable to the site is.")</f>
        <v>How reputable to the site is.</v>
      </c>
      <c r="C87" s="35" t="s">
        <v>1602</v>
      </c>
      <c r="D87" s="3" t="s">
        <v>1603</v>
      </c>
      <c r="E87" s="12"/>
      <c r="F87" s="12"/>
      <c r="G87" s="12"/>
      <c r="H87" s="12"/>
      <c r="I87" s="12"/>
      <c r="J87" s="12"/>
    </row>
    <row r="88">
      <c r="A88">
        <f>IFERROR(__xludf.DUMMYFUNCTION("""COMPUTED_VALUE"""),135.0)</f>
        <v>135</v>
      </c>
      <c r="B88" s="12"/>
      <c r="C88" s="3"/>
      <c r="E88" s="12"/>
      <c r="F88" s="12"/>
      <c r="G88" s="12"/>
      <c r="H88" s="12"/>
      <c r="I88" s="12"/>
      <c r="J88" s="12"/>
    </row>
    <row r="89">
      <c r="A89">
        <f>IFERROR(__xludf.DUMMYFUNCTION("""COMPUTED_VALUE"""),137.0)</f>
        <v>137</v>
      </c>
      <c r="B89" s="12"/>
      <c r="C89" s="35"/>
      <c r="D89" s="3"/>
      <c r="E89" s="3"/>
      <c r="F89" s="3"/>
      <c r="G89" s="12"/>
      <c r="H89" s="12"/>
      <c r="I89" s="12"/>
      <c r="J89" s="12"/>
    </row>
    <row r="90">
      <c r="A90">
        <f>IFERROR(__xludf.DUMMYFUNCTION("""COMPUTED_VALUE"""),138.0)</f>
        <v>138</v>
      </c>
      <c r="B90" s="12"/>
      <c r="C90" s="35"/>
      <c r="D90" s="3"/>
      <c r="E90" s="12"/>
      <c r="F90" s="12"/>
      <c r="G90" s="12"/>
      <c r="H90" s="12"/>
      <c r="I90" s="12"/>
      <c r="J90" s="12"/>
    </row>
    <row r="91">
      <c r="A91">
        <f>IFERROR(__xludf.DUMMYFUNCTION("""COMPUTED_VALUE"""),140.0)</f>
        <v>140</v>
      </c>
      <c r="B91" s="12"/>
      <c r="C91" s="35"/>
      <c r="D91" s="3"/>
      <c r="E91" s="3"/>
      <c r="F91" s="12"/>
      <c r="G91" s="12"/>
      <c r="H91" s="12"/>
      <c r="I91" s="12"/>
      <c r="J91" s="12"/>
    </row>
    <row r="92">
      <c r="A92">
        <f>IFERROR(__xludf.DUMMYFUNCTION("""COMPUTED_VALUE"""),141.0)</f>
        <v>141</v>
      </c>
      <c r="B92" s="12"/>
      <c r="C92" s="35"/>
      <c r="D92" s="3"/>
      <c r="E92" s="3"/>
      <c r="F92" s="12"/>
      <c r="G92" s="12"/>
      <c r="H92" s="12"/>
      <c r="I92" s="12"/>
      <c r="J92" s="12"/>
    </row>
    <row r="93">
      <c r="A93">
        <f>IFERROR(__xludf.DUMMYFUNCTION("""COMPUTED_VALUE"""),142.0)</f>
        <v>142</v>
      </c>
      <c r="B93" s="12"/>
      <c r="C93" s="35"/>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5"/>
      <c r="D96" s="3"/>
      <c r="E96" s="3"/>
      <c r="F96" s="12"/>
      <c r="G96" s="12"/>
      <c r="H96" s="12"/>
      <c r="I96" s="12"/>
      <c r="J96" s="12"/>
    </row>
    <row r="97">
      <c r="A97">
        <f>IFERROR(__xludf.DUMMYFUNCTION("""COMPUTED_VALUE"""),148.0)</f>
        <v>148</v>
      </c>
      <c r="B97" s="12"/>
      <c r="C97" s="35"/>
      <c r="D97" s="3"/>
      <c r="E97" s="12"/>
      <c r="F97" s="12"/>
      <c r="G97" s="12"/>
      <c r="H97" s="12"/>
      <c r="I97" s="12"/>
      <c r="J97" s="12"/>
    </row>
    <row r="98">
      <c r="A98">
        <f>IFERROR(__xludf.DUMMYFUNCTION("""COMPUTED_VALUE"""),149.0)</f>
        <v>149</v>
      </c>
      <c r="B98" s="12"/>
      <c r="C98" s="3"/>
      <c r="E98" s="3"/>
      <c r="F98" s="3"/>
      <c r="G98" s="12"/>
      <c r="H98" s="12"/>
      <c r="I98" s="12"/>
      <c r="J98" s="12"/>
    </row>
    <row r="99">
      <c r="A99">
        <f>IFERROR(__xludf.DUMMYFUNCTION("""COMPUTED_VALUE"""),150.0)</f>
        <v>150</v>
      </c>
      <c r="B99" s="12"/>
      <c r="C99" s="3"/>
      <c r="D99" s="3"/>
      <c r="E99" s="12"/>
      <c r="F99" s="12"/>
      <c r="G99" s="12"/>
      <c r="H99" s="12"/>
      <c r="I99" s="12"/>
      <c r="J99" s="12"/>
    </row>
    <row r="100">
      <c r="A100">
        <f>IFERROR(__xludf.DUMMYFUNCTION("""COMPUTED_VALUE"""),151.0)</f>
        <v>151</v>
      </c>
      <c r="B100" s="12"/>
      <c r="C100" s="3"/>
      <c r="D100" s="3"/>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5"/>
      <c r="D103" s="3"/>
      <c r="E103" s="12"/>
      <c r="F103" s="12"/>
      <c r="G103" s="12"/>
      <c r="H103" s="12"/>
      <c r="I103" s="12"/>
      <c r="J103" s="12"/>
    </row>
    <row r="104">
      <c r="A104">
        <f>IFERROR(__xludf.DUMMYFUNCTION("""COMPUTED_VALUE"""),156.0)</f>
        <v>156</v>
      </c>
      <c r="B104" s="12"/>
      <c r="C104" s="3"/>
      <c r="D104" s="26"/>
      <c r="E104" s="3"/>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t="str">
        <f>IFERROR(__xludf.DUMMYFUNCTION("""COMPUTED_VALUE"""),"privacy")</f>
        <v>privacy</v>
      </c>
      <c r="C112" s="3" t="s">
        <v>384</v>
      </c>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t="str">
        <f>IFERROR(__xludf.DUMMYFUNCTION("""COMPUTED_VALUE"""),"I'd consider if I want my email linked to their app or service, assuming that they'll be sending me multiple emails a week. I'd also question if it would have any actual benefit, considering Google Chrome saves login information anyway.")</f>
        <v>I'd consider if I want my email linked to their app or service, assuming that they'll be sending me multiple emails a week. I'd also question if it would have any actual benefit, considering Google Chrome saves login information anyway.</v>
      </c>
      <c r="C114" s="3" t="s">
        <v>1605</v>
      </c>
      <c r="D114" s="3" t="s">
        <v>1639</v>
      </c>
      <c r="E114" s="3" t="s">
        <v>1610</v>
      </c>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t="str">
        <f>IFERROR(__xludf.DUMMYFUNCTION("""COMPUTED_VALUE"""),"I would not do it cause thats something I don't do.")</f>
        <v>I would not do it cause thats something I don't do.</v>
      </c>
      <c r="C120" s="3" t="s">
        <v>1624</v>
      </c>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t="str">
        <f>IFERROR(__xludf.DUMMYFUNCTION("""COMPUTED_VALUE"""),"not sure")</f>
        <v>not sure</v>
      </c>
      <c r="C125" s="3" t="s">
        <v>1607</v>
      </c>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t="str">
        <f>IFERROR(__xludf.DUMMYFUNCTION("""COMPUTED_VALUE"""),"I would consider what the site is, how often I'd use it, whether or not I trust the site, what their privacy settings are, and if I even want to do that.")</f>
        <v>I would consider what the site is, how often I'd use it, whether or not I trust the site, what their privacy settings are, and if I even want to do that.</v>
      </c>
      <c r="C147" s="3" t="s">
        <v>1602</v>
      </c>
      <c r="D147" s="3" t="s">
        <v>1641</v>
      </c>
      <c r="E147" s="3" t="s">
        <v>384</v>
      </c>
      <c r="F147" s="3" t="s">
        <v>1610</v>
      </c>
      <c r="G147" s="20" t="s">
        <v>1642</v>
      </c>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t="str">
        <f>IFERROR(__xludf.DUMMYFUNCTION("""COMPUTED_VALUE"""),"privacy")</f>
        <v>privacy</v>
      </c>
      <c r="C165" s="3" t="s">
        <v>384</v>
      </c>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t="str">
        <f>IFERROR(__xludf.DUMMYFUNCTION("""COMPUTED_VALUE"""),"i mostly consider the idea that i shouldnt be required to sign in to see the content, so i refuse to use my account to sign in and typically can still view the content, so i see no reason to affiliate my account with my activity in such a manner")</f>
        <v>i mostly consider the idea that i shouldnt be required to sign in to see the content, so i refuse to use my account to sign in and typically can still view the content, so i see no reason to affiliate my account with my activity in such a manner</v>
      </c>
      <c r="C175" s="3" t="s">
        <v>1620</v>
      </c>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t="str">
        <f>IFERROR(__xludf.DUMMYFUNCTION("""COMPUTED_VALUE"""),"how protected my information would be")</f>
        <v>how protected my information would be</v>
      </c>
      <c r="C198" s="3" t="s">
        <v>65</v>
      </c>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t="str">
        <f>IFERROR(__xludf.DUMMYFUNCTION("""COMPUTED_VALUE"""),"I would be very concerned about security as i would want a website very secured.")</f>
        <v>I would be very concerned about security as i would want a website very secured.</v>
      </c>
      <c r="C204" s="3" t="s">
        <v>65</v>
      </c>
      <c r="D204" s="3" t="s">
        <v>1602</v>
      </c>
      <c r="E204" s="3" t="s">
        <v>1603</v>
      </c>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t="str">
        <f>IFERROR(__xludf.DUMMYFUNCTION("""COMPUTED_VALUE"""),"Privacy - Whether my real name was displayed if I used it. I also don't need my email address floating around, so I would likely not do this.")</f>
        <v>Privacy - Whether my real name was displayed if I used it. I also don't need my email address floating around, so I would likely not do this.</v>
      </c>
      <c r="C216" s="3" t="s">
        <v>384</v>
      </c>
      <c r="D216" s="3" t="s">
        <v>1605</v>
      </c>
      <c r="E216" s="3" t="s">
        <v>1622</v>
      </c>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t="str">
        <f>IFERROR(__xludf.DUMMYFUNCTION("""COMPUTED_VALUE"""),"I would probably not be interested. It would need to be an app or service that has no personal information and is not something important to me. A game app is something I might do this for.")</f>
        <v>I would probably not be interested. It would need to be an app or service that has no personal information and is not something important to me. A game app is something I might do this for.</v>
      </c>
      <c r="C233" s="3" t="s">
        <v>384</v>
      </c>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t="str">
        <f>IFERROR(__xludf.DUMMYFUNCTION("""COMPUTED_VALUE"""),"what information is being shared")</f>
        <v>what information is being shared</v>
      </c>
      <c r="C246" s="3" t="s">
        <v>1605</v>
      </c>
      <c r="D246" s="3" t="s">
        <v>1622</v>
      </c>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t="str">
        <f>IFERROR(__xludf.DUMMYFUNCTION("""COMPUTED_VALUE"""),"privacy")</f>
        <v>privacy</v>
      </c>
      <c r="C256" s="3" t="s">
        <v>384</v>
      </c>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t="str">
        <f>IFERROR(__xludf.DUMMYFUNCTION("""COMPUTED_VALUE"""),"How it allows google to track me on the other apps. I usually don't use this option to access these other services.")</f>
        <v>How it allows google to track me on the other apps. I usually don't use this option to access these other services.</v>
      </c>
      <c r="C260" s="3" t="s">
        <v>384</v>
      </c>
      <c r="D260" s="3" t="s">
        <v>1624</v>
      </c>
      <c r="E260" s="3" t="s">
        <v>1625</v>
      </c>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t="str">
        <f>IFERROR(__xludf.DUMMYFUNCTION("""COMPUTED_VALUE"""),"I would usually use Facebook first.")</f>
        <v>I would usually use Facebook first.</v>
      </c>
      <c r="C265" s="3" t="s">
        <v>1620</v>
      </c>
      <c r="D265" s="3" t="s">
        <v>1621</v>
      </c>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t="str">
        <f>IFERROR(__xludf.DUMMYFUNCTION("""COMPUTED_VALUE"""),"I would consider the site and if I trust it.")</f>
        <v>I would consider the site and if I trust it.</v>
      </c>
      <c r="C279" s="3" t="s">
        <v>1602</v>
      </c>
      <c r="D279" s="3" t="s">
        <v>1603</v>
      </c>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t="str">
        <f>IFERROR(__xludf.DUMMYFUNCTION("""COMPUTED_VALUE"""),"That they have access to my gmail and other google account information.")</f>
        <v>That they have access to my gmail and other google account information.</v>
      </c>
      <c r="C285" s="3" t="s">
        <v>1605</v>
      </c>
      <c r="D285" s="3" t="s">
        <v>1622</v>
      </c>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t="str">
        <f>IFERROR(__xludf.DUMMYFUNCTION("""COMPUTED_VALUE"""),"I only have one account that I use my Google sign in and that is a second ebay account. Otherwise I never ever use my Google log in to sign into accounts. I don't think Google needs to know where I am at all times.")</f>
        <v>I only have one account that I use my Google sign in and that is a second ebay account. Otherwise I never ever use my Google log in to sign into accounts. I don't think Google needs to know where I am at all times.</v>
      </c>
      <c r="C290" s="3" t="s">
        <v>384</v>
      </c>
      <c r="D290" s="3" t="s">
        <v>1624</v>
      </c>
      <c r="E290" s="3" t="s">
        <v>1625</v>
      </c>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t="str">
        <f>IFERROR(__xludf.DUMMYFUNCTION("""COMPUTED_VALUE"""),"Trust in the app")</f>
        <v>Trust in the app</v>
      </c>
      <c r="C295" s="3" t="s">
        <v>1602</v>
      </c>
      <c r="D295" s="3" t="s">
        <v>1615</v>
      </c>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t="str">
        <f>IFERROR(__xludf.DUMMYFUNCTION("""COMPUTED_VALUE"""),"If it were safe.")</f>
        <v>If it were safe.</v>
      </c>
      <c r="C298" s="3" t="s">
        <v>65</v>
      </c>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t="str">
        <f>IFERROR(__xludf.DUMMYFUNCTION("""COMPUTED_VALUE"""),"if it was safe or not")</f>
        <v>if it was safe or not</v>
      </c>
      <c r="C306" s="3" t="s">
        <v>65</v>
      </c>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t="str">
        <f>IFERROR(__xludf.DUMMYFUNCTION("""COMPUTED_VALUE"""),"no")</f>
        <v>no</v>
      </c>
      <c r="C310" s="3" t="s">
        <v>1607</v>
      </c>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t="str">
        <f>IFERROR(__xludf.DUMMYFUNCTION("""COMPUTED_VALUE"""),"I would ignore it and refuse to use that option. I do not wish to be spammed or have that address sold on or given to other parties. I would merely enter a different, non-Gmail email address that I've set up solely for these types of situations.")</f>
        <v>I would ignore it and refuse to use that option. I do not wish to be spammed or have that address sold on or given to other parties. I would merely enter a different, non-Gmail email address that I've set up solely for these types of situations.</v>
      </c>
      <c r="C312" s="3" t="s">
        <v>1605</v>
      </c>
      <c r="D312" s="3" t="s">
        <v>1639</v>
      </c>
      <c r="E312" s="3" t="s">
        <v>1606</v>
      </c>
      <c r="F312" s="3" t="s">
        <v>1620</v>
      </c>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t="str">
        <f>IFERROR(__xludf.DUMMYFUNCTION("""COMPUTED_VALUE"""),"I would want to know it is secure and would want to know what else would come out of this partnership like email newsletters and the like. I do not always want messages sent to my Gmail")</f>
        <v>I would want to know it is secure and would want to know what else would come out of this partnership like email newsletters and the like. I do not always want messages sent to my Gmail</v>
      </c>
      <c r="C330" s="3" t="s">
        <v>65</v>
      </c>
      <c r="D330" s="3" t="s">
        <v>1605</v>
      </c>
      <c r="E330" s="3" t="s">
        <v>1639</v>
      </c>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t="str">
        <f>IFERROR(__xludf.DUMMYFUNCTION("""COMPUTED_VALUE"""),"If they sell or spread my information, especially my email address since I don't want spam.")</f>
        <v>If they sell or spread my information, especially my email address since I don't want spam.</v>
      </c>
      <c r="C363" s="3" t="s">
        <v>1605</v>
      </c>
      <c r="D363" s="3" t="s">
        <v>1606</v>
      </c>
      <c r="E363" s="3" t="s">
        <v>1639</v>
      </c>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t="str">
        <f>IFERROR(__xludf.DUMMYFUNCTION("""COMPUTED_VALUE"""),"If the developer of the app was someone I was familiar with")</f>
        <v>If the developer of the app was someone I was familiar with</v>
      </c>
      <c r="C391" s="3" t="s">
        <v>1602</v>
      </c>
      <c r="D391" s="3" t="s">
        <v>1633</v>
      </c>
      <c r="E391" s="3" t="s">
        <v>1615</v>
      </c>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t="str">
        <f>IFERROR(__xludf.DUMMYFUNCTION("""COMPUTED_VALUE"""),"What information would be passed to google or the third party for the login to happen. If they will keep track of what sites I use it for")</f>
        <v>What information would be passed to google or the third party for the login to happen. If they will keep track of what sites I use it for</v>
      </c>
      <c r="C422" s="3" t="s">
        <v>1605</v>
      </c>
      <c r="D422" s="3" t="s">
        <v>1622</v>
      </c>
      <c r="E422" s="3" t="s">
        <v>1617</v>
      </c>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t="str">
        <f>IFERROR(__xludf.DUMMYFUNCTION("""COMPUTED_VALUE"""),"If I really need to and want to use my time doing that.")</f>
        <v>If I really need to and want to use my time doing that.</v>
      </c>
      <c r="C430" s="3" t="s">
        <v>1627</v>
      </c>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IFERROR(__xludf.DUMMYFUNCTION("QUERY({'S9 (primary)'!C2:C1000;'S9 (primary)'!D2:D1000;'S9 (primary)'!E2:E1000;'S9 (primary)'!F2:F1000;'S9 (primary)'!G2:G1000;'S9 (primary)'!H2:H1000;'S9 (primary)'!I2:I1000;'S9 (primary)'!J2:J1000;'S9 (primary)'!K2:K1000}, ""select Col1, count(Col1) whe"&amp;"re Col1 is not null group by Col1 order by Col1 asc"")"),"")</f>
        <v/>
      </c>
      <c r="B2" s="34" t="str">
        <f>IFERROR(__xludf.DUMMYFUNCTION("""COMPUTED_VALUE"""),"count ")</f>
        <v>count </v>
      </c>
      <c r="C2" s="34"/>
      <c r="D2" s="34"/>
      <c r="E2" s="34" t="str">
        <f>IFERROR(__xludf.DUMMYFUNCTION("QUERY({'S9 (primary)'!C2:C1000;'S9 (primary)'!D2:D1000;'S9 (primary)'!E2:E1000;'S9 (primary)'!F2:F1000;'S9 (primary)'!G2:G1000;'S9 (primary)'!H2:H1000;'S9 (primary)'!I2:I1000;'S9 (primary)'!J2:J1000;'S9 (primary)'!K2:K1000}, ""select Col1, count(Col1) whe"&amp;"re Col1 is not null and not Col1 contains '-&gt;' group by Col1 order by count(Col1) desc"")"),"")</f>
        <v/>
      </c>
      <c r="F2" s="34" t="str">
        <f>IFERROR(__xludf.DUMMYFUNCTION("""COMPUTED_VALUE"""),"count ")</f>
        <v>count </v>
      </c>
    </row>
    <row r="3">
      <c r="A3" t="str">
        <f>IFERROR(__xludf.DUMMYFUNCTION("""COMPUTED_VALUE"""),"distrust")</f>
        <v>distrust</v>
      </c>
      <c r="B3">
        <f>IFERROR(__xludf.DUMMYFUNCTION("""COMPUTED_VALUE"""),4.0)</f>
        <v>4</v>
      </c>
      <c r="E3" t="str">
        <f>IFERROR(__xludf.DUMMYFUNCTION("""COMPUTED_VALUE"""),"privacy")</f>
        <v>privacy</v>
      </c>
      <c r="F3">
        <f>IFERROR(__xludf.DUMMYFUNCTION("""COMPUTED_VALUE"""),13.0)</f>
        <v>13</v>
      </c>
    </row>
    <row r="4">
      <c r="A4" t="str">
        <f>IFERROR(__xludf.DUMMYFUNCTION("""COMPUTED_VALUE"""),"distrust-&gt;company")</f>
        <v>distrust-&gt;company</v>
      </c>
      <c r="B4">
        <f>IFERROR(__xludf.DUMMYFUNCTION("""COMPUTED_VALUE"""),1.0)</f>
        <v>1</v>
      </c>
      <c r="E4" t="str">
        <f>IFERROR(__xludf.DUMMYFUNCTION("""COMPUTED_VALUE"""),"unknowns")</f>
        <v>unknowns</v>
      </c>
      <c r="F4">
        <f>IFERROR(__xludf.DUMMYFUNCTION("""COMPUTED_VALUE"""),12.0)</f>
        <v>12</v>
      </c>
    </row>
    <row r="5">
      <c r="A5" t="str">
        <f>IFERROR(__xludf.DUMMYFUNCTION("""COMPUTED_VALUE"""),"distrust-&gt;google")</f>
        <v>distrust-&gt;google</v>
      </c>
      <c r="B5">
        <f>IFERROR(__xludf.DUMMYFUNCTION("""COMPUTED_VALUE"""),2.0)</f>
        <v>2</v>
      </c>
      <c r="E5" t="str">
        <f>IFERROR(__xludf.DUMMYFUNCTION("""COMPUTED_VALUE"""),"security")</f>
        <v>security</v>
      </c>
      <c r="F5">
        <f>IFERROR(__xludf.DUMMYFUNCTION("""COMPUTED_VALUE"""),10.0)</f>
        <v>10</v>
      </c>
    </row>
    <row r="6">
      <c r="A6" t="str">
        <f>IFERROR(__xludf.DUMMYFUNCTION("""COMPUTED_VALUE"""),"necessary")</f>
        <v>necessary</v>
      </c>
      <c r="B6">
        <f>IFERROR(__xludf.DUMMYFUNCTION("""COMPUTED_VALUE"""),1.0)</f>
        <v>1</v>
      </c>
      <c r="E6" t="str">
        <f>IFERROR(__xludf.DUMMYFUNCTION("""COMPUTED_VALUE"""),"trust")</f>
        <v>trust</v>
      </c>
      <c r="F6">
        <f>IFERROR(__xludf.DUMMYFUNCTION("""COMPUTED_VALUE"""),10.0)</f>
        <v>10</v>
      </c>
    </row>
    <row r="7">
      <c r="A7" t="str">
        <f>IFERROR(__xludf.DUMMYFUNCTION("""COMPUTED_VALUE"""),"other_options")</f>
        <v>other_options</v>
      </c>
      <c r="B7">
        <f>IFERROR(__xludf.DUMMYFUNCTION("""COMPUTED_VALUE"""),6.0)</f>
        <v>6</v>
      </c>
      <c r="E7" t="str">
        <f>IFERROR(__xludf.DUMMYFUNCTION("""COMPUTED_VALUE"""),"other_options")</f>
        <v>other_options</v>
      </c>
      <c r="F7">
        <f>IFERROR(__xludf.DUMMYFUNCTION("""COMPUTED_VALUE"""),6.0)</f>
        <v>6</v>
      </c>
    </row>
    <row r="8">
      <c r="A8" t="str">
        <f>IFERROR(__xludf.DUMMYFUNCTION("""COMPUTED_VALUE"""),"other_options-&gt;facebook")</f>
        <v>other_options-&gt;facebook</v>
      </c>
      <c r="B8">
        <f>IFERROR(__xludf.DUMMYFUNCTION("""COMPUTED_VALUE"""),2.0)</f>
        <v>2</v>
      </c>
      <c r="E8" t="str">
        <f>IFERROR(__xludf.DUMMYFUNCTION("""COMPUTED_VALUE"""),"distrust")</f>
        <v>distrust</v>
      </c>
      <c r="F8">
        <f>IFERROR(__xludf.DUMMYFUNCTION("""COMPUTED_VALUE"""),4.0)</f>
        <v>4</v>
      </c>
    </row>
    <row r="9">
      <c r="A9" t="str">
        <f>IFERROR(__xludf.DUMMYFUNCTION("""COMPUTED_VALUE"""),"privacy")</f>
        <v>privacy</v>
      </c>
      <c r="B9">
        <f>IFERROR(__xludf.DUMMYFUNCTION("""COMPUTED_VALUE"""),13.0)</f>
        <v>13</v>
      </c>
      <c r="E9" t="str">
        <f>IFERROR(__xludf.DUMMYFUNCTION("""COMPUTED_VALUE"""),"tradeoff")</f>
        <v>tradeoff</v>
      </c>
      <c r="F9">
        <f>IFERROR(__xludf.DUMMYFUNCTION("""COMPUTED_VALUE"""),2.0)</f>
        <v>2</v>
      </c>
    </row>
    <row r="10">
      <c r="A10" t="str">
        <f>IFERROR(__xludf.DUMMYFUNCTION("""COMPUTED_VALUE"""),"security")</f>
        <v>security</v>
      </c>
      <c r="B10">
        <f>IFERROR(__xludf.DUMMYFUNCTION("""COMPUTED_VALUE"""),10.0)</f>
        <v>10</v>
      </c>
      <c r="E10" t="str">
        <f>IFERROR(__xludf.DUMMYFUNCTION("""COMPUTED_VALUE"""),"unsure")</f>
        <v>unsure</v>
      </c>
      <c r="F10">
        <f>IFERROR(__xludf.DUMMYFUNCTION("""COMPUTED_VALUE"""),2.0)</f>
        <v>2</v>
      </c>
    </row>
    <row r="11">
      <c r="A11" t="str">
        <f>IFERROR(__xludf.DUMMYFUNCTION("""COMPUTED_VALUE"""),"tradeoff")</f>
        <v>tradeoff</v>
      </c>
      <c r="B11">
        <f>IFERROR(__xludf.DUMMYFUNCTION("""COMPUTED_VALUE"""),2.0)</f>
        <v>2</v>
      </c>
      <c r="E11" t="str">
        <f>IFERROR(__xludf.DUMMYFUNCTION("""COMPUTED_VALUE"""),"necessary")</f>
        <v>necessary</v>
      </c>
      <c r="F11">
        <f>IFERROR(__xludf.DUMMYFUNCTION("""COMPUTED_VALUE"""),1.0)</f>
        <v>1</v>
      </c>
    </row>
    <row r="12">
      <c r="A12" t="str">
        <f>IFERROR(__xludf.DUMMYFUNCTION("""COMPUTED_VALUE"""),"tradeoff-&gt;frequent_use")</f>
        <v>tradeoff-&gt;frequent_use</v>
      </c>
      <c r="B12">
        <f>IFERROR(__xludf.DUMMYFUNCTION("""COMPUTED_VALUE"""),1.0)</f>
        <v>1</v>
      </c>
    </row>
    <row r="13">
      <c r="A13" t="str">
        <f>IFERROR(__xludf.DUMMYFUNCTION("""COMPUTED_VALUE"""),"trust")</f>
        <v>trust</v>
      </c>
      <c r="B13">
        <f>IFERROR(__xludf.DUMMYFUNCTION("""COMPUTED_VALUE"""),10.0)</f>
        <v>10</v>
      </c>
    </row>
    <row r="14">
      <c r="A14" t="str">
        <f>IFERROR(__xludf.DUMMYFUNCTION("""COMPUTED_VALUE"""),"trust-&gt;app")</f>
        <v>trust-&gt;app</v>
      </c>
      <c r="B14">
        <f>IFERROR(__xludf.DUMMYFUNCTION("""COMPUTED_VALUE"""),4.0)</f>
        <v>4</v>
      </c>
    </row>
    <row r="15">
      <c r="A15" t="str">
        <f>IFERROR(__xludf.DUMMYFUNCTION("""COMPUTED_VALUE"""),"trust-&gt;company")</f>
        <v>trust-&gt;company</v>
      </c>
      <c r="B15">
        <f>IFERROR(__xludf.DUMMYFUNCTION("""COMPUTED_VALUE"""),2.0)</f>
        <v>2</v>
      </c>
    </row>
    <row r="16">
      <c r="A16" t="str">
        <f>IFERROR(__xludf.DUMMYFUNCTION("""COMPUTED_VALUE"""),"trust-&gt;site")</f>
        <v>trust-&gt;site</v>
      </c>
      <c r="B16">
        <f>IFERROR(__xludf.DUMMYFUNCTION("""COMPUTED_VALUE"""),1.0)</f>
        <v>1</v>
      </c>
    </row>
    <row r="17">
      <c r="A17" t="str">
        <f>IFERROR(__xludf.DUMMYFUNCTION("""COMPUTED_VALUE"""),"trust-&gt;website")</f>
        <v>trust-&gt;website</v>
      </c>
      <c r="B17">
        <f>IFERROR(__xludf.DUMMYFUNCTION("""COMPUTED_VALUE"""),3.0)</f>
        <v>3</v>
      </c>
    </row>
    <row r="18">
      <c r="A18" t="str">
        <f>IFERROR(__xludf.DUMMYFUNCTION("""COMPUTED_VALUE"""),"unknowns")</f>
        <v>unknowns</v>
      </c>
      <c r="B18">
        <f>IFERROR(__xludf.DUMMYFUNCTION("""COMPUTED_VALUE"""),12.0)</f>
        <v>12</v>
      </c>
    </row>
    <row r="19">
      <c r="A19" t="str">
        <f>IFERROR(__xludf.DUMMYFUNCTION("""COMPUTED_VALUE"""),"unknowns-&gt;do_they_keep_information")</f>
        <v>unknowns-&gt;do_they_keep_information</v>
      </c>
      <c r="B19">
        <f>IFERROR(__xludf.DUMMYFUNCTION("""COMPUTED_VALUE"""),2.0)</f>
        <v>2</v>
      </c>
    </row>
    <row r="20">
      <c r="A20" t="str">
        <f>IFERROR(__xludf.DUMMYFUNCTION("""COMPUTED_VALUE"""),"unknowns-&gt;information_access")</f>
        <v>unknowns-&gt;information_access</v>
      </c>
      <c r="B20">
        <f>IFERROR(__xludf.DUMMYFUNCTION("""COMPUTED_VALUE"""),4.0)</f>
        <v>4</v>
      </c>
    </row>
    <row r="21">
      <c r="A21" t="str">
        <f>IFERROR(__xludf.DUMMYFUNCTION("""COMPUTED_VALUE"""),"unknowns-&gt;no_unwanted_email")</f>
        <v>unknowns-&gt;no_unwanted_email</v>
      </c>
      <c r="B21">
        <f>IFERROR(__xludf.DUMMYFUNCTION("""COMPUTED_VALUE"""),4.0)</f>
        <v>4</v>
      </c>
    </row>
    <row r="22">
      <c r="A22" t="str">
        <f>IFERROR(__xludf.DUMMYFUNCTION("""COMPUTED_VALUE"""),"unknowns-&gt;use_of_information")</f>
        <v>unknowns-&gt;use_of_information</v>
      </c>
      <c r="B22">
        <f>IFERROR(__xludf.DUMMYFUNCTION("""COMPUTED_VALUE"""),5.0)</f>
        <v>5</v>
      </c>
    </row>
    <row r="23">
      <c r="A23" t="str">
        <f>IFERROR(__xludf.DUMMYFUNCTION("""COMPUTED_VALUE"""),"unsure")</f>
        <v>unsure</v>
      </c>
      <c r="B23">
        <f>IFERROR(__xludf.DUMMYFUNCTION("""COMPUTED_VALUE"""),2.0)</f>
        <v>2</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A,D"")"),"Response ID")</f>
        <v>Response ID</v>
      </c>
      <c r="B1" s="17" t="str">
        <f>IFERROR(__xludf.DUMMYFUNCTION("""COMPUTED_VALUE"""),"google_recall_sso_no_consider")</f>
        <v>google_recall_sso_no_consider</v>
      </c>
      <c r="C1" s="17" t="s">
        <v>1399</v>
      </c>
      <c r="D1" s="17" t="s">
        <v>1400</v>
      </c>
      <c r="E1" s="17" t="s">
        <v>1401</v>
      </c>
      <c r="F1" s="17" t="s">
        <v>1402</v>
      </c>
      <c r="G1" s="17" t="s">
        <v>1403</v>
      </c>
      <c r="H1" s="17" t="s">
        <v>1404</v>
      </c>
      <c r="I1" s="17" t="s">
        <v>1405</v>
      </c>
      <c r="J1" s="17" t="s">
        <v>1406</v>
      </c>
    </row>
    <row r="2">
      <c r="A2" s="48">
        <f>IFERROR(__xludf.DUMMYFUNCTION("""COMPUTED_VALUE"""),1.0)</f>
        <v>1</v>
      </c>
      <c r="B2" s="19" t="str">
        <f>IFERROR(__xludf.DUMMYFUNCTION("""COMPUTED_VALUE"""),"Protection and privacy of my data.")</f>
        <v>Protection and privacy of my data.</v>
      </c>
      <c r="C2" t="s">
        <v>65</v>
      </c>
      <c r="D2" t="s">
        <v>384</v>
      </c>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t="str">
        <f>IFERROR(__xludf.DUMMYFUNCTION("""COMPUTED_VALUE"""),"Protection and privacy of my data.")</f>
        <v>Protection and privacy of my data.</v>
      </c>
      <c r="C4" t="s">
        <v>65</v>
      </c>
      <c r="D4" t="s">
        <v>384</v>
      </c>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t="str">
        <f>IFERROR(__xludf.DUMMYFUNCTION("""COMPUTED_VALUE"""),"Previous privacy issues that the app/service have had and how secure I feel my data is being kept.")</f>
        <v>Previous privacy issues that the app/service have had and how secure I feel my data is being kept.</v>
      </c>
      <c r="C6" t="s">
        <v>384</v>
      </c>
      <c r="D6" t="s">
        <v>65</v>
      </c>
      <c r="E6" t="s">
        <v>1602</v>
      </c>
      <c r="F6" t="s">
        <v>1615</v>
      </c>
      <c r="G6" s="12"/>
      <c r="H6" s="12"/>
      <c r="I6" s="12"/>
      <c r="J6" s="12"/>
    </row>
    <row r="7">
      <c r="A7" s="48">
        <f>IFERROR(__xludf.DUMMYFUNCTION("""COMPUTED_VALUE"""),10.0)</f>
        <v>10</v>
      </c>
      <c r="B7" s="19"/>
      <c r="C7" s="45"/>
      <c r="D7" s="45"/>
      <c r="E7" s="3"/>
      <c r="F7" s="3"/>
      <c r="G7" s="3"/>
      <c r="H7" s="3"/>
      <c r="I7" s="12"/>
      <c r="J7" s="12"/>
    </row>
    <row r="8">
      <c r="A8" s="48">
        <f>IFERROR(__xludf.DUMMYFUNCTION("""COMPUTED_VALUE"""),12.0)</f>
        <v>12</v>
      </c>
      <c r="B8" s="19" t="str">
        <f>IFERROR(__xludf.DUMMYFUNCTION("""COMPUTED_VALUE"""),"I would want to know that my information is secure and that it would only be used by trusted parties which i authorize and who have been vetted by Google to be determine secure and trustworthy. Furthermore, that my information would be deleted immediatly "&amp;"upon exiting the service and not stored.")</f>
        <v>I would want to know that my information is secure and that it would only be used by trusted parties which i authorize and who have been vetted by Google to be determine secure and trustworthy. Furthermore, that my information would be deleted immediatly upon exiting the service and not stored.</v>
      </c>
      <c r="C8" t="s">
        <v>65</v>
      </c>
      <c r="D8" t="s">
        <v>1602</v>
      </c>
      <c r="E8" t="s">
        <v>1605</v>
      </c>
      <c r="F8" t="s">
        <v>1617</v>
      </c>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45"/>
      <c r="D10" s="45"/>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45"/>
      <c r="D14" s="45"/>
      <c r="E14" s="45"/>
      <c r="F14" s="45"/>
      <c r="G14" s="45"/>
      <c r="H14" s="34"/>
      <c r="I14" s="12"/>
      <c r="J14" s="12"/>
    </row>
    <row r="15">
      <c r="A15" s="48">
        <f>IFERROR(__xludf.DUMMYFUNCTION("""COMPUTED_VALUE"""),24.0)</f>
        <v>24</v>
      </c>
      <c r="B15" s="19"/>
      <c r="C15" s="3"/>
      <c r="D15" s="3"/>
      <c r="E15" s="12"/>
      <c r="F15" s="12"/>
      <c r="G15" s="12"/>
      <c r="H15" s="12"/>
      <c r="I15" s="12"/>
      <c r="J15" s="12"/>
    </row>
    <row r="16">
      <c r="A16" s="48">
        <f>IFERROR(__xludf.DUMMYFUNCTION("""COMPUTED_VALUE"""),25.0)</f>
        <v>25</v>
      </c>
      <c r="B16" s="19"/>
      <c r="C16" s="3"/>
      <c r="D16" s="3"/>
      <c r="E16" s="3"/>
      <c r="F16" s="12"/>
      <c r="G16" s="12"/>
      <c r="H16" s="12"/>
      <c r="I16" s="12"/>
      <c r="J16" s="12"/>
    </row>
    <row r="17">
      <c r="A17" s="48">
        <f>IFERROR(__xludf.DUMMYFUNCTION("""COMPUTED_VALUE"""),26.0)</f>
        <v>26</v>
      </c>
      <c r="B17" s="19"/>
      <c r="C17" s="34"/>
      <c r="D17" s="12"/>
      <c r="E17" s="12"/>
      <c r="F17" s="12"/>
      <c r="G17" s="12"/>
    </row>
    <row r="18">
      <c r="A18" s="48">
        <f>IFERROR(__xludf.DUMMYFUNCTION("""COMPUTED_VALUE"""),28.0)</f>
        <v>28</v>
      </c>
      <c r="B18" s="19" t="str">
        <f>IFERROR(__xludf.DUMMYFUNCTION("""COMPUTED_VALUE"""),"I would prefer other options first before using my google account to sign in. If the organization is proven trustworthy then I would be open to using this however.")</f>
        <v>I would prefer other options first before using my google account to sign in. If the organization is proven trustworthy then I would be open to using this however.</v>
      </c>
      <c r="C18" t="s">
        <v>1620</v>
      </c>
      <c r="D18" t="s">
        <v>1602</v>
      </c>
      <c r="E18" s="12"/>
      <c r="F18" s="12"/>
      <c r="G18" s="12"/>
    </row>
    <row r="19">
      <c r="A19" s="48">
        <f>IFERROR(__xludf.DUMMYFUNCTION("""COMPUTED_VALUE"""),29.0)</f>
        <v>29</v>
      </c>
      <c r="B19" s="19"/>
      <c r="C19" s="12"/>
      <c r="D19" s="12"/>
      <c r="E19" s="12"/>
      <c r="F19" s="12"/>
      <c r="G19" s="12"/>
    </row>
    <row r="20">
      <c r="A20" s="48">
        <f>IFERROR(__xludf.DUMMYFUNCTION("""COMPUTED_VALUE"""),30.0)</f>
        <v>30</v>
      </c>
      <c r="B20" s="19"/>
      <c r="C20" s="12"/>
      <c r="D20" s="12"/>
      <c r="E20" s="12"/>
      <c r="F20" s="12"/>
      <c r="G20" s="12"/>
    </row>
    <row r="21">
      <c r="A21" s="48">
        <f>IFERROR(__xludf.DUMMYFUNCTION("""COMPUTED_VALUE"""),31.0)</f>
        <v>31</v>
      </c>
      <c r="B21" s="19"/>
      <c r="C21" s="12"/>
      <c r="D21" s="12"/>
      <c r="E21" s="12"/>
      <c r="F21" s="12"/>
      <c r="G21" s="12"/>
    </row>
    <row r="22">
      <c r="A22" s="48">
        <f>IFERROR(__xludf.DUMMYFUNCTION("""COMPUTED_VALUE"""),32.0)</f>
        <v>32</v>
      </c>
      <c r="B22" s="19"/>
      <c r="C22" s="3"/>
      <c r="D22" s="12"/>
      <c r="E22" s="12"/>
      <c r="F22" s="12"/>
      <c r="G22" s="12"/>
    </row>
    <row r="23">
      <c r="A23" s="48">
        <f>IFERROR(__xludf.DUMMYFUNCTION("""COMPUTED_VALUE"""),35.0)</f>
        <v>35</v>
      </c>
      <c r="B23" s="19"/>
      <c r="C23" s="45"/>
      <c r="D23" s="34"/>
      <c r="E23" s="12"/>
      <c r="F23" s="12"/>
      <c r="G23" s="12"/>
    </row>
    <row r="24">
      <c r="A24" s="48">
        <f>IFERROR(__xludf.DUMMYFUNCTION("""COMPUTED_VALUE"""),36.0)</f>
        <v>36</v>
      </c>
      <c r="B24" s="19"/>
      <c r="C24" s="12"/>
      <c r="D24" s="12"/>
      <c r="E24" s="12"/>
      <c r="F24" s="12"/>
      <c r="G24" s="12"/>
    </row>
    <row r="25">
      <c r="A25" s="48">
        <f>IFERROR(__xludf.DUMMYFUNCTION("""COMPUTED_VALUE"""),39.0)</f>
        <v>39</v>
      </c>
      <c r="B25" s="19"/>
      <c r="C25" s="12"/>
      <c r="D25" s="12"/>
      <c r="E25" s="12"/>
      <c r="F25" s="12"/>
      <c r="G25" s="12"/>
    </row>
    <row r="26">
      <c r="A26" s="48">
        <f>IFERROR(__xludf.DUMMYFUNCTION("""COMPUTED_VALUE"""),40.0)</f>
        <v>40</v>
      </c>
      <c r="B26" s="19"/>
      <c r="C26" s="12"/>
      <c r="D26" s="12"/>
      <c r="E26" s="12"/>
      <c r="F26" s="12"/>
      <c r="G26" s="12"/>
    </row>
    <row r="27">
      <c r="A27" s="48">
        <f>IFERROR(__xludf.DUMMYFUNCTION("""COMPUTED_VALUE"""),42.0)</f>
        <v>42</v>
      </c>
      <c r="B27" s="19"/>
      <c r="C27" s="12"/>
      <c r="D27" s="12"/>
      <c r="E27" s="12"/>
      <c r="F27" s="12"/>
      <c r="G27" s="12"/>
    </row>
    <row r="28">
      <c r="A28" s="48">
        <f>IFERROR(__xludf.DUMMYFUNCTION("""COMPUTED_VALUE"""),46.0)</f>
        <v>46</v>
      </c>
      <c r="B28" s="19"/>
      <c r="C28" s="45"/>
      <c r="D28" s="34"/>
      <c r="E28" s="12"/>
      <c r="F28" s="12"/>
      <c r="G28" s="12"/>
    </row>
    <row r="29">
      <c r="A29">
        <f>IFERROR(__xludf.DUMMYFUNCTION("""COMPUTED_VALUE"""),47.0)</f>
        <v>47</v>
      </c>
      <c r="B29" s="12"/>
      <c r="C29" s="26"/>
      <c r="D29" s="12"/>
      <c r="E29" s="12"/>
      <c r="F29" s="12"/>
      <c r="G29" s="12"/>
    </row>
    <row r="30">
      <c r="A30">
        <f>IFERROR(__xludf.DUMMYFUNCTION("""COMPUTED_VALUE"""),50.0)</f>
        <v>50</v>
      </c>
      <c r="B30" s="12"/>
      <c r="C30" s="12"/>
      <c r="D30" s="12"/>
      <c r="E30" s="12"/>
      <c r="F30" s="12"/>
      <c r="G30" s="12"/>
    </row>
    <row r="31">
      <c r="A31">
        <f>IFERROR(__xludf.DUMMYFUNCTION("""COMPUTED_VALUE"""),51.0)</f>
        <v>51</v>
      </c>
      <c r="B31" s="12" t="str">
        <f>IFERROR(__xludf.DUMMYFUNCTION("""COMPUTED_VALUE"""),"I would consider it. I usually use Facebook to sign into a third-party app, but I would use google if I was no longer using Facebook.")</f>
        <v>I would consider it. I usually use Facebook to sign into a third-party app, but I would use google if I was no longer using Facebook.</v>
      </c>
      <c r="C31" t="s">
        <v>1620</v>
      </c>
      <c r="D31" t="s">
        <v>1621</v>
      </c>
      <c r="E31" s="12"/>
      <c r="F31" s="12"/>
      <c r="G31" s="12"/>
    </row>
    <row r="32">
      <c r="A32">
        <f>IFERROR(__xludf.DUMMYFUNCTION("""COMPUTED_VALUE"""),52.0)</f>
        <v>52</v>
      </c>
      <c r="B32" s="12"/>
      <c r="C32" s="12"/>
      <c r="D32" s="12"/>
      <c r="E32" s="12"/>
      <c r="F32" s="12"/>
      <c r="G32" s="12"/>
    </row>
    <row r="33">
      <c r="A33">
        <f>IFERROR(__xludf.DUMMYFUNCTION("""COMPUTED_VALUE"""),53.0)</f>
        <v>53</v>
      </c>
      <c r="B33" s="12"/>
      <c r="C33" s="34"/>
      <c r="D33" s="34"/>
      <c r="E33" s="12"/>
      <c r="F33" s="12"/>
      <c r="G33" s="12"/>
    </row>
    <row r="34">
      <c r="A34">
        <f>IFERROR(__xludf.DUMMYFUNCTION("""COMPUTED_VALUE"""),55.0)</f>
        <v>55</v>
      </c>
      <c r="B34" s="12"/>
      <c r="C34" s="12"/>
      <c r="D34" s="12"/>
      <c r="E34" s="12"/>
      <c r="F34" s="12"/>
      <c r="G34" s="12"/>
    </row>
    <row r="35">
      <c r="A35">
        <f>IFERROR(__xludf.DUMMYFUNCTION("""COMPUTED_VALUE"""),56.0)</f>
        <v>56</v>
      </c>
      <c r="B35" s="12"/>
      <c r="C35" s="12"/>
      <c r="D35" s="12"/>
      <c r="E35" s="12"/>
      <c r="F35" s="12"/>
      <c r="G35" s="12"/>
    </row>
    <row r="36">
      <c r="A36">
        <f>IFERROR(__xludf.DUMMYFUNCTION("""COMPUTED_VALUE"""),58.0)</f>
        <v>58</v>
      </c>
      <c r="B36" s="12"/>
      <c r="C36" s="12"/>
      <c r="D36" s="12"/>
      <c r="E36" s="12"/>
      <c r="F36" s="12"/>
      <c r="G36" s="12"/>
    </row>
    <row r="37">
      <c r="A37">
        <f>IFERROR(__xludf.DUMMYFUNCTION("""COMPUTED_VALUE"""),59.0)</f>
        <v>59</v>
      </c>
      <c r="B37" s="12"/>
      <c r="C37" s="3"/>
      <c r="D37" s="3"/>
      <c r="E37" s="12"/>
      <c r="F37" s="12"/>
      <c r="G37" s="12"/>
    </row>
    <row r="38">
      <c r="A38">
        <f>IFERROR(__xludf.DUMMYFUNCTION("""COMPUTED_VALUE"""),60.0)</f>
        <v>60</v>
      </c>
      <c r="B38" s="12"/>
      <c r="C38" s="34"/>
      <c r="D38" s="12"/>
      <c r="E38" s="12"/>
      <c r="F38" s="12"/>
      <c r="G38" s="12"/>
    </row>
    <row r="39">
      <c r="A39">
        <f>IFERROR(__xludf.DUMMYFUNCTION("""COMPUTED_VALUE"""),61.0)</f>
        <v>61</v>
      </c>
      <c r="B39" s="12"/>
      <c r="C39" s="12"/>
      <c r="D39" s="12"/>
      <c r="E39" s="12"/>
      <c r="F39" s="12"/>
      <c r="G39" s="12"/>
    </row>
    <row r="40">
      <c r="A40">
        <f>IFERROR(__xludf.DUMMYFUNCTION("""COMPUTED_VALUE"""),62.0)</f>
        <v>62</v>
      </c>
      <c r="B40" s="12"/>
      <c r="C40" s="12"/>
      <c r="D40" s="12"/>
      <c r="E40" s="12"/>
      <c r="F40" s="12"/>
      <c r="G40" s="12"/>
    </row>
    <row r="41">
      <c r="A41">
        <f>IFERROR(__xludf.DUMMYFUNCTION("""COMPUTED_VALUE"""),64.0)</f>
        <v>64</v>
      </c>
      <c r="B41" s="12"/>
      <c r="C41" s="12"/>
      <c r="D41" s="12"/>
      <c r="E41" s="12"/>
      <c r="F41" s="12"/>
      <c r="G41" s="12"/>
    </row>
    <row r="42">
      <c r="A42">
        <f>IFERROR(__xludf.DUMMYFUNCTION("""COMPUTED_VALUE"""),66.0)</f>
        <v>66</v>
      </c>
      <c r="B42" s="12"/>
      <c r="C42" s="12"/>
      <c r="D42" s="12"/>
      <c r="E42" s="12"/>
      <c r="F42" s="12"/>
      <c r="G42" s="12"/>
    </row>
    <row r="43">
      <c r="A43">
        <f>IFERROR(__xludf.DUMMYFUNCTION("""COMPUTED_VALUE"""),67.0)</f>
        <v>67</v>
      </c>
      <c r="B43" s="12"/>
      <c r="C43" s="3"/>
      <c r="D43" s="3"/>
      <c r="E43" s="3"/>
      <c r="F43" s="12"/>
      <c r="G43" s="12"/>
    </row>
    <row r="44">
      <c r="A44">
        <f>IFERROR(__xludf.DUMMYFUNCTION("""COMPUTED_VALUE"""),69.0)</f>
        <v>69</v>
      </c>
      <c r="B44" s="12"/>
      <c r="C44" s="12"/>
      <c r="D44" s="12"/>
      <c r="E44" s="12"/>
      <c r="F44" s="12"/>
      <c r="G44" s="12"/>
    </row>
    <row r="45">
      <c r="A45">
        <f>IFERROR(__xludf.DUMMYFUNCTION("""COMPUTED_VALUE"""),70.0)</f>
        <v>70</v>
      </c>
      <c r="B45" s="12" t="str">
        <f>IFERROR(__xludf.DUMMYFUNCTION("""COMPUTED_VALUE"""),"I would consider my data privacy, and choose not to link my Google account with the third party app if at all possible. I dont want third party companies to access any of my Google data.")</f>
        <v>I would consider my data privacy, and choose not to link my Google account with the third party app if at all possible. I dont want third party companies to access any of my Google data.</v>
      </c>
      <c r="C45" t="s">
        <v>384</v>
      </c>
      <c r="D45" s="12"/>
      <c r="E45" s="12"/>
      <c r="F45" s="12"/>
      <c r="G45" s="12"/>
    </row>
    <row r="46">
      <c r="A46">
        <f>IFERROR(__xludf.DUMMYFUNCTION("""COMPUTED_VALUE"""),72.0)</f>
        <v>72</v>
      </c>
      <c r="B46" s="12"/>
      <c r="C46" s="45"/>
      <c r="D46" s="34"/>
      <c r="E46" s="12"/>
      <c r="F46" s="12"/>
      <c r="G46" s="12"/>
    </row>
    <row r="47">
      <c r="A47">
        <f>IFERROR(__xludf.DUMMYFUNCTION("""COMPUTED_VALUE"""),73.0)</f>
        <v>73</v>
      </c>
      <c r="B47" s="12"/>
      <c r="C47" s="45"/>
      <c r="D47" s="34"/>
      <c r="E47" s="12"/>
      <c r="F47" s="12"/>
      <c r="G47" s="12"/>
    </row>
    <row r="48">
      <c r="A48">
        <f>IFERROR(__xludf.DUMMYFUNCTION("""COMPUTED_VALUE"""),74.0)</f>
        <v>74</v>
      </c>
      <c r="B48" s="12"/>
      <c r="C48" s="12"/>
      <c r="D48" s="12"/>
      <c r="E48" s="12"/>
      <c r="F48" s="12"/>
      <c r="G48" s="12"/>
    </row>
    <row r="49">
      <c r="A49">
        <f>IFERROR(__xludf.DUMMYFUNCTION("""COMPUTED_VALUE"""),75.0)</f>
        <v>75</v>
      </c>
      <c r="B49" s="12"/>
      <c r="C49" s="12"/>
      <c r="D49" s="12"/>
      <c r="E49" s="12"/>
      <c r="F49" s="12"/>
      <c r="G49" s="12"/>
    </row>
    <row r="50">
      <c r="A50">
        <f>IFERROR(__xludf.DUMMYFUNCTION("""COMPUTED_VALUE"""),78.0)</f>
        <v>78</v>
      </c>
      <c r="B50" s="12"/>
      <c r="C50" s="34"/>
      <c r="D50" s="34"/>
      <c r="E50" s="34"/>
      <c r="F50" s="34"/>
      <c r="G50" s="12"/>
    </row>
    <row r="51">
      <c r="A51">
        <f>IFERROR(__xludf.DUMMYFUNCTION("""COMPUTED_VALUE"""),80.0)</f>
        <v>80</v>
      </c>
      <c r="B51" s="12"/>
      <c r="C51" s="12"/>
      <c r="D51" s="12"/>
      <c r="E51" s="12"/>
      <c r="F51" s="12"/>
      <c r="G51" s="12"/>
    </row>
    <row r="52">
      <c r="A52">
        <f>IFERROR(__xludf.DUMMYFUNCTION("""COMPUTED_VALUE"""),81.0)</f>
        <v>81</v>
      </c>
      <c r="B52" s="12"/>
      <c r="C52" s="34"/>
      <c r="D52" s="34"/>
      <c r="E52" s="12"/>
      <c r="F52" s="12"/>
      <c r="G52" s="12"/>
    </row>
    <row r="53">
      <c r="A53">
        <f>IFERROR(__xludf.DUMMYFUNCTION("""COMPUTED_VALUE"""),84.0)</f>
        <v>84</v>
      </c>
      <c r="B53" s="12"/>
      <c r="C53" s="3"/>
      <c r="D53" s="12"/>
      <c r="E53" s="12"/>
      <c r="F53" s="12"/>
      <c r="G53" s="12"/>
    </row>
    <row r="54">
      <c r="A54">
        <f>IFERROR(__xludf.DUMMYFUNCTION("""COMPUTED_VALUE"""),86.0)</f>
        <v>86</v>
      </c>
      <c r="B54" s="12" t="str">
        <f>IFERROR(__xludf.DUMMYFUNCTION("""COMPUTED_VALUE"""),"How would my information be sold or shared with other third parties?")</f>
        <v>How would my information be sold or shared with other third parties?</v>
      </c>
      <c r="C54" t="s">
        <v>1605</v>
      </c>
      <c r="D54" t="s">
        <v>1606</v>
      </c>
      <c r="E54" s="12"/>
      <c r="F54" s="12"/>
      <c r="G54" s="12"/>
    </row>
    <row r="55">
      <c r="A55">
        <f>IFERROR(__xludf.DUMMYFUNCTION("""COMPUTED_VALUE"""),87.0)</f>
        <v>87</v>
      </c>
      <c r="B55" s="12"/>
      <c r="C55" s="45"/>
      <c r="D55" s="34"/>
      <c r="E55" s="12"/>
      <c r="F55" s="12"/>
      <c r="G55" s="12"/>
    </row>
    <row r="56">
      <c r="A56">
        <f>IFERROR(__xludf.DUMMYFUNCTION("""COMPUTED_VALUE"""),88.0)</f>
        <v>88</v>
      </c>
      <c r="B56" s="12"/>
      <c r="C56" s="45"/>
      <c r="D56" s="34"/>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45"/>
      <c r="D58" s="26"/>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26"/>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45"/>
      <c r="D63" s="34"/>
      <c r="F63" s="3"/>
      <c r="G63" s="3"/>
      <c r="H63" s="12"/>
      <c r="I63" s="12"/>
      <c r="J63" s="12"/>
    </row>
    <row r="64">
      <c r="A64">
        <f>IFERROR(__xludf.DUMMYFUNCTION("""COMPUTED_VALUE"""),100.0)</f>
        <v>100</v>
      </c>
      <c r="B64" s="12" t="str">
        <f>IFERROR(__xludf.DUMMYFUNCTION("""COMPUTED_VALUE"""),"Whether or not the third party would retain my log in info or track me.")</f>
        <v>Whether or not the third party would retain my log in info or track me.</v>
      </c>
      <c r="C64" t="s">
        <v>1605</v>
      </c>
      <c r="D64" t="s">
        <v>1617</v>
      </c>
      <c r="E64" t="s">
        <v>1606</v>
      </c>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45"/>
      <c r="D69" s="45"/>
      <c r="E69" s="3"/>
      <c r="F69" s="3"/>
      <c r="G69" s="3"/>
      <c r="J69" s="12"/>
    </row>
    <row r="70">
      <c r="A70">
        <f>IFERROR(__xludf.DUMMYFUNCTION("""COMPUTED_VALUE"""),108.0)</f>
        <v>108</v>
      </c>
      <c r="B70" s="12" t="str">
        <f>IFERROR(__xludf.DUMMYFUNCTION("""COMPUTED_VALUE"""),"I would consider whether I want the particular website tied to my Google account.")</f>
        <v>I would consider whether I want the particular website tied to my Google account.</v>
      </c>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t="str">
        <f>IFERROR(__xludf.DUMMYFUNCTION("""COMPUTED_VALUE"""),"I don't use it because I don't want more things linked to my google account that could be compromised.")</f>
        <v>I don't use it because I don't want more things linked to my google account that could be compromised.</v>
      </c>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t="str">
        <f>IFERROR(__xludf.DUMMYFUNCTION("""COMPUTED_VALUE"""),"My own privacy, and whether the app would use it for anything malicious, or to use my account to do things I would not it want it to.")</f>
        <v>My own privacy, and whether the app would use it for anything malicious, or to use my account to do things I would not it want it to.</v>
      </c>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t="str">
        <f>IFERROR(__xludf.DUMMYFUNCTION("""COMPUTED_VALUE"""),"I do not usually use my google account to sign in. I prefer an individual sign in with each app and service")</f>
        <v>I do not usually use my google account to sign in. I prefer an individual sign in with each app and service</v>
      </c>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t="str">
        <f>IFERROR(__xludf.DUMMYFUNCTION("""COMPUTED_VALUE"""),"How reputable to the site is.")</f>
        <v>How reputable to the site is.</v>
      </c>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t="str">
        <f>IFERROR(__xludf.DUMMYFUNCTION("""COMPUTED_VALUE"""),"privacy")</f>
        <v>privacy</v>
      </c>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t="str">
        <f>IFERROR(__xludf.DUMMYFUNCTION("""COMPUTED_VALUE"""),"I'd consider if I want my email linked to their app or service, assuming that they'll be sending me multiple emails a week. I'd also question if it would have any actual benefit, considering Google Chrome saves login information anyway.")</f>
        <v>I'd consider if I want my email linked to their app or service, assuming that they'll be sending me multiple emails a week. I'd also question if it would have any actual benefit, considering Google Chrome saves login information anyway.</v>
      </c>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t="str">
        <f>IFERROR(__xludf.DUMMYFUNCTION("""COMPUTED_VALUE"""),"I would not do it cause thats something I don't do.")</f>
        <v>I would not do it cause thats something I don't do.</v>
      </c>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t="str">
        <f>IFERROR(__xludf.DUMMYFUNCTION("""COMPUTED_VALUE"""),"not sure")</f>
        <v>not sure</v>
      </c>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t="str">
        <f>IFERROR(__xludf.DUMMYFUNCTION("""COMPUTED_VALUE"""),"I would consider what the site is, how often I'd use it, whether or not I trust the site, what their privacy settings are, and if I even want to do that.")</f>
        <v>I would consider what the site is, how often I'd use it, whether or not I trust the site, what their privacy settings are, and if I even want to do that.</v>
      </c>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t="str">
        <f>IFERROR(__xludf.DUMMYFUNCTION("""COMPUTED_VALUE"""),"privacy")</f>
        <v>privacy</v>
      </c>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t="str">
        <f>IFERROR(__xludf.DUMMYFUNCTION("""COMPUTED_VALUE"""),"i mostly consider the idea that i shouldnt be required to sign in to see the content, so i refuse to use my account to sign in and typically can still view the content, so i see no reason to affiliate my account with my activity in such a manner")</f>
        <v>i mostly consider the idea that i shouldnt be required to sign in to see the content, so i refuse to use my account to sign in and typically can still view the content, so i see no reason to affiliate my account with my activity in such a manner</v>
      </c>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t="str">
        <f>IFERROR(__xludf.DUMMYFUNCTION("""COMPUTED_VALUE"""),"how protected my information would be")</f>
        <v>how protected my information would be</v>
      </c>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t="str">
        <f>IFERROR(__xludf.DUMMYFUNCTION("""COMPUTED_VALUE"""),"I would be very concerned about security as i would want a website very secured.")</f>
        <v>I would be very concerned about security as i would want a website very secured.</v>
      </c>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t="str">
        <f>IFERROR(__xludf.DUMMYFUNCTION("""COMPUTED_VALUE"""),"Privacy - Whether my real name was displayed if I used it. I also don't need my email address floating around, so I would likely not do this.")</f>
        <v>Privacy - Whether my real name was displayed if I used it. I also don't need my email address floating around, so I would likely not do this.</v>
      </c>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t="str">
        <f>IFERROR(__xludf.DUMMYFUNCTION("""COMPUTED_VALUE"""),"I would probably not be interested. It would need to be an app or service that has no personal information and is not something important to me. A game app is something I might do this for.")</f>
        <v>I would probably not be interested. It would need to be an app or service that has no personal information and is not something important to me. A game app is something I might do this for.</v>
      </c>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t="str">
        <f>IFERROR(__xludf.DUMMYFUNCTION("""COMPUTED_VALUE"""),"what information is being shared")</f>
        <v>what information is being shared</v>
      </c>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t="str">
        <f>IFERROR(__xludf.DUMMYFUNCTION("""COMPUTED_VALUE"""),"privacy")</f>
        <v>privacy</v>
      </c>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t="str">
        <f>IFERROR(__xludf.DUMMYFUNCTION("""COMPUTED_VALUE"""),"How it allows google to track me on the other apps. I usually don't use this option to access these other services.")</f>
        <v>How it allows google to track me on the other apps. I usually don't use this option to access these other services.</v>
      </c>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t="str">
        <f>IFERROR(__xludf.DUMMYFUNCTION("""COMPUTED_VALUE"""),"I would usually use Facebook first.")</f>
        <v>I would usually use Facebook first.</v>
      </c>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t="str">
        <f>IFERROR(__xludf.DUMMYFUNCTION("""COMPUTED_VALUE"""),"I would consider the site and if I trust it.")</f>
        <v>I would consider the site and if I trust it.</v>
      </c>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t="str">
        <f>IFERROR(__xludf.DUMMYFUNCTION("""COMPUTED_VALUE"""),"That they have access to my gmail and other google account information.")</f>
        <v>That they have access to my gmail and other google account information.</v>
      </c>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t="str">
        <f>IFERROR(__xludf.DUMMYFUNCTION("""COMPUTED_VALUE"""),"I only have one account that I use my Google sign in and that is a second ebay account. Otherwise I never ever use my Google log in to sign into accounts. I don't think Google needs to know where I am at all times.")</f>
        <v>I only have one account that I use my Google sign in and that is a second ebay account. Otherwise I never ever use my Google log in to sign into accounts. I don't think Google needs to know where I am at all times.</v>
      </c>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t="str">
        <f>IFERROR(__xludf.DUMMYFUNCTION("""COMPUTED_VALUE"""),"Trust in the app")</f>
        <v>Trust in the app</v>
      </c>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t="str">
        <f>IFERROR(__xludf.DUMMYFUNCTION("""COMPUTED_VALUE"""),"If it were safe.")</f>
        <v>If it were safe.</v>
      </c>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t="str">
        <f>IFERROR(__xludf.DUMMYFUNCTION("""COMPUTED_VALUE"""),"if it was safe or not")</f>
        <v>if it was safe or not</v>
      </c>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t="str">
        <f>IFERROR(__xludf.DUMMYFUNCTION("""COMPUTED_VALUE"""),"no")</f>
        <v>no</v>
      </c>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t="str">
        <f>IFERROR(__xludf.DUMMYFUNCTION("""COMPUTED_VALUE"""),"I would ignore it and refuse to use that option. I do not wish to be spammed or have that address sold on or given to other parties. I would merely enter a different, non-Gmail email address that I've set up solely for these types of situations.")</f>
        <v>I would ignore it and refuse to use that option. I do not wish to be spammed or have that address sold on or given to other parties. I would merely enter a different, non-Gmail email address that I've set up solely for these types of situations.</v>
      </c>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t="str">
        <f>IFERROR(__xludf.DUMMYFUNCTION("""COMPUTED_VALUE"""),"I would want to know it is secure and would want to know what else would come out of this partnership like email newsletters and the like. I do not always want messages sent to my Gmail")</f>
        <v>I would want to know it is secure and would want to know what else would come out of this partnership like email newsletters and the like. I do not always want messages sent to my Gmail</v>
      </c>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t="str">
        <f>IFERROR(__xludf.DUMMYFUNCTION("""COMPUTED_VALUE"""),"If they sell or spread my information, especially my email address since I don't want spam.")</f>
        <v>If they sell or spread my information, especially my email address since I don't want spam.</v>
      </c>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t="str">
        <f>IFERROR(__xludf.DUMMYFUNCTION("""COMPUTED_VALUE"""),"If the developer of the app was someone I was familiar with")</f>
        <v>If the developer of the app was someone I was familiar with</v>
      </c>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t="str">
        <f>IFERROR(__xludf.DUMMYFUNCTION("""COMPUTED_VALUE"""),"What information would be passed to google or the third party for the login to happen. If they will keep track of what sites I use it for")</f>
        <v>What information would be passed to google or the third party for the login to happen. If they will keep track of what sites I use it for</v>
      </c>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t="str">
        <f>IFERROR(__xludf.DUMMYFUNCTION("""COMPUTED_VALUE"""),"If I really need to and want to use my time doing that.")</f>
        <v>If I really need to and want to use my time doing that.</v>
      </c>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50" t="str">
        <f>IFERROR(__xludf.DUMMYFUNCTION("QUERY({'S9 (secondary)'!C2:C1000;'S9 (secondary)'!D2:D1000;'S9 (secondary)'!E2:E1000;'S9 (secondary)'!F2:F1000;'S9 (secondary)'!G2:G1000;'S9 (secondary)'!H2:H1000;'S9 (secondary)'!I2:I1000;'S9 (secondary)'!J2:J1000;'S9 (secondary)'!K2:K1000}, ""select Col"&amp;"1, count(Col1) where Col1 is not null group by Col1 order by Col1 asc"")"),"")</f>
        <v/>
      </c>
      <c r="B2" s="34" t="str">
        <f>IFERROR(__xludf.DUMMYFUNCTION("""COMPUTED_VALUE"""),"count ")</f>
        <v>count </v>
      </c>
      <c r="C2" s="34"/>
      <c r="D2" s="34"/>
      <c r="E2" s="34" t="str">
        <f>IFERROR(__xludf.DUMMYFUNCTION("QUERY({'S9 (secondary)'!C2:C1000;'S9 (secondary)'!D2:D1000;'S9 (secondary)'!E2:E1000;'S9 (secondary)'!F2:F1000;'S9 (secondary)'!G2:G1000;'S9 (secondary)'!H2:H1000;'S9 (secondary)'!I2:I1000;'S9 (secondary)'!J2:J1000;'S9 (secondary)'!K2:K1000}, ""select Col"&amp;"1, count(Col1) where Col1 is not null and not Col1 contains '-&gt;' group by Col1 order by count(Col1) asc"")"),"")</f>
        <v/>
      </c>
      <c r="F2" s="34" t="str">
        <f>IFERROR(__xludf.DUMMYFUNCTION("""COMPUTED_VALUE"""),"count ")</f>
        <v>count </v>
      </c>
    </row>
    <row r="3">
      <c r="A3" t="str">
        <f>IFERROR(__xludf.DUMMYFUNCTION("""COMPUTED_VALUE"""),"other_options")</f>
        <v>other_options</v>
      </c>
      <c r="B3">
        <f>IFERROR(__xludf.DUMMYFUNCTION("""COMPUTED_VALUE"""),2.0)</f>
        <v>2</v>
      </c>
      <c r="E3" t="str">
        <f>IFERROR(__xludf.DUMMYFUNCTION("""COMPUTED_VALUE"""),"other_options")</f>
        <v>other_options</v>
      </c>
      <c r="F3">
        <f>IFERROR(__xludf.DUMMYFUNCTION("""COMPUTED_VALUE"""),2.0)</f>
        <v>2</v>
      </c>
    </row>
    <row r="4">
      <c r="A4" t="str">
        <f>IFERROR(__xludf.DUMMYFUNCTION("""COMPUTED_VALUE"""),"other_options-&gt;facebook")</f>
        <v>other_options-&gt;facebook</v>
      </c>
      <c r="B4">
        <f>IFERROR(__xludf.DUMMYFUNCTION("""COMPUTED_VALUE"""),1.0)</f>
        <v>1</v>
      </c>
      <c r="E4" t="str">
        <f>IFERROR(__xludf.DUMMYFUNCTION("""COMPUTED_VALUE"""),"trust")</f>
        <v>trust</v>
      </c>
      <c r="F4">
        <f>IFERROR(__xludf.DUMMYFUNCTION("""COMPUTED_VALUE"""),3.0)</f>
        <v>3</v>
      </c>
    </row>
    <row r="5">
      <c r="A5" t="str">
        <f>IFERROR(__xludf.DUMMYFUNCTION("""COMPUTED_VALUE"""),"privacy")</f>
        <v>privacy</v>
      </c>
      <c r="B5">
        <f>IFERROR(__xludf.DUMMYFUNCTION("""COMPUTED_VALUE"""),4.0)</f>
        <v>4</v>
      </c>
      <c r="E5" t="str">
        <f>IFERROR(__xludf.DUMMYFUNCTION("""COMPUTED_VALUE"""),"unknowns")</f>
        <v>unknowns</v>
      </c>
      <c r="F5">
        <f>IFERROR(__xludf.DUMMYFUNCTION("""COMPUTED_VALUE"""),3.0)</f>
        <v>3</v>
      </c>
    </row>
    <row r="6">
      <c r="A6" t="str">
        <f>IFERROR(__xludf.DUMMYFUNCTION("""COMPUTED_VALUE"""),"security")</f>
        <v>security</v>
      </c>
      <c r="B6">
        <f>IFERROR(__xludf.DUMMYFUNCTION("""COMPUTED_VALUE"""),4.0)</f>
        <v>4</v>
      </c>
      <c r="E6" t="str">
        <f>IFERROR(__xludf.DUMMYFUNCTION("""COMPUTED_VALUE"""),"privacy")</f>
        <v>privacy</v>
      </c>
      <c r="F6">
        <f>IFERROR(__xludf.DUMMYFUNCTION("""COMPUTED_VALUE"""),4.0)</f>
        <v>4</v>
      </c>
    </row>
    <row r="7">
      <c r="A7" t="str">
        <f>IFERROR(__xludf.DUMMYFUNCTION("""COMPUTED_VALUE"""),"trust")</f>
        <v>trust</v>
      </c>
      <c r="B7">
        <f>IFERROR(__xludf.DUMMYFUNCTION("""COMPUTED_VALUE"""),3.0)</f>
        <v>3</v>
      </c>
      <c r="E7" t="str">
        <f>IFERROR(__xludf.DUMMYFUNCTION("""COMPUTED_VALUE"""),"security")</f>
        <v>security</v>
      </c>
      <c r="F7">
        <f>IFERROR(__xludf.DUMMYFUNCTION("""COMPUTED_VALUE"""),4.0)</f>
        <v>4</v>
      </c>
    </row>
    <row r="8">
      <c r="A8" t="str">
        <f>IFERROR(__xludf.DUMMYFUNCTION("""COMPUTED_VALUE"""),"trust-&gt;app")</f>
        <v>trust-&gt;app</v>
      </c>
      <c r="B8">
        <f>IFERROR(__xludf.DUMMYFUNCTION("""COMPUTED_VALUE"""),1.0)</f>
        <v>1</v>
      </c>
    </row>
    <row r="9">
      <c r="A9" t="str">
        <f>IFERROR(__xludf.DUMMYFUNCTION("""COMPUTED_VALUE"""),"unknowns")</f>
        <v>unknowns</v>
      </c>
      <c r="B9">
        <f>IFERROR(__xludf.DUMMYFUNCTION("""COMPUTED_VALUE"""),3.0)</f>
        <v>3</v>
      </c>
    </row>
    <row r="10">
      <c r="A10" t="str">
        <f>IFERROR(__xludf.DUMMYFUNCTION("""COMPUTED_VALUE"""),"unknowns-&gt;do_they_keep_information")</f>
        <v>unknowns-&gt;do_they_keep_information</v>
      </c>
      <c r="B10">
        <f>IFERROR(__xludf.DUMMYFUNCTION("""COMPUTED_VALUE"""),2.0)</f>
        <v>2</v>
      </c>
    </row>
    <row r="11">
      <c r="A11" t="str">
        <f>IFERROR(__xludf.DUMMYFUNCTION("""COMPUTED_VALUE"""),"unknowns-&gt;use_of_information")</f>
        <v>unknowns-&gt;use_of_information</v>
      </c>
      <c r="B11">
        <f>IFERROR(__xludf.DUMMYFUNCTION("""COMPUTED_VALUE"""),2.0)</f>
        <v>2</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4" width="26.0"/>
    <col customWidth="1" min="5" max="10" width="30.29"/>
  </cols>
  <sheetData>
    <row r="1">
      <c r="A1" s="47" t="str">
        <f>IFERROR(__xludf.DUMMYFUNCTION("QUERY('All Responses'!2:998,""select A,E"")"),"Response ID")</f>
        <v>Response ID</v>
      </c>
      <c r="B1" s="17" t="str">
        <f>IFERROR(__xludf.DUMMYFUNCTION("""COMPUTED_VALUE"""),"google_recall_app_yes_purpose")</f>
        <v>google_recall_app_yes_purpose</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E3" s="3"/>
      <c r="F3" s="3"/>
      <c r="G3" s="12"/>
      <c r="H3" s="12"/>
      <c r="I3" s="12"/>
      <c r="J3" s="12"/>
    </row>
    <row r="4">
      <c r="A4" s="48">
        <f>IFERROR(__xludf.DUMMYFUNCTION("""COMPUTED_VALUE"""),3.0)</f>
        <v>3</v>
      </c>
      <c r="B4" s="19"/>
      <c r="C4" s="46"/>
      <c r="D4" s="43"/>
      <c r="E4" s="43"/>
      <c r="F4" s="3"/>
      <c r="G4" s="12"/>
      <c r="H4" s="12"/>
      <c r="I4" s="12"/>
      <c r="J4" s="12"/>
    </row>
    <row r="5">
      <c r="A5" s="48">
        <f>IFERROR(__xludf.DUMMYFUNCTION("""COMPUTED_VALUE"""),4.0)</f>
        <v>4</v>
      </c>
      <c r="B5" s="19" t="str">
        <f>IFERROR(__xludf.DUMMYFUNCTION("""COMPUTED_VALUE"""),"To see my gmail name")</f>
        <v>To see my gmail name</v>
      </c>
      <c r="C5" s="3" t="s">
        <v>1643</v>
      </c>
      <c r="D5" s="3"/>
      <c r="E5" s="3"/>
      <c r="F5" s="3"/>
      <c r="G5" s="3"/>
      <c r="H5" s="12"/>
      <c r="I5" s="12"/>
      <c r="J5" s="12"/>
    </row>
    <row r="6">
      <c r="A6" s="48">
        <f>IFERROR(__xludf.DUMMYFUNCTION("""COMPUTED_VALUE"""),5.0)</f>
        <v>5</v>
      </c>
      <c r="B6" s="19" t="str">
        <f>IFERROR(__xludf.DUMMYFUNCTION("""COMPUTED_VALUE"""),"Making a sign-in process easier.")</f>
        <v>Making a sign-in process easier.</v>
      </c>
      <c r="C6" s="3" t="s">
        <v>1598</v>
      </c>
      <c r="D6" s="3" t="s">
        <v>1644</v>
      </c>
      <c r="E6" s="12"/>
      <c r="F6" s="12"/>
      <c r="G6" s="12"/>
      <c r="H6" s="12"/>
      <c r="I6" s="12"/>
      <c r="J6" s="12"/>
    </row>
    <row r="7">
      <c r="A7" s="48">
        <f>IFERROR(__xludf.DUMMYFUNCTION("""COMPUTED_VALUE"""),10.0)</f>
        <v>10</v>
      </c>
      <c r="B7" s="19" t="str">
        <f>IFERROR(__xludf.DUMMYFUNCTION("""COMPUTED_VALUE"""),"I allowed that access in case I wanted to easily connect with my contacts through the app.")</f>
        <v>I allowed that access in case I wanted to easily connect with my contacts through the app.</v>
      </c>
      <c r="C7" s="3" t="s">
        <v>1645</v>
      </c>
      <c r="D7" s="28" t="s">
        <v>1598</v>
      </c>
      <c r="F7" s="3"/>
      <c r="G7" s="3"/>
      <c r="H7" s="3"/>
      <c r="I7" s="12"/>
      <c r="J7" s="12"/>
    </row>
    <row r="8">
      <c r="A8" s="48">
        <f>IFERROR(__xludf.DUMMYFUNCTION("""COMPUTED_VALUE"""),12.0)</f>
        <v>12</v>
      </c>
      <c r="B8" s="19"/>
      <c r="C8" s="3"/>
      <c r="D8" s="3"/>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t="str">
        <f>IFERROR(__xludf.DUMMYFUNCTION("""COMPUTED_VALUE"""),"todoist task manager")</f>
        <v>todoist task manager</v>
      </c>
      <c r="C10" s="20" t="s">
        <v>1646</v>
      </c>
      <c r="D10" s="3" t="s">
        <v>1647</v>
      </c>
      <c r="E10" s="3"/>
      <c r="F10" s="12"/>
      <c r="G10" s="12"/>
      <c r="H10" s="12"/>
      <c r="I10" s="12"/>
      <c r="J10" s="12"/>
    </row>
    <row r="11">
      <c r="A11" s="48">
        <f>IFERROR(__xludf.DUMMYFUNCTION("""COMPUTED_VALUE"""),16.0)</f>
        <v>16</v>
      </c>
      <c r="B11" s="19" t="str">
        <f>IFERROR(__xludf.DUMMYFUNCTION("""COMPUTED_VALUE"""),"To use Twitter for notifications")</f>
        <v>To use Twitter for notifications</v>
      </c>
      <c r="C11" s="3" t="s">
        <v>1646</v>
      </c>
      <c r="D11" s="3" t="s">
        <v>1648</v>
      </c>
      <c r="E11" s="3" t="s">
        <v>1649</v>
      </c>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t="str">
        <f>IFERROR(__xludf.DUMMYFUNCTION("""COMPUTED_VALUE"""),"Using my contacts and calendar information")</f>
        <v>Using my contacts and calendar information</v>
      </c>
      <c r="C13" s="3" t="s">
        <v>1645</v>
      </c>
      <c r="D13" s="3" t="s">
        <v>1650</v>
      </c>
      <c r="E13" s="12"/>
      <c r="F13" s="12"/>
      <c r="H13" s="12"/>
      <c r="I13" s="12"/>
      <c r="J13" s="12"/>
    </row>
    <row r="14">
      <c r="A14" s="48">
        <f>IFERROR(__xludf.DUMMYFUNCTION("""COMPUTED_VALUE"""),22.0)</f>
        <v>22</v>
      </c>
      <c r="B14" s="19" t="str">
        <f>IFERROR(__xludf.DUMMYFUNCTION("""COMPUTED_VALUE"""),"shopping")</f>
        <v>shopping</v>
      </c>
      <c r="C14" s="3" t="s">
        <v>66</v>
      </c>
      <c r="D14" s="3"/>
      <c r="E14" s="23"/>
      <c r="F14" s="51"/>
      <c r="G14" s="52"/>
      <c r="H14" s="12"/>
      <c r="I14" s="12"/>
      <c r="J14" s="12"/>
    </row>
    <row r="15">
      <c r="A15" s="48">
        <f>IFERROR(__xludf.DUMMYFUNCTION("""COMPUTED_VALUE"""),24.0)</f>
        <v>24</v>
      </c>
      <c r="B15" s="19" t="str">
        <f>IFERROR(__xludf.DUMMYFUNCTION("""COMPUTED_VALUE"""),"It was required")</f>
        <v>It was required</v>
      </c>
      <c r="C15" s="3" t="s">
        <v>1627</v>
      </c>
      <c r="D15" s="3"/>
      <c r="E15" s="12"/>
      <c r="F15" s="12"/>
      <c r="G15" s="12"/>
      <c r="H15" s="12"/>
      <c r="I15" s="12"/>
      <c r="J15" s="12"/>
      <c r="K15" s="53"/>
      <c r="L15" s="53"/>
      <c r="M15" s="53"/>
      <c r="N15" s="53"/>
      <c r="O15" s="53"/>
      <c r="P15" s="53"/>
      <c r="Q15" s="53"/>
      <c r="R15" s="53"/>
      <c r="S15" s="53"/>
      <c r="T15" s="53"/>
      <c r="U15" s="53"/>
      <c r="V15" s="53"/>
      <c r="W15" s="53"/>
      <c r="X15" s="53"/>
      <c r="Y15" s="53"/>
      <c r="Z15" s="53"/>
    </row>
    <row r="16">
      <c r="A16" s="48">
        <f>IFERROR(__xludf.DUMMYFUNCTION("""COMPUTED_VALUE"""),25.0)</f>
        <v>25</v>
      </c>
      <c r="B16" s="19" t="str">
        <f>IFERROR(__xludf.DUMMYFUNCTION("""COMPUTED_VALUE"""),"I was adding an event to my Google calendar")</f>
        <v>I was adding an event to my Google calendar</v>
      </c>
      <c r="C16" s="3" t="s">
        <v>1650</v>
      </c>
      <c r="D16" s="3"/>
      <c r="E16" s="3"/>
      <c r="F16" s="3"/>
      <c r="G16" s="12"/>
      <c r="H16" s="12"/>
      <c r="I16" s="12"/>
      <c r="J16" s="12"/>
      <c r="K16" s="53"/>
      <c r="L16" s="53"/>
      <c r="M16" s="53"/>
      <c r="N16" s="53"/>
      <c r="O16" s="53"/>
      <c r="P16" s="53"/>
      <c r="Q16" s="53"/>
      <c r="R16" s="53"/>
      <c r="S16" s="53"/>
      <c r="T16" s="53"/>
      <c r="U16" s="53"/>
      <c r="V16" s="53"/>
      <c r="W16" s="53"/>
      <c r="X16" s="53"/>
      <c r="Y16" s="53"/>
      <c r="Z16" s="53"/>
    </row>
    <row r="17">
      <c r="A17" s="48">
        <f>IFERROR(__xludf.DUMMYFUNCTION("""COMPUTED_VALUE"""),26.0)</f>
        <v>26</v>
      </c>
      <c r="B17" s="19"/>
      <c r="C17" s="3"/>
      <c r="D17" s="54"/>
      <c r="E17" s="26"/>
      <c r="F17" s="12"/>
      <c r="G17" s="12"/>
      <c r="H17" s="12"/>
      <c r="I17" s="12"/>
      <c r="J17" s="12"/>
    </row>
    <row r="18">
      <c r="A18" s="48">
        <f>IFERROR(__xludf.DUMMYFUNCTION("""COMPUTED_VALUE"""),28.0)</f>
        <v>28</v>
      </c>
      <c r="B18" s="19" t="str">
        <f>IFERROR(__xludf.DUMMYFUNCTION("""COMPUTED_VALUE"""),"It was as part of my work for a job that i had and the connection allowed me to sync my organizations calendar and contacts with my email to minimize communication lag.")</f>
        <v>It was as part of my work for a job that i had and the connection allowed me to sync my organizations calendar and contacts with my email to minimize communication lag.</v>
      </c>
      <c r="C18" s="28" t="s">
        <v>1650</v>
      </c>
      <c r="D18" s="20" t="s">
        <v>1645</v>
      </c>
      <c r="E18" s="3" t="s">
        <v>1651</v>
      </c>
      <c r="F18" s="3" t="s">
        <v>1627</v>
      </c>
      <c r="G18" s="3" t="s">
        <v>1598</v>
      </c>
      <c r="H18" s="3" t="s">
        <v>1652</v>
      </c>
      <c r="I18" s="3" t="s">
        <v>1653</v>
      </c>
      <c r="J18" s="12"/>
    </row>
    <row r="19">
      <c r="A19" s="48">
        <f>IFERROR(__xludf.DUMMYFUNCTION("""COMPUTED_VALUE"""),29.0)</f>
        <v>29</v>
      </c>
      <c r="B19" s="19" t="str">
        <f>IFERROR(__xludf.DUMMYFUNCTION("""COMPUTED_VALUE"""),"just to get around having to create a new account for said app")</f>
        <v>just to get around having to create a new account for said app</v>
      </c>
      <c r="C19" s="26" t="s">
        <v>1644</v>
      </c>
      <c r="D19" s="26" t="s">
        <v>1598</v>
      </c>
      <c r="E19" s="3"/>
      <c r="F19" s="12"/>
      <c r="G19" s="12"/>
      <c r="H19" s="12"/>
      <c r="I19" s="12"/>
      <c r="J19" s="12"/>
    </row>
    <row r="20">
      <c r="A20" s="48">
        <f>IFERROR(__xludf.DUMMYFUNCTION("""COMPUTED_VALUE"""),30.0)</f>
        <v>30</v>
      </c>
      <c r="B20" s="19" t="str">
        <f>IFERROR(__xludf.DUMMYFUNCTION("""COMPUTED_VALUE"""),"To see my personal info such as my full name.")</f>
        <v>To see my personal info such as my full name.</v>
      </c>
      <c r="C20" s="26" t="s">
        <v>1643</v>
      </c>
      <c r="D20" s="3"/>
      <c r="E20" s="3"/>
      <c r="F20" s="3"/>
      <c r="G20" s="12"/>
      <c r="H20" s="12"/>
      <c r="I20" s="12"/>
      <c r="J20" s="12"/>
    </row>
    <row r="21">
      <c r="A21" s="48">
        <f>IFERROR(__xludf.DUMMYFUNCTION("""COMPUTED_VALUE"""),31.0)</f>
        <v>31</v>
      </c>
      <c r="B21" s="19"/>
      <c r="C21" s="3"/>
      <c r="D21" s="28"/>
      <c r="E21" s="12"/>
      <c r="F21" s="12"/>
      <c r="G21" s="12"/>
      <c r="H21" s="12"/>
      <c r="I21" s="12"/>
      <c r="J21" s="12"/>
    </row>
    <row r="22">
      <c r="A22" s="48">
        <f>IFERROR(__xludf.DUMMYFUNCTION("""COMPUTED_VALUE"""),32.0)</f>
        <v>32</v>
      </c>
      <c r="B22" s="19"/>
      <c r="C22" s="3"/>
      <c r="D22" s="3"/>
      <c r="E22" s="23"/>
      <c r="F22" s="23"/>
      <c r="G22" s="23"/>
      <c r="H22" s="55"/>
      <c r="I22" s="12"/>
      <c r="J22" s="12"/>
    </row>
    <row r="23">
      <c r="A23" s="48">
        <f>IFERROR(__xludf.DUMMYFUNCTION("""COMPUTED_VALUE"""),35.0)</f>
        <v>35</v>
      </c>
      <c r="B23" s="19" t="str">
        <f>IFERROR(__xludf.DUMMYFUNCTION("""COMPUTED_VALUE"""),"It was for recording a work meeting.")</f>
        <v>It was for recording a work meeting.</v>
      </c>
      <c r="C23" s="3" t="s">
        <v>1651</v>
      </c>
      <c r="D23" s="3" t="s">
        <v>1652</v>
      </c>
      <c r="E23" s="23"/>
      <c r="F23" s="23"/>
      <c r="G23" s="23"/>
      <c r="H23" s="28"/>
      <c r="I23" s="28"/>
      <c r="J23" s="12"/>
    </row>
    <row r="24">
      <c r="A24" s="48">
        <f>IFERROR(__xludf.DUMMYFUNCTION("""COMPUTED_VALUE"""),36.0)</f>
        <v>36</v>
      </c>
      <c r="B24" s="19" t="str">
        <f>IFERROR(__xludf.DUMMYFUNCTION("""COMPUTED_VALUE"""),"Zoom, to allow it to add meetings to my calendar")</f>
        <v>Zoom, to allow it to add meetings to my calendar</v>
      </c>
      <c r="C24" s="54" t="s">
        <v>1646</v>
      </c>
      <c r="D24" s="3" t="s">
        <v>1654</v>
      </c>
      <c r="E24" s="3" t="s">
        <v>1650</v>
      </c>
      <c r="F24" s="12"/>
      <c r="G24" s="12"/>
      <c r="H24" s="12"/>
      <c r="I24" s="12"/>
      <c r="J24" s="12"/>
    </row>
    <row r="25">
      <c r="A25" s="48">
        <f>IFERROR(__xludf.DUMMYFUNCTION("""COMPUTED_VALUE"""),39.0)</f>
        <v>39</v>
      </c>
      <c r="B25" s="19"/>
      <c r="D25" s="3"/>
      <c r="E25" s="3"/>
      <c r="F25" s="12"/>
      <c r="G25" s="12"/>
      <c r="H25" s="12"/>
      <c r="I25" s="12"/>
      <c r="J25" s="12"/>
    </row>
    <row r="26">
      <c r="A26" s="48">
        <f>IFERROR(__xludf.DUMMYFUNCTION("""COMPUTED_VALUE"""),40.0)</f>
        <v>40</v>
      </c>
      <c r="B26" s="19"/>
      <c r="C26" s="3"/>
      <c r="D26" s="3"/>
      <c r="E26" s="3"/>
      <c r="F26" s="12"/>
      <c r="G26" s="12"/>
      <c r="H26" s="12"/>
      <c r="I26" s="12"/>
      <c r="J26" s="12"/>
    </row>
    <row r="27">
      <c r="A27" s="48">
        <f>IFERROR(__xludf.DUMMYFUNCTION("""COMPUTED_VALUE"""),42.0)</f>
        <v>42</v>
      </c>
      <c r="B27" s="19" t="str">
        <f>IFERROR(__xludf.DUMMYFUNCTION("""COMPUTED_VALUE"""),"Peloton")</f>
        <v>Peloton</v>
      </c>
      <c r="C27" s="3" t="s">
        <v>1646</v>
      </c>
      <c r="D27" s="35" t="s">
        <v>1655</v>
      </c>
      <c r="E27" s="12"/>
      <c r="F27" s="12"/>
      <c r="G27" s="12"/>
      <c r="H27" s="12"/>
      <c r="I27" s="12"/>
      <c r="J27" s="12"/>
    </row>
    <row r="28">
      <c r="A28" s="48">
        <f>IFERROR(__xludf.DUMMYFUNCTION("""COMPUTED_VALUE"""),46.0)</f>
        <v>46</v>
      </c>
      <c r="B28" s="19" t="str">
        <f>IFERROR(__xludf.DUMMYFUNCTION("""COMPUTED_VALUE"""),"So that the app can get my information directly without myself putting the information again.")</f>
        <v>So that the app can get my information directly without myself putting the information again.</v>
      </c>
      <c r="C28" s="3" t="s">
        <v>1643</v>
      </c>
      <c r="D28" s="3" t="s">
        <v>1598</v>
      </c>
      <c r="E28" s="3"/>
      <c r="F28" s="3"/>
      <c r="G28" s="12"/>
      <c r="H28" s="12"/>
      <c r="I28" s="12"/>
      <c r="J28" s="12"/>
    </row>
    <row r="29">
      <c r="A29">
        <f>IFERROR(__xludf.DUMMYFUNCTION("""COMPUTED_VALUE"""),47.0)</f>
        <v>47</v>
      </c>
      <c r="B29" s="12"/>
      <c r="C29" s="3"/>
      <c r="D29" s="54"/>
      <c r="E29" s="26"/>
      <c r="F29" s="26"/>
      <c r="G29" s="12"/>
      <c r="H29" s="12"/>
      <c r="I29" s="12"/>
      <c r="J29" s="12"/>
    </row>
    <row r="30">
      <c r="A30">
        <f>IFERROR(__xludf.DUMMYFUNCTION("""COMPUTED_VALUE"""),50.0)</f>
        <v>50</v>
      </c>
      <c r="B30" s="12" t="str">
        <f>IFERROR(__xludf.DUMMYFUNCTION("""COMPUTED_VALUE"""),"to be able to use the app")</f>
        <v>to be able to use the app</v>
      </c>
      <c r="C30" s="28" t="s">
        <v>1627</v>
      </c>
      <c r="D30" s="3"/>
      <c r="E30" s="3"/>
      <c r="F30" s="12"/>
      <c r="G30" s="12"/>
      <c r="H30" s="12"/>
      <c r="I30" s="12"/>
      <c r="J30" s="12"/>
    </row>
    <row r="31">
      <c r="A31">
        <f>IFERROR(__xludf.DUMMYFUNCTION("""COMPUTED_VALUE"""),51.0)</f>
        <v>51</v>
      </c>
      <c r="B31" s="12"/>
      <c r="C31" s="3"/>
      <c r="D31" s="26"/>
      <c r="E31" s="12"/>
      <c r="F31" s="12"/>
      <c r="G31" s="12"/>
      <c r="H31" s="12"/>
      <c r="I31" s="12"/>
      <c r="J31" s="12"/>
      <c r="K31" s="53"/>
      <c r="L31" s="53"/>
      <c r="M31" s="53"/>
      <c r="N31" s="53"/>
      <c r="O31" s="53"/>
      <c r="P31" s="53"/>
      <c r="Q31" s="53"/>
      <c r="R31" s="53"/>
      <c r="S31" s="53"/>
      <c r="T31" s="53"/>
      <c r="U31" s="53"/>
      <c r="V31" s="53"/>
      <c r="W31" s="53"/>
      <c r="X31" s="53"/>
      <c r="Y31" s="53"/>
      <c r="Z31" s="53"/>
    </row>
    <row r="32">
      <c r="A32">
        <f>IFERROR(__xludf.DUMMYFUNCTION("""COMPUTED_VALUE"""),52.0)</f>
        <v>52</v>
      </c>
      <c r="B32" s="12"/>
      <c r="C32" s="56"/>
      <c r="D32" s="56"/>
      <c r="E32" s="12"/>
      <c r="F32" s="12"/>
      <c r="G32" s="12"/>
      <c r="H32" s="12"/>
      <c r="I32" s="12"/>
      <c r="J32" s="12"/>
    </row>
    <row r="33">
      <c r="A33">
        <f>IFERROR(__xludf.DUMMYFUNCTION("""COMPUTED_VALUE"""),53.0)</f>
        <v>53</v>
      </c>
      <c r="B33" s="12" t="str">
        <f>IFERROR(__xludf.DUMMYFUNCTION("""COMPUTED_VALUE"""),"Ease of use")</f>
        <v>Ease of use</v>
      </c>
      <c r="C33" s="57" t="s">
        <v>1598</v>
      </c>
      <c r="D33" s="57"/>
      <c r="E33" s="12"/>
      <c r="F33" s="12"/>
      <c r="G33" s="12"/>
      <c r="H33" s="12"/>
      <c r="I33" s="12"/>
      <c r="J33" s="12"/>
    </row>
    <row r="34">
      <c r="A34">
        <f>IFERROR(__xludf.DUMMYFUNCTION("""COMPUTED_VALUE"""),55.0)</f>
        <v>55</v>
      </c>
      <c r="B34" s="12"/>
      <c r="C34" s="57"/>
      <c r="D34" s="57"/>
      <c r="E34" s="12"/>
      <c r="F34" s="12"/>
      <c r="G34" s="12"/>
      <c r="H34" s="12"/>
      <c r="I34" s="12"/>
      <c r="J34" s="12"/>
    </row>
    <row r="35">
      <c r="A35">
        <f>IFERROR(__xludf.DUMMYFUNCTION("""COMPUTED_VALUE"""),56.0)</f>
        <v>56</v>
      </c>
      <c r="B35" s="12" t="str">
        <f>IFERROR(__xludf.DUMMYFUNCTION("""COMPUTED_VALUE"""),"Amazon Prime")</f>
        <v>Amazon Prime</v>
      </c>
      <c r="C35" s="57" t="s">
        <v>1646</v>
      </c>
      <c r="D35" s="46" t="s">
        <v>1656</v>
      </c>
      <c r="E35" s="12"/>
      <c r="F35" s="12"/>
      <c r="G35" s="12"/>
      <c r="H35" s="12"/>
      <c r="I35" s="12"/>
      <c r="J35" s="12"/>
    </row>
    <row r="36">
      <c r="A36">
        <f>IFERROR(__xludf.DUMMYFUNCTION("""COMPUTED_VALUE"""),58.0)</f>
        <v>58</v>
      </c>
      <c r="B36" s="12" t="str">
        <f>IFERROR(__xludf.DUMMYFUNCTION("""COMPUTED_VALUE"""),"I gave a ringtone app access to my contacts and messages so that it can change the notification/ringtone sounds.")</f>
        <v>I gave a ringtone app access to my contacts and messages so that it can change the notification/ringtone sounds.</v>
      </c>
      <c r="C36" s="57" t="s">
        <v>1645</v>
      </c>
      <c r="D36" s="57" t="s">
        <v>1652</v>
      </c>
      <c r="E36" s="12"/>
      <c r="F36" s="12"/>
      <c r="G36" s="12"/>
      <c r="H36" s="12"/>
      <c r="I36" s="12"/>
      <c r="J36" s="12"/>
      <c r="K36" s="53"/>
      <c r="L36" s="53"/>
      <c r="M36" s="53"/>
      <c r="N36" s="53"/>
      <c r="O36" s="53"/>
      <c r="P36" s="53"/>
      <c r="Q36" s="53"/>
      <c r="R36" s="53"/>
      <c r="S36" s="53"/>
      <c r="T36" s="53"/>
      <c r="U36" s="53"/>
      <c r="V36" s="53"/>
      <c r="W36" s="53"/>
      <c r="X36" s="53"/>
      <c r="Y36" s="53"/>
      <c r="Z36" s="53"/>
    </row>
    <row r="37">
      <c r="A37">
        <f>IFERROR(__xludf.DUMMYFUNCTION("""COMPUTED_VALUE"""),59.0)</f>
        <v>59</v>
      </c>
      <c r="B37" s="12" t="str">
        <f>IFERROR(__xludf.DUMMYFUNCTION("""COMPUTED_VALUE"""),"To transfer files")</f>
        <v>To transfer files</v>
      </c>
      <c r="C37" s="57" t="s">
        <v>1652</v>
      </c>
      <c r="D37" s="57" t="s">
        <v>1657</v>
      </c>
      <c r="E37" s="3"/>
      <c r="F37" s="3"/>
      <c r="G37" s="3"/>
      <c r="H37" s="12"/>
      <c r="I37" s="12"/>
      <c r="J37" s="12"/>
    </row>
    <row r="38">
      <c r="A38">
        <f>IFERROR(__xludf.DUMMYFUNCTION("""COMPUTED_VALUE"""),60.0)</f>
        <v>60</v>
      </c>
      <c r="B38" s="12" t="str">
        <f>IFERROR(__xludf.DUMMYFUNCTION("""COMPUTED_VALUE"""),"accessing the third party app")</f>
        <v>accessing the third party app</v>
      </c>
      <c r="C38" s="3" t="s">
        <v>1627</v>
      </c>
      <c r="D38" s="12"/>
      <c r="E38" s="12"/>
      <c r="F38" s="12"/>
      <c r="G38" s="12"/>
      <c r="H38" s="12"/>
      <c r="I38" s="12"/>
      <c r="J38" s="12"/>
      <c r="K38" s="53"/>
      <c r="L38" s="53"/>
      <c r="M38" s="53"/>
      <c r="N38" s="53"/>
      <c r="O38" s="53"/>
      <c r="P38" s="53"/>
      <c r="Q38" s="53"/>
      <c r="R38" s="53"/>
      <c r="S38" s="53"/>
      <c r="T38" s="53"/>
      <c r="U38" s="53"/>
      <c r="V38" s="53"/>
      <c r="W38" s="53"/>
      <c r="X38" s="53"/>
      <c r="Y38" s="53"/>
      <c r="Z38" s="53"/>
    </row>
    <row r="39">
      <c r="A39">
        <f>IFERROR(__xludf.DUMMYFUNCTION("""COMPUTED_VALUE"""),61.0)</f>
        <v>61</v>
      </c>
      <c r="B39" s="12"/>
      <c r="C39" s="3"/>
      <c r="D39" s="26"/>
      <c r="E39" s="12"/>
      <c r="F39" s="12"/>
      <c r="G39" s="12"/>
      <c r="H39" s="12"/>
      <c r="I39" s="12"/>
      <c r="J39" s="12"/>
      <c r="K39" s="53"/>
      <c r="L39" s="53"/>
      <c r="M39" s="53"/>
      <c r="N39" s="53"/>
      <c r="O39" s="53"/>
      <c r="P39" s="53"/>
      <c r="Q39" s="53"/>
      <c r="R39" s="53"/>
      <c r="S39" s="53"/>
      <c r="T39" s="53"/>
      <c r="U39" s="53"/>
      <c r="V39" s="53"/>
      <c r="W39" s="53"/>
      <c r="X39" s="53"/>
      <c r="Y39" s="53"/>
      <c r="Z39" s="53"/>
    </row>
    <row r="40">
      <c r="A40">
        <f>IFERROR(__xludf.DUMMYFUNCTION("""COMPUTED_VALUE"""),62.0)</f>
        <v>62</v>
      </c>
      <c r="B40" s="12"/>
      <c r="C40" s="56"/>
      <c r="D40" s="3"/>
      <c r="E40" s="3"/>
      <c r="F40" s="12"/>
      <c r="G40" s="12"/>
      <c r="H40" s="12"/>
      <c r="I40" s="12"/>
      <c r="J40" s="12"/>
    </row>
    <row r="41">
      <c r="A41">
        <f>IFERROR(__xludf.DUMMYFUNCTION("""COMPUTED_VALUE"""),64.0)</f>
        <v>64</v>
      </c>
      <c r="B41" s="12"/>
      <c r="C41" s="28"/>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57"/>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t="str">
        <f>IFERROR(__xludf.DUMMYFUNCTION("""COMPUTED_VALUE"""),"I allowed an airline app to set up events to notify me of my flights in the future.")</f>
        <v>I allowed an airline app to set up events to notify me of my flights in the future.</v>
      </c>
      <c r="C46" s="3" t="s">
        <v>1649</v>
      </c>
      <c r="D46" s="3"/>
      <c r="E46" s="12"/>
      <c r="F46" s="12"/>
      <c r="G46" s="12"/>
      <c r="H46" s="12"/>
      <c r="I46" s="12"/>
      <c r="J46" s="12"/>
      <c r="K46" s="53"/>
      <c r="L46" s="53"/>
      <c r="M46" s="53"/>
      <c r="N46" s="53"/>
      <c r="O46" s="53"/>
      <c r="P46" s="53"/>
      <c r="Q46" s="53"/>
      <c r="R46" s="53"/>
      <c r="S46" s="53"/>
      <c r="T46" s="53"/>
      <c r="U46" s="53"/>
      <c r="V46" s="53"/>
      <c r="W46" s="53"/>
      <c r="X46" s="53"/>
      <c r="Y46" s="53"/>
      <c r="Z46" s="53"/>
    </row>
    <row r="47">
      <c r="A47">
        <f>IFERROR(__xludf.DUMMYFUNCTION("""COMPUTED_VALUE"""),73.0)</f>
        <v>73</v>
      </c>
      <c r="B47" s="12" t="str">
        <f>IFERROR(__xludf.DUMMYFUNCTION("""COMPUTED_VALUE"""),"To install an app")</f>
        <v>To install an app</v>
      </c>
      <c r="C47" s="28" t="s">
        <v>1652</v>
      </c>
      <c r="D47" s="28" t="s">
        <v>1658</v>
      </c>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t="str">
        <f>IFERROR(__xludf.DUMMYFUNCTION("""COMPUTED_VALUE"""),"To enable specific features of the app or service")</f>
        <v>To enable specific features of the app or service</v>
      </c>
      <c r="C49" s="28" t="s">
        <v>1652</v>
      </c>
      <c r="D49" s="43"/>
      <c r="E49" s="12"/>
      <c r="F49" s="12"/>
      <c r="G49" s="12"/>
      <c r="H49" s="12"/>
      <c r="I49" s="12"/>
      <c r="J49" s="12"/>
    </row>
    <row r="50">
      <c r="A50">
        <f>IFERROR(__xludf.DUMMYFUNCTION("""COMPUTED_VALUE"""),78.0)</f>
        <v>78</v>
      </c>
      <c r="B50" s="12"/>
      <c r="C50" s="3"/>
      <c r="D50" s="3"/>
      <c r="E50" s="3"/>
      <c r="F50" s="3"/>
      <c r="G50" s="12"/>
      <c r="H50" s="12"/>
      <c r="I50" s="12"/>
      <c r="J50" s="12"/>
      <c r="K50" s="53"/>
      <c r="L50" s="53"/>
      <c r="M50" s="53"/>
      <c r="N50" s="53"/>
      <c r="O50" s="53"/>
      <c r="P50" s="53"/>
      <c r="Q50" s="53"/>
      <c r="R50" s="53"/>
      <c r="S50" s="53"/>
      <c r="T50" s="53"/>
      <c r="U50" s="53"/>
      <c r="V50" s="53"/>
      <c r="W50" s="53"/>
      <c r="X50" s="53"/>
      <c r="Y50" s="53"/>
      <c r="Z50" s="53"/>
    </row>
    <row r="51">
      <c r="A51">
        <f>IFERROR(__xludf.DUMMYFUNCTION("""COMPUTED_VALUE"""),80.0)</f>
        <v>80</v>
      </c>
      <c r="B51" s="12"/>
      <c r="C51" s="28"/>
      <c r="D51" s="28"/>
      <c r="E51" s="43"/>
      <c r="F51" s="12"/>
      <c r="G51" s="12"/>
      <c r="H51" s="12"/>
      <c r="I51" s="12"/>
      <c r="J51" s="12"/>
    </row>
    <row r="52">
      <c r="A52">
        <f>IFERROR(__xludf.DUMMYFUNCTION("""COMPUTED_VALUE"""),81.0)</f>
        <v>81</v>
      </c>
      <c r="B52" s="12"/>
      <c r="C52" s="28"/>
      <c r="D52" s="3"/>
      <c r="E52" s="12"/>
      <c r="F52" s="12"/>
      <c r="G52" s="12"/>
      <c r="H52" s="12"/>
      <c r="I52" s="12"/>
      <c r="J52" s="12"/>
    </row>
    <row r="53">
      <c r="A53">
        <f>IFERROR(__xludf.DUMMYFUNCTION("""COMPUTED_VALUE"""),84.0)</f>
        <v>84</v>
      </c>
      <c r="B53" s="12"/>
      <c r="C53" s="28"/>
      <c r="D53" s="56"/>
      <c r="E53" s="3"/>
      <c r="F53" s="3"/>
      <c r="G53" s="12"/>
      <c r="H53" s="12"/>
      <c r="I53" s="12"/>
      <c r="J53" s="12"/>
    </row>
    <row r="54">
      <c r="A54">
        <f>IFERROR(__xludf.DUMMYFUNCTION("""COMPUTED_VALUE"""),86.0)</f>
        <v>86</v>
      </c>
      <c r="B54" s="12"/>
      <c r="C54" s="28"/>
      <c r="D54" s="3"/>
      <c r="E54" s="12"/>
      <c r="F54" s="12"/>
      <c r="G54" s="12"/>
      <c r="H54" s="12"/>
      <c r="I54" s="12"/>
      <c r="J54" s="12"/>
    </row>
    <row r="55">
      <c r="A55">
        <f>IFERROR(__xludf.DUMMYFUNCTION("""COMPUTED_VALUE"""),87.0)</f>
        <v>87</v>
      </c>
      <c r="B55" s="12"/>
      <c r="C55" s="28"/>
      <c r="D55" s="3"/>
      <c r="E55" s="12"/>
      <c r="F55" s="12"/>
      <c r="G55" s="12"/>
      <c r="H55" s="12"/>
      <c r="I55" s="12"/>
      <c r="J55" s="12"/>
    </row>
    <row r="56">
      <c r="A56">
        <f>IFERROR(__xludf.DUMMYFUNCTION("""COMPUTED_VALUE"""),88.0)</f>
        <v>88</v>
      </c>
      <c r="B56" s="12"/>
      <c r="C56" s="28"/>
      <c r="D56" s="3"/>
      <c r="E56" s="56"/>
      <c r="F56" s="3"/>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t="str">
        <f>IFERROR(__xludf.DUMMYFUNCTION("""COMPUTED_VALUE"""),"To allow access to the calendar and make setting meetings more convenient for me.")</f>
        <v>To allow access to the calendar and make setting meetings more convenient for me.</v>
      </c>
      <c r="C59" s="3" t="s">
        <v>1650</v>
      </c>
      <c r="D59" s="3" t="s">
        <v>1598</v>
      </c>
      <c r="E59" s="12"/>
      <c r="F59" s="12"/>
      <c r="G59" s="12"/>
      <c r="H59" s="12"/>
      <c r="I59" s="12"/>
      <c r="J59" s="12"/>
    </row>
    <row r="60">
      <c r="A60">
        <f>IFERROR(__xludf.DUMMYFUNCTION("""COMPUTED_VALUE"""),95.0)</f>
        <v>95</v>
      </c>
      <c r="B60" s="12" t="str">
        <f>IFERROR(__xludf.DUMMYFUNCTION("""COMPUTED_VALUE"""),"Gosh.. ..I'm trying to recall!
 This isn't something I invoke very often, ya know — I'm not, like, a traditional techie.
 I'm an almost-40 year old who, through most of my life, basically had to go 'without' the more luxurious aspects of technology.
 Acco"&amp;"rdingly, I've largely-eschewed immersing myself too deeply with these things.")</f>
        <v>Gosh.. ..I'm trying to recall!
 This isn't something I invoke very often, ya know — I'm not, like, a traditional techie.
 I'm an almost-40 year old who, through most of my life, basically had to go 'without' the more luxurious aspects of technology.
 Accordingly, I've largely-eschewed immersing myself too deeply with these things.</v>
      </c>
      <c r="C60" s="28" t="s">
        <v>1432</v>
      </c>
      <c r="D60" s="3"/>
      <c r="E60" s="3"/>
      <c r="F60" s="3"/>
      <c r="G60" s="3"/>
      <c r="H60" s="12"/>
      <c r="I60" s="12"/>
      <c r="J60" s="12"/>
    </row>
    <row r="61">
      <c r="A61">
        <f>IFERROR(__xludf.DUMMYFUNCTION("""COMPUTED_VALUE"""),97.0)</f>
        <v>97</v>
      </c>
      <c r="B61" s="12"/>
      <c r="C61" s="28"/>
      <c r="D61" s="3"/>
      <c r="E61" s="12"/>
      <c r="F61" s="12"/>
      <c r="G61" s="12"/>
      <c r="H61" s="12"/>
      <c r="I61" s="12"/>
      <c r="J61" s="12"/>
    </row>
    <row r="62">
      <c r="A62">
        <f>IFERROR(__xludf.DUMMYFUNCTION("""COMPUTED_VALUE"""),98.0)</f>
        <v>98</v>
      </c>
      <c r="B62" s="12"/>
      <c r="C62" s="3"/>
      <c r="D62" s="28"/>
      <c r="E62" s="3"/>
      <c r="F62" s="12"/>
      <c r="G62" s="12"/>
      <c r="H62" s="12"/>
      <c r="I62" s="12"/>
      <c r="J62" s="12"/>
    </row>
    <row r="63">
      <c r="A63">
        <f>IFERROR(__xludf.DUMMYFUNCTION("""COMPUTED_VALUE"""),99.0)</f>
        <v>99</v>
      </c>
      <c r="B63" s="12" t="str">
        <f>IFERROR(__xludf.DUMMYFUNCTION("""COMPUTED_VALUE"""),"youtube")</f>
        <v>youtube</v>
      </c>
      <c r="C63" s="28" t="s">
        <v>1646</v>
      </c>
      <c r="D63" s="3" t="s">
        <v>1659</v>
      </c>
      <c r="F63" s="3"/>
      <c r="G63" s="3"/>
      <c r="H63" s="12"/>
      <c r="I63" s="12"/>
      <c r="J63" s="12"/>
    </row>
    <row r="64">
      <c r="A64">
        <f>IFERROR(__xludf.DUMMYFUNCTION("""COMPUTED_VALUE"""),100.0)</f>
        <v>100</v>
      </c>
      <c r="B64" s="12"/>
      <c r="C64" s="56"/>
      <c r="D64" s="3"/>
      <c r="E64" s="12"/>
      <c r="F64" s="12"/>
      <c r="G64" s="12"/>
      <c r="H64" s="12"/>
      <c r="I64" s="12"/>
      <c r="J64" s="12"/>
    </row>
    <row r="65">
      <c r="A65">
        <f>IFERROR(__xludf.DUMMYFUNCTION("""COMPUTED_VALUE"""),101.0)</f>
        <v>101</v>
      </c>
      <c r="B65" s="12"/>
      <c r="C65" s="28"/>
      <c r="D65" s="3"/>
      <c r="E65" s="28"/>
      <c r="F65" s="3"/>
      <c r="G65" s="26"/>
      <c r="H65" s="12"/>
      <c r="I65" s="12"/>
      <c r="J65" s="12"/>
    </row>
    <row r="66">
      <c r="A66">
        <f>IFERROR(__xludf.DUMMYFUNCTION("""COMPUTED_VALUE"""),103.0)</f>
        <v>103</v>
      </c>
      <c r="B66" s="12" t="str">
        <f>IFERROR(__xludf.DUMMYFUNCTION("""COMPUTED_VALUE"""),"Its purpose was to collect data.")</f>
        <v>Its purpose was to collect data.</v>
      </c>
      <c r="C66" s="28" t="s">
        <v>1643</v>
      </c>
      <c r="D66" s="3"/>
      <c r="F66" s="12"/>
      <c r="G66" s="12"/>
      <c r="H66" s="12"/>
      <c r="I66" s="12"/>
      <c r="J66" s="12"/>
    </row>
    <row r="67">
      <c r="A67">
        <f>IFERROR(__xludf.DUMMYFUNCTION("""COMPUTED_VALUE"""),104.0)</f>
        <v>104</v>
      </c>
      <c r="B67" s="12" t="str">
        <f>IFERROR(__xludf.DUMMYFUNCTION("""COMPUTED_VALUE"""),"Calendly - for accessing google calendar and reminder.")</f>
        <v>Calendly - for accessing google calendar and reminder.</v>
      </c>
      <c r="C67" s="28" t="s">
        <v>1646</v>
      </c>
      <c r="D67" s="3" t="s">
        <v>1660</v>
      </c>
      <c r="E67" s="26" t="s">
        <v>1650</v>
      </c>
      <c r="F67" s="26" t="s">
        <v>1649</v>
      </c>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t="str">
        <f>IFERROR(__xludf.DUMMYFUNCTION("""COMPUTED_VALUE"""),"I wanted to share access to a class calendar.")</f>
        <v>I wanted to share access to a class calendar.</v>
      </c>
      <c r="C70" s="3" t="s">
        <v>1650</v>
      </c>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t="str">
        <f>IFERROR(__xludf.DUMMYFUNCTION("""COMPUTED_VALUE"""),"An extension for google docs that builds bibliographies")</f>
        <v>An extension for google docs that builds bibliographies</v>
      </c>
      <c r="C72" s="3" t="s">
        <v>1646</v>
      </c>
      <c r="D72" s="3" t="s">
        <v>1661</v>
      </c>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IFERROR(__xludf.DUMMYFUNCTION("""COMPUTED_VALUE"""),"It is so I can use the service as it required a login.")</f>
        <v>It is so I can use the service as it required a login.</v>
      </c>
      <c r="C76" s="3" t="s">
        <v>1627</v>
      </c>
      <c r="D76" s="3"/>
      <c r="E76" s="3"/>
      <c r="F76" s="12"/>
      <c r="G76" s="12"/>
      <c r="H76" s="12"/>
      <c r="I76" s="12"/>
      <c r="J76" s="12"/>
    </row>
    <row r="77">
      <c r="A77">
        <f>IFERROR(__xludf.DUMMYFUNCTION("""COMPUTED_VALUE"""),117.0)</f>
        <v>117</v>
      </c>
      <c r="B77" s="12" t="str">
        <f>IFERROR(__xludf.DUMMYFUNCTION("""COMPUTED_VALUE"""),"Usually it's just so I can access whatever free information they're forcing me to have an account for.")</f>
        <v>Usually it's just so I can access whatever free information they're forcing me to have an account for.</v>
      </c>
      <c r="C77" s="3" t="s">
        <v>1644</v>
      </c>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t="str">
        <f>IFERROR(__xludf.DUMMYFUNCTION("""COMPUTED_VALUE"""),"Games want access to Google Play and sometimes contacts.")</f>
        <v>Games want access to Google Play and sometimes contacts.</v>
      </c>
      <c r="C79" s="3" t="s">
        <v>1662</v>
      </c>
      <c r="D79" s="3" t="s">
        <v>1645</v>
      </c>
      <c r="E79" s="3" t="s">
        <v>1646</v>
      </c>
      <c r="F79" s="3" t="s">
        <v>1663</v>
      </c>
      <c r="G79" s="12"/>
      <c r="H79" s="12"/>
      <c r="I79" s="12"/>
      <c r="J79" s="12"/>
    </row>
    <row r="80">
      <c r="A80">
        <f>IFERROR(__xludf.DUMMYFUNCTION("""COMPUTED_VALUE"""),124.0)</f>
        <v>124</v>
      </c>
      <c r="B80" s="12" t="str">
        <f>IFERROR(__xludf.DUMMYFUNCTION("""COMPUTED_VALUE"""),"I was in a hurry")</f>
        <v>I was in a hurry</v>
      </c>
      <c r="C80" s="54" t="s">
        <v>1598</v>
      </c>
      <c r="D80" s="3"/>
      <c r="E80" s="3"/>
      <c r="F80" s="12"/>
      <c r="G80" s="12"/>
      <c r="H80" s="12"/>
      <c r="I80" s="12"/>
      <c r="J80" s="12"/>
    </row>
    <row r="81">
      <c r="A81">
        <f>IFERROR(__xludf.DUMMYFUNCTION("""COMPUTED_VALUE"""),125.0)</f>
        <v>125</v>
      </c>
      <c r="B81" s="12"/>
      <c r="C81" s="3"/>
      <c r="D81" s="3"/>
      <c r="E81" s="3"/>
      <c r="F81" s="3"/>
      <c r="G81" s="12"/>
      <c r="H81" s="12"/>
      <c r="I81" s="12"/>
      <c r="J81" s="12"/>
      <c r="K81" s="53"/>
      <c r="L81" s="53"/>
      <c r="M81" s="53"/>
      <c r="N81" s="53"/>
      <c r="O81" s="53"/>
      <c r="P81" s="53"/>
      <c r="Q81" s="53"/>
      <c r="R81" s="53"/>
      <c r="S81" s="53"/>
      <c r="T81" s="53"/>
      <c r="U81" s="53"/>
      <c r="V81" s="53"/>
      <c r="W81" s="53"/>
      <c r="X81" s="53"/>
      <c r="Y81" s="53"/>
      <c r="Z81" s="53"/>
    </row>
    <row r="82">
      <c r="A82">
        <f>IFERROR(__xludf.DUMMYFUNCTION("""COMPUTED_VALUE"""),126.0)</f>
        <v>126</v>
      </c>
      <c r="B82" s="12" t="str">
        <f>IFERROR(__xludf.DUMMYFUNCTION("""COMPUTED_VALUE"""),"to allow it to run properly")</f>
        <v>to allow it to run properly</v>
      </c>
      <c r="C82" s="3" t="s">
        <v>1627</v>
      </c>
      <c r="D82" s="3"/>
      <c r="E82" s="12"/>
      <c r="F82" s="12"/>
      <c r="G82" s="12"/>
      <c r="H82" s="12"/>
      <c r="I82" s="12"/>
      <c r="J82" s="12"/>
    </row>
    <row r="83">
      <c r="A83">
        <f>IFERROR(__xludf.DUMMYFUNCTION("""COMPUTED_VALUE"""),127.0)</f>
        <v>127</v>
      </c>
      <c r="B83" s="12"/>
      <c r="C83" s="3"/>
      <c r="D83" s="3"/>
      <c r="E83" s="3"/>
      <c r="F83" s="3"/>
      <c r="G83" s="12"/>
      <c r="H83" s="12"/>
      <c r="I83" s="12"/>
      <c r="J83" s="12"/>
      <c r="K83" s="53"/>
      <c r="L83" s="53"/>
      <c r="M83" s="53"/>
      <c r="N83" s="53"/>
      <c r="O83" s="53"/>
      <c r="P83" s="53"/>
      <c r="Q83" s="53"/>
      <c r="R83" s="53"/>
      <c r="S83" s="53"/>
      <c r="T83" s="53"/>
      <c r="U83" s="53"/>
      <c r="V83" s="53"/>
      <c r="W83" s="53"/>
      <c r="X83" s="53"/>
      <c r="Y83" s="53"/>
      <c r="Z83" s="53"/>
    </row>
    <row r="84">
      <c r="A84">
        <f>IFERROR(__xludf.DUMMYFUNCTION("""COMPUTED_VALUE"""),128.0)</f>
        <v>128</v>
      </c>
      <c r="B84" s="12"/>
      <c r="C84" s="3"/>
      <c r="D84" s="3"/>
      <c r="E84" s="3"/>
      <c r="F84" s="3"/>
      <c r="G84" s="3"/>
      <c r="H84" s="12"/>
      <c r="I84" s="12"/>
      <c r="J84" s="12"/>
    </row>
    <row r="85">
      <c r="A85">
        <f>IFERROR(__xludf.DUMMYFUNCTION("""COMPUTED_VALUE"""),129.0)</f>
        <v>129</v>
      </c>
      <c r="B85" s="12" t="str">
        <f>IFERROR(__xludf.DUMMYFUNCTION("""COMPUTED_VALUE"""),"The purpose was for it to set up a reminder for me")</f>
        <v>The purpose was for it to set up a reminder for me</v>
      </c>
      <c r="C85" s="3" t="s">
        <v>1649</v>
      </c>
      <c r="D85" s="3"/>
      <c r="E85" s="3"/>
      <c r="F85" s="12"/>
      <c r="G85" s="12"/>
      <c r="H85" s="12"/>
      <c r="I85" s="12"/>
      <c r="J85" s="12"/>
    </row>
    <row r="86">
      <c r="A86">
        <f>IFERROR(__xludf.DUMMYFUNCTION("""COMPUTED_VALUE"""),130.0)</f>
        <v>130</v>
      </c>
      <c r="B86" s="12" t="str">
        <f>IFERROR(__xludf.DUMMYFUNCTION("""COMPUTED_VALUE"""),"I allowed a third-party app to access my calendar information for a work function.")</f>
        <v>I allowed a third-party app to access my calendar information for a work function.</v>
      </c>
      <c r="C86" s="3" t="s">
        <v>1650</v>
      </c>
      <c r="D86" s="3" t="s">
        <v>1651</v>
      </c>
      <c r="E86" s="3"/>
      <c r="F86" s="3"/>
      <c r="G86" s="3"/>
      <c r="H86" s="12"/>
      <c r="I86" s="12"/>
      <c r="J86" s="12"/>
    </row>
    <row r="87">
      <c r="A87">
        <f>IFERROR(__xludf.DUMMYFUNCTION("""COMPUTED_VALUE"""),132.0)</f>
        <v>132</v>
      </c>
      <c r="B87" s="12" t="str">
        <f>IFERROR(__xludf.DUMMYFUNCTION("""COMPUTED_VALUE"""),"I believe it was to use a receipt saving/tracking app.")</f>
        <v>I believe it was to use a receipt saving/tracking app.</v>
      </c>
      <c r="C87" s="3" t="s">
        <v>1652</v>
      </c>
      <c r="D87" s="3" t="s">
        <v>1664</v>
      </c>
      <c r="E87" s="12"/>
      <c r="F87" s="12"/>
      <c r="G87" s="12"/>
      <c r="H87" s="12"/>
      <c r="I87" s="12"/>
      <c r="J87" s="12"/>
    </row>
    <row r="88">
      <c r="A88">
        <f>IFERROR(__xludf.DUMMYFUNCTION("""COMPUTED_VALUE"""),135.0)</f>
        <v>135</v>
      </c>
      <c r="B88" s="12" t="str">
        <f>IFERROR(__xludf.DUMMYFUNCTION("""COMPUTED_VALUE"""),"security purpose")</f>
        <v>security purpose</v>
      </c>
      <c r="C88" s="3" t="s">
        <v>65</v>
      </c>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28"/>
      <c r="E90" s="3"/>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D93" s="28"/>
      <c r="E93" s="12"/>
      <c r="F93" s="12"/>
      <c r="G93" s="12"/>
      <c r="H93" s="12"/>
      <c r="I93" s="12"/>
      <c r="J93" s="12"/>
    </row>
    <row r="94">
      <c r="A94">
        <f>IFERROR(__xludf.DUMMYFUNCTION("""COMPUTED_VALUE"""),143.0)</f>
        <v>143</v>
      </c>
      <c r="B94" s="12" t="str">
        <f>IFERROR(__xludf.DUMMYFUNCTION("""COMPUTED_VALUE"""),"I wanted to use it to sign in to order groceries")</f>
        <v>I wanted to use it to sign in to order groceries</v>
      </c>
      <c r="C94" s="28" t="s">
        <v>66</v>
      </c>
      <c r="D94" s="28" t="s">
        <v>1644</v>
      </c>
      <c r="E94" s="12"/>
      <c r="F94" s="12"/>
      <c r="G94" s="12"/>
      <c r="H94" s="12"/>
      <c r="I94" s="12"/>
      <c r="J94" s="12"/>
    </row>
    <row r="95">
      <c r="A95">
        <f>IFERROR(__xludf.DUMMYFUNCTION("""COMPUTED_VALUE"""),146.0)</f>
        <v>146</v>
      </c>
      <c r="B95" s="12"/>
      <c r="C95" s="28"/>
      <c r="D95" s="28"/>
      <c r="E95" s="28"/>
      <c r="F95" s="12"/>
      <c r="G95" s="12"/>
      <c r="H95" s="12"/>
      <c r="I95" s="12"/>
      <c r="J95" s="12"/>
    </row>
    <row r="96">
      <c r="A96">
        <f>IFERROR(__xludf.DUMMYFUNCTION("""COMPUTED_VALUE"""),147.0)</f>
        <v>147</v>
      </c>
      <c r="B96" s="12"/>
      <c r="C96" s="28"/>
      <c r="D96" s="3"/>
      <c r="E96" s="3"/>
      <c r="F96" s="12"/>
      <c r="G96" s="12"/>
      <c r="H96" s="12"/>
      <c r="I96" s="12"/>
      <c r="J96" s="12"/>
    </row>
    <row r="97">
      <c r="A97">
        <f>IFERROR(__xludf.DUMMYFUNCTION("""COMPUTED_VALUE"""),148.0)</f>
        <v>148</v>
      </c>
      <c r="B97" s="12"/>
      <c r="C97" s="28"/>
      <c r="D97" s="3"/>
      <c r="E97" s="12"/>
      <c r="F97" s="12"/>
      <c r="G97" s="12"/>
      <c r="H97" s="12"/>
      <c r="I97" s="12"/>
      <c r="J97" s="12"/>
    </row>
    <row r="98">
      <c r="A98">
        <f>IFERROR(__xludf.DUMMYFUNCTION("""COMPUTED_VALUE"""),149.0)</f>
        <v>149</v>
      </c>
      <c r="B98" s="12"/>
      <c r="C98" s="28"/>
      <c r="D98" s="28"/>
      <c r="E98" s="3"/>
      <c r="F98" s="3"/>
      <c r="G98" s="12"/>
      <c r="H98" s="12"/>
      <c r="I98" s="12"/>
      <c r="J98" s="12"/>
    </row>
    <row r="99">
      <c r="A99">
        <f>IFERROR(__xludf.DUMMYFUNCTION("""COMPUTED_VALUE"""),150.0)</f>
        <v>150</v>
      </c>
      <c r="B99" s="12"/>
      <c r="C99" s="28"/>
      <c r="D99" s="28"/>
      <c r="E99" s="12"/>
      <c r="F99" s="12"/>
      <c r="G99" s="12"/>
      <c r="H99" s="12"/>
      <c r="I99" s="12"/>
      <c r="J99" s="12"/>
    </row>
    <row r="100">
      <c r="A100">
        <f>IFERROR(__xludf.DUMMYFUNCTION("""COMPUTED_VALUE"""),151.0)</f>
        <v>151</v>
      </c>
      <c r="B100" s="12" t="str">
        <f>IFERROR(__xludf.DUMMYFUNCTION("""COMPUTED_VALUE"""),"I don't remember what is was abott")</f>
        <v>I don't remember what is was abott</v>
      </c>
      <c r="C100" s="28" t="s">
        <v>1432</v>
      </c>
      <c r="D100" s="28"/>
      <c r="E100" s="28"/>
      <c r="F100" s="12"/>
      <c r="G100" s="12"/>
      <c r="H100" s="12"/>
      <c r="I100" s="12"/>
      <c r="J100" s="12"/>
    </row>
    <row r="101">
      <c r="A101">
        <f>IFERROR(__xludf.DUMMYFUNCTION("""COMPUTED_VALUE"""),152.0)</f>
        <v>152</v>
      </c>
      <c r="B101" s="12" t="str">
        <f>IFERROR(__xludf.DUMMYFUNCTION("""COMPUTED_VALUE"""),"Likely it was for calendar integration as seen on the previous example.")</f>
        <v>Likely it was for calendar integration as seen on the previous example.</v>
      </c>
      <c r="C101" s="28" t="s">
        <v>1650</v>
      </c>
      <c r="D101" s="3"/>
      <c r="E101" s="3"/>
      <c r="F101" s="12"/>
      <c r="G101" s="12"/>
      <c r="H101" s="12"/>
      <c r="I101" s="12"/>
      <c r="J101" s="12"/>
    </row>
    <row r="102">
      <c r="A102">
        <f>IFERROR(__xludf.DUMMYFUNCTION("""COMPUTED_VALUE"""),154.0)</f>
        <v>154</v>
      </c>
      <c r="B102" s="12" t="str">
        <f>IFERROR(__xludf.DUMMYFUNCTION("""COMPUTED_VALUE"""),"Google Audio Player for Drive")</f>
        <v>Google Audio Player for Drive</v>
      </c>
      <c r="C102" s="3" t="s">
        <v>1646</v>
      </c>
      <c r="D102" s="3" t="s">
        <v>1665</v>
      </c>
      <c r="E102" s="3"/>
      <c r="F102" s="12"/>
      <c r="G102" s="12"/>
      <c r="H102" s="12"/>
      <c r="I102" s="12"/>
      <c r="J102" s="12"/>
      <c r="K102" s="53"/>
      <c r="L102" s="53"/>
      <c r="M102" s="53"/>
      <c r="N102" s="53"/>
      <c r="O102" s="53"/>
      <c r="P102" s="53"/>
      <c r="Q102" s="53"/>
      <c r="R102" s="53"/>
      <c r="S102" s="53"/>
      <c r="T102" s="53"/>
      <c r="U102" s="53"/>
      <c r="V102" s="53"/>
      <c r="W102" s="53"/>
      <c r="X102" s="53"/>
      <c r="Y102" s="53"/>
      <c r="Z102" s="53"/>
    </row>
    <row r="103">
      <c r="A103">
        <f>IFERROR(__xludf.DUMMYFUNCTION("""COMPUTED_VALUE"""),155.0)</f>
        <v>155</v>
      </c>
      <c r="B103" s="12"/>
      <c r="C103" s="28"/>
      <c r="D103" s="28"/>
      <c r="E103" s="12"/>
      <c r="F103" s="12"/>
      <c r="G103" s="12"/>
      <c r="H103" s="12"/>
      <c r="I103" s="12"/>
      <c r="J103" s="12"/>
    </row>
    <row r="104">
      <c r="A104">
        <f>IFERROR(__xludf.DUMMYFUNCTION("""COMPUTED_VALUE"""),156.0)</f>
        <v>156</v>
      </c>
      <c r="B104" s="12"/>
      <c r="C104" s="28"/>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t="str">
        <f>IFERROR(__xludf.DUMMYFUNCTION("""COMPUTED_VALUE"""),"I think it was to view my contacts/calendar.")</f>
        <v>I think it was to view my contacts/calendar.</v>
      </c>
      <c r="C106" s="3" t="s">
        <v>1645</v>
      </c>
      <c r="D106" s="3" t="s">
        <v>1650</v>
      </c>
      <c r="E106" s="12"/>
      <c r="F106" s="12"/>
      <c r="G106" s="12"/>
      <c r="H106" s="12"/>
      <c r="I106" s="12"/>
      <c r="J106" s="12"/>
    </row>
    <row r="107">
      <c r="A107">
        <f>IFERROR(__xludf.DUMMYFUNCTION("""COMPUTED_VALUE"""),159.0)</f>
        <v>159</v>
      </c>
      <c r="B107" s="12" t="str">
        <f>IFERROR(__xludf.DUMMYFUNCTION("""COMPUTED_VALUE"""),"I try to sign in with my Google Account when I can to streamline logging into my apps.")</f>
        <v>I try to sign in with my Google Account when I can to streamline logging into my apps.</v>
      </c>
      <c r="C107" s="3" t="s">
        <v>1598</v>
      </c>
      <c r="D107" s="3"/>
      <c r="E107" s="3"/>
      <c r="F107" s="3"/>
      <c r="G107" s="12"/>
      <c r="H107" s="12"/>
      <c r="I107" s="12"/>
      <c r="J107" s="12"/>
    </row>
    <row r="108">
      <c r="A108">
        <f>IFERROR(__xludf.DUMMYFUNCTION("""COMPUTED_VALUE"""),160.0)</f>
        <v>160</v>
      </c>
      <c r="B108" s="12" t="str">
        <f>IFERROR(__xludf.DUMMYFUNCTION("""COMPUTED_VALUE"""),"To allow me to fully utilize the third party app.")</f>
        <v>To allow me to fully utilize the third party app.</v>
      </c>
      <c r="C108" s="3" t="s">
        <v>1627</v>
      </c>
      <c r="D108" s="3"/>
      <c r="E108" s="3"/>
      <c r="F108" s="12"/>
      <c r="G108" s="12"/>
      <c r="H108" s="12"/>
      <c r="I108" s="12"/>
      <c r="J108" s="12"/>
    </row>
    <row r="109">
      <c r="A109">
        <f>IFERROR(__xludf.DUMMYFUNCTION("""COMPUTED_VALUE"""),162.0)</f>
        <v>162</v>
      </c>
      <c r="B109" s="12" t="str">
        <f>IFERROR(__xludf.DUMMYFUNCTION("""COMPUTED_VALUE"""),"To allow my son to complete his school work.")</f>
        <v>To allow my son to complete his school work.</v>
      </c>
      <c r="C109" s="3" t="s">
        <v>1666</v>
      </c>
      <c r="D109" s="3"/>
      <c r="E109" s="12"/>
      <c r="F109" s="12"/>
      <c r="G109" s="12"/>
      <c r="H109" s="12"/>
      <c r="I109" s="12"/>
      <c r="J109" s="12"/>
    </row>
    <row r="110">
      <c r="A110">
        <f>IFERROR(__xludf.DUMMYFUNCTION("""COMPUTED_VALUE"""),163.0)</f>
        <v>163</v>
      </c>
      <c r="B110" s="12" t="str">
        <f>IFERROR(__xludf.DUMMYFUNCTION("""COMPUTED_VALUE"""),"I used it to use an app that let me edit PDFs for free.")</f>
        <v>I used it to use an app that let me edit PDFs for free.</v>
      </c>
      <c r="C110" s="3" t="s">
        <v>1652</v>
      </c>
      <c r="D110" s="3" t="s">
        <v>1667</v>
      </c>
      <c r="E110" s="3"/>
      <c r="F110" s="12"/>
      <c r="G110" s="12"/>
      <c r="H110" s="12"/>
      <c r="I110" s="12"/>
      <c r="J110" s="12"/>
    </row>
    <row r="111">
      <c r="A111">
        <f>IFERROR(__xludf.DUMMYFUNCTION("""COMPUTED_VALUE"""),164.0)</f>
        <v>164</v>
      </c>
      <c r="B111" s="12" t="str">
        <f>IFERROR(__xludf.DUMMYFUNCTION("""COMPUTED_VALUE"""),"To sign in easier.")</f>
        <v>To sign in easier.</v>
      </c>
      <c r="C111" s="26" t="s">
        <v>1598</v>
      </c>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t="str">
        <f>IFERROR(__xludf.DUMMYFUNCTION("""COMPUTED_VALUE"""),"contacts and mail")</f>
        <v>contacts and mail</v>
      </c>
      <c r="C117" s="3" t="s">
        <v>1645</v>
      </c>
      <c r="D117" s="3" t="s">
        <v>1652</v>
      </c>
      <c r="E117" s="3" t="s">
        <v>1668</v>
      </c>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t="str">
        <f>IFERROR(__xludf.DUMMYFUNCTION("""COMPUTED_VALUE"""),"I granted third party acess to ZIP extractor because I needed for it to use my google drive so that it could unzip certain files related to a programming project that I was working on.")</f>
        <v>I granted third party acess to ZIP extractor because I needed for it to use my google drive so that it could unzip certain files related to a programming project that I was working on.</v>
      </c>
      <c r="C119" s="3" t="s">
        <v>1652</v>
      </c>
      <c r="D119" s="3" t="s">
        <v>1669</v>
      </c>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t="str">
        <f>IFERROR(__xludf.DUMMYFUNCTION("""COMPUTED_VALUE"""),"Accessing Google Calendar to modify events")</f>
        <v>Accessing Google Calendar to modify events</v>
      </c>
      <c r="C124" s="3" t="s">
        <v>1650</v>
      </c>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t="str">
        <f>IFERROR(__xludf.DUMMYFUNCTION("""COMPUTED_VALUE"""),"Syncing a calendar function within a third party app.")</f>
        <v>Syncing a calendar function within a third party app.</v>
      </c>
      <c r="C127" s="3" t="s">
        <v>1650</v>
      </c>
      <c r="D127" s="12"/>
      <c r="E127" s="12"/>
      <c r="F127" s="12"/>
      <c r="G127" s="12"/>
      <c r="H127" s="12"/>
      <c r="I127" s="12"/>
      <c r="J127" s="12"/>
    </row>
    <row r="128">
      <c r="A128">
        <f>IFERROR(__xludf.DUMMYFUNCTION("""COMPUTED_VALUE"""),188.0)</f>
        <v>188</v>
      </c>
      <c r="B128" s="12" t="str">
        <f>IFERROR(__xludf.DUMMYFUNCTION("""COMPUTED_VALUE"""),"The purpose was to log in to my account.")</f>
        <v>The purpose was to log in to my account.</v>
      </c>
      <c r="C128" s="3" t="s">
        <v>1627</v>
      </c>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t="str">
        <f>IFERROR(__xludf.DUMMYFUNCTION("""COMPUTED_VALUE"""),"It was required to sign up")</f>
        <v>It was required to sign up</v>
      </c>
      <c r="C130" s="3" t="s">
        <v>1627</v>
      </c>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t="str">
        <f>IFERROR(__xludf.DUMMYFUNCTION("""COMPUTED_VALUE"""),"able to upload saved game daya")</f>
        <v>able to upload saved game daya</v>
      </c>
      <c r="C132" s="3" t="s">
        <v>1662</v>
      </c>
      <c r="D132" s="3"/>
      <c r="E132" s="12"/>
      <c r="F132" s="12"/>
      <c r="G132" s="12"/>
      <c r="H132" s="12"/>
      <c r="I132" s="12"/>
      <c r="J132" s="12"/>
    </row>
    <row r="133">
      <c r="A133">
        <f>IFERROR(__xludf.DUMMYFUNCTION("""COMPUTED_VALUE"""),195.0)</f>
        <v>195</v>
      </c>
      <c r="B133" s="12" t="str">
        <f>IFERROR(__xludf.DUMMYFUNCTION("""COMPUTED_VALUE"""),"to monitor health data")</f>
        <v>to monitor health data</v>
      </c>
      <c r="C133" s="3" t="s">
        <v>1643</v>
      </c>
      <c r="D133" s="3" t="s">
        <v>1670</v>
      </c>
      <c r="E133" s="12"/>
      <c r="F133" s="12"/>
      <c r="G133" s="12"/>
      <c r="H133" s="12"/>
      <c r="I133" s="12"/>
      <c r="J133" s="12"/>
    </row>
    <row r="134">
      <c r="A134">
        <f>IFERROR(__xludf.DUMMYFUNCTION("""COMPUTED_VALUE"""),198.0)</f>
        <v>198</v>
      </c>
      <c r="B134" s="12" t="str">
        <f>IFERROR(__xludf.DUMMYFUNCTION("""COMPUTED_VALUE"""),"call of duty mobile")</f>
        <v>call of duty mobile</v>
      </c>
      <c r="C134" s="3" t="s">
        <v>1662</v>
      </c>
      <c r="D134" s="3"/>
      <c r="E134" s="3"/>
      <c r="F134" s="12"/>
      <c r="G134" s="12"/>
      <c r="H134" s="12"/>
      <c r="I134" s="12"/>
      <c r="J134" s="12"/>
    </row>
    <row r="135">
      <c r="A135">
        <f>IFERROR(__xludf.DUMMYFUNCTION("""COMPUTED_VALUE"""),199.0)</f>
        <v>199</v>
      </c>
      <c r="B135" s="12" t="str">
        <f>IFERROR(__xludf.DUMMYFUNCTION("""COMPUTED_VALUE"""),"To edit my google drive")</f>
        <v>To edit my google drive</v>
      </c>
      <c r="C135" s="3" t="s">
        <v>1646</v>
      </c>
      <c r="D135" s="3" t="s">
        <v>1671</v>
      </c>
      <c r="E135" s="3" t="s">
        <v>1652</v>
      </c>
      <c r="F135" s="12"/>
      <c r="G135" s="12"/>
      <c r="H135" s="12"/>
      <c r="I135" s="12"/>
      <c r="J135" s="12"/>
    </row>
    <row r="136">
      <c r="A136">
        <f>IFERROR(__xludf.DUMMYFUNCTION("""COMPUTED_VALUE"""),200.0)</f>
        <v>200</v>
      </c>
      <c r="B136" s="12" t="str">
        <f>IFERROR(__xludf.DUMMYFUNCTION("""COMPUTED_VALUE"""),"Again, for the food delivery app but cannot remember its name")</f>
        <v>Again, for the food delivery app but cannot remember its name</v>
      </c>
      <c r="C136" s="3" t="s">
        <v>66</v>
      </c>
      <c r="D136" s="3"/>
      <c r="E136" s="3"/>
      <c r="F136" s="12"/>
      <c r="G136" s="12"/>
      <c r="H136" s="12"/>
      <c r="I136" s="12"/>
      <c r="J136" s="12"/>
    </row>
    <row r="137">
      <c r="A137">
        <f>IFERROR(__xludf.DUMMYFUNCTION("""COMPUTED_VALUE"""),201.0)</f>
        <v>201</v>
      </c>
      <c r="B137" s="12" t="str">
        <f>IFERROR(__xludf.DUMMYFUNCTION("""COMPUTED_VALUE"""),"To allow for easier sign on access.")</f>
        <v>To allow for easier sign on access.</v>
      </c>
      <c r="C137" s="3" t="s">
        <v>1598</v>
      </c>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t="str">
        <f>IFERROR(__xludf.DUMMYFUNCTION("""COMPUTED_VALUE"""),"Last week, an app called calendars 5 on iOS, it'll be able to read my calendar and lets me use my voice to add events")</f>
        <v>Last week, an app called calendars 5 on iOS, it'll be able to read my calendar and lets me use my voice to add events</v>
      </c>
      <c r="C139" s="3" t="s">
        <v>1650</v>
      </c>
      <c r="D139" s="3" t="s">
        <v>1672</v>
      </c>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t="str">
        <f>IFERROR(__xludf.DUMMYFUNCTION("""COMPUTED_VALUE"""),"to store my acct in the cloud to recover")</f>
        <v>to store my acct in the cloud to recover</v>
      </c>
      <c r="C141" s="3" t="s">
        <v>1652</v>
      </c>
      <c r="D141" s="3" t="s">
        <v>1657</v>
      </c>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t="str">
        <f>IFERROR(__xludf.DUMMYFUNCTION("""COMPUTED_VALUE"""),"So I could use the app.")</f>
        <v>So I could use the app.</v>
      </c>
      <c r="C143" s="3" t="s">
        <v>1627</v>
      </c>
      <c r="D143" s="3"/>
      <c r="E143" s="3"/>
      <c r="F143" s="12"/>
      <c r="G143" s="12"/>
      <c r="H143" s="12"/>
      <c r="I143" s="12"/>
      <c r="J143" s="12"/>
    </row>
    <row r="144">
      <c r="A144">
        <f>IFERROR(__xludf.DUMMYFUNCTION("""COMPUTED_VALUE"""),210.0)</f>
        <v>210</v>
      </c>
      <c r="B144" s="12" t="str">
        <f>IFERROR(__xludf.DUMMYFUNCTION("""COMPUTED_VALUE"""),"Again, I can't remember exactly what but I know I have granted access for games from the playstore.")</f>
        <v>Again, I can't remember exactly what but I know I have granted access for games from the playstore.</v>
      </c>
      <c r="C144" s="3" t="s">
        <v>1662</v>
      </c>
      <c r="D144" s="3"/>
      <c r="E144" s="3"/>
      <c r="F144" s="3"/>
      <c r="G144" s="3"/>
      <c r="H144" s="12"/>
      <c r="I144" s="12"/>
      <c r="J144" s="12"/>
    </row>
    <row r="145">
      <c r="A145">
        <f>IFERROR(__xludf.DUMMYFUNCTION("""COMPUTED_VALUE"""),212.0)</f>
        <v>212</v>
      </c>
      <c r="B145" s="12" t="str">
        <f>IFERROR(__xludf.DUMMYFUNCTION("""COMPUTED_VALUE"""),"Photos")</f>
        <v>Photos</v>
      </c>
      <c r="C145" s="3" t="s">
        <v>1673</v>
      </c>
      <c r="D145" s="3"/>
      <c r="E145" s="3"/>
      <c r="F145" s="12"/>
      <c r="G145" s="12"/>
      <c r="H145" s="12"/>
      <c r="I145" s="12"/>
      <c r="J145" s="12"/>
    </row>
    <row r="146">
      <c r="A146">
        <f>IFERROR(__xludf.DUMMYFUNCTION("""COMPUTED_VALUE"""),213.0)</f>
        <v>213</v>
      </c>
      <c r="B146" s="12" t="str">
        <f>IFERROR(__xludf.DUMMYFUNCTION("""COMPUTED_VALUE"""),"To grant me access to enable me to play a video game")</f>
        <v>To grant me access to enable me to play a video game</v>
      </c>
      <c r="C146" s="3" t="s">
        <v>1662</v>
      </c>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t="str">
        <f>IFERROR(__xludf.DUMMYFUNCTION("""COMPUTED_VALUE"""),"I granted a third-party app access to my Google account because it was a plug-in that could make my work easier in Google Sheets")</f>
        <v>I granted a third-party app access to my Google account because it was a plug-in that could make my work easier in Google Sheets</v>
      </c>
      <c r="C151" s="3" t="s">
        <v>1598</v>
      </c>
      <c r="D151" s="3" t="s">
        <v>1646</v>
      </c>
      <c r="E151" s="3" t="s">
        <v>1674</v>
      </c>
      <c r="F151" s="3"/>
      <c r="H151" s="12"/>
      <c r="I151" s="12"/>
      <c r="J151" s="12"/>
    </row>
    <row r="152">
      <c r="A152">
        <f>IFERROR(__xludf.DUMMYFUNCTION("""COMPUTED_VALUE"""),221.0)</f>
        <v>221</v>
      </c>
      <c r="B152" s="12" t="str">
        <f>IFERROR(__xludf.DUMMYFUNCTION("""COMPUTED_VALUE"""),"To scan for receipts")</f>
        <v>To scan for receipts</v>
      </c>
      <c r="C152" s="45" t="s">
        <v>1652</v>
      </c>
      <c r="D152" s="46" t="s">
        <v>1664</v>
      </c>
      <c r="E152" s="12"/>
      <c r="F152" s="12"/>
      <c r="H152" s="12"/>
      <c r="I152" s="12"/>
      <c r="J152" s="12"/>
    </row>
    <row r="153">
      <c r="A153">
        <f>IFERROR(__xludf.DUMMYFUNCTION("""COMPUTED_VALUE"""),222.0)</f>
        <v>222</v>
      </c>
      <c r="B153" s="12" t="str">
        <f>IFERROR(__xludf.DUMMYFUNCTION("""COMPUTED_VALUE"""),"I think it was to play a phone game.")</f>
        <v>I think it was to play a phone game.</v>
      </c>
      <c r="C153" s="3" t="s">
        <v>1662</v>
      </c>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t="str">
        <f>IFERROR(__xludf.DUMMYFUNCTION("""COMPUTED_VALUE"""),"Nest is a google company so I'm not sure it meets the purpose of this study. But is allows me to run my thermostat")</f>
        <v>Nest is a google company so I'm not sure it meets the purpose of this study. But is allows me to run my thermostat</v>
      </c>
      <c r="C156" s="46" t="s">
        <v>1646</v>
      </c>
      <c r="D156" s="46" t="s">
        <v>1675</v>
      </c>
      <c r="E156" s="12"/>
      <c r="F156" s="12"/>
      <c r="G156" s="12"/>
      <c r="H156" s="12"/>
      <c r="I156" s="12"/>
      <c r="J156" s="12"/>
    </row>
    <row r="157">
      <c r="A157">
        <f>IFERROR(__xludf.DUMMYFUNCTION("""COMPUTED_VALUE"""),228.0)</f>
        <v>228</v>
      </c>
      <c r="B157" s="12" t="str">
        <f>IFERROR(__xludf.DUMMYFUNCTION("""COMPUTED_VALUE"""),"It needed some personal information for example it needed access so the app could verify my age.")</f>
        <v>It needed some personal information for example it needed access so the app could verify my age.</v>
      </c>
      <c r="C157" s="34" t="s">
        <v>1643</v>
      </c>
      <c r="D157" s="46" t="s">
        <v>1676</v>
      </c>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t="str">
        <f>IFERROR(__xludf.DUMMYFUNCTION("""COMPUTED_VALUE"""),"to sign into my zoom acount")</f>
        <v>to sign into my zoom acount</v>
      </c>
      <c r="C159" s="3" t="s">
        <v>1646</v>
      </c>
      <c r="D159" s="20" t="s">
        <v>1654</v>
      </c>
      <c r="E159" s="12"/>
      <c r="F159" s="12"/>
      <c r="G159" s="12"/>
      <c r="H159" s="12"/>
      <c r="I159" s="12"/>
      <c r="J159" s="12"/>
    </row>
    <row r="160">
      <c r="A160">
        <f>IFERROR(__xludf.DUMMYFUNCTION("""COMPUTED_VALUE"""),233.0)</f>
        <v>233</v>
      </c>
      <c r="B160" s="12" t="str">
        <f>IFERROR(__xludf.DUMMYFUNCTION("""COMPUTED_VALUE"""),"Access contacts I think")</f>
        <v>Access contacts I think</v>
      </c>
      <c r="C160" s="34" t="s">
        <v>1645</v>
      </c>
      <c r="D160" s="12"/>
      <c r="E160" s="12"/>
      <c r="F160" s="12"/>
      <c r="G160" s="12"/>
      <c r="H160" s="12"/>
      <c r="I160" s="12"/>
      <c r="J160" s="12"/>
    </row>
    <row r="161">
      <c r="A161">
        <f>IFERROR(__xludf.DUMMYFUNCTION("""COMPUTED_VALUE"""),234.0)</f>
        <v>234</v>
      </c>
      <c r="B161" s="12" t="str">
        <f>IFERROR(__xludf.DUMMYFUNCTION("""COMPUTED_VALUE"""),"I granted a flowchart app permission to read/write files into my Google Drive so that I could easily organize my flowcharts.")</f>
        <v>I granted a flowchart app permission to read/write files into my Google Drive so that I could easily organize my flowcharts.</v>
      </c>
      <c r="C161" s="3" t="s">
        <v>1646</v>
      </c>
      <c r="D161" s="3" t="s">
        <v>1671</v>
      </c>
      <c r="E161" s="12"/>
      <c r="F161" s="12"/>
      <c r="G161" s="12"/>
      <c r="H161" s="12"/>
      <c r="I161" s="12"/>
      <c r="J161" s="12"/>
    </row>
    <row r="162">
      <c r="A162">
        <f>IFERROR(__xludf.DUMMYFUNCTION("""COMPUTED_VALUE"""),235.0)</f>
        <v>235</v>
      </c>
      <c r="B162" s="12" t="str">
        <f>IFERROR(__xludf.DUMMYFUNCTION("""COMPUTED_VALUE"""),"Help me manage my other apps")</f>
        <v>Help me manage my other apps</v>
      </c>
      <c r="C162" s="45" t="s">
        <v>1652</v>
      </c>
      <c r="D162" s="46" t="s">
        <v>1677</v>
      </c>
      <c r="E162" s="12"/>
      <c r="F162" s="12"/>
      <c r="G162" s="12"/>
      <c r="H162" s="12"/>
      <c r="I162" s="12"/>
      <c r="J162" s="12"/>
    </row>
    <row r="163">
      <c r="A163">
        <f>IFERROR(__xludf.DUMMYFUNCTION("""COMPUTED_VALUE"""),236.0)</f>
        <v>236</v>
      </c>
      <c r="B163" s="12" t="str">
        <f>IFERROR(__xludf.DUMMYFUNCTION("""COMPUTED_VALUE"""),"I think it was Farmville or something like that. Some site that I'd used for years &amp; fully trusted.")</f>
        <v>I think it was Farmville or something like that. Some site that I'd used for years &amp; fully trusted.</v>
      </c>
      <c r="C163" s="3" t="s">
        <v>1662</v>
      </c>
      <c r="D163" s="12"/>
      <c r="E163" s="12"/>
      <c r="F163" s="12"/>
      <c r="G163" s="12"/>
      <c r="H163" s="12"/>
      <c r="I163" s="12"/>
      <c r="J163" s="12"/>
    </row>
    <row r="164">
      <c r="A164">
        <f>IFERROR(__xludf.DUMMYFUNCTION("""COMPUTED_VALUE"""),237.0)</f>
        <v>237</v>
      </c>
      <c r="B164" s="12" t="str">
        <f>IFERROR(__xludf.DUMMYFUNCTION("""COMPUTED_VALUE"""),"To provide easier accessibility, for example, syncing calendly with google calendar made it easy for me to see my schedule")</f>
        <v>To provide easier accessibility, for example, syncing calendly with google calendar made it easy for me to see my schedule</v>
      </c>
      <c r="C164" t="s">
        <v>1650</v>
      </c>
      <c r="D164" s="34" t="s">
        <v>1652</v>
      </c>
      <c r="E164" s="34" t="s">
        <v>1653</v>
      </c>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t="str">
        <f>IFERROR(__xludf.DUMMYFUNCTION("""COMPUTED_VALUE"""),"3rd party Google Drive client")</f>
        <v>3rd party Google Drive client</v>
      </c>
      <c r="C166" s="3" t="s">
        <v>1646</v>
      </c>
      <c r="D166" s="3" t="s">
        <v>1671</v>
      </c>
      <c r="E166" s="12"/>
      <c r="F166" s="12"/>
      <c r="G166" s="12"/>
      <c r="H166" s="12"/>
      <c r="I166" s="12"/>
      <c r="J166" s="12"/>
    </row>
    <row r="167">
      <c r="A167">
        <f>IFERROR(__xludf.DUMMYFUNCTION("""COMPUTED_VALUE"""),241.0)</f>
        <v>241</v>
      </c>
      <c r="B167" s="12" t="str">
        <f>IFERROR(__xludf.DUMMYFUNCTION("""COMPUTED_VALUE"""),"allowing myself access to my stuff (integrating platforms and scripts)")</f>
        <v>allowing myself access to my stuff (integrating platforms and scripts)</v>
      </c>
      <c r="C167" s="12"/>
      <c r="D167" s="12"/>
      <c r="E167" s="12"/>
      <c r="F167" s="12"/>
      <c r="G167" s="12"/>
      <c r="H167" s="12"/>
      <c r="I167" s="12"/>
      <c r="J167" s="12"/>
    </row>
    <row r="168">
      <c r="A168">
        <f>IFERROR(__xludf.DUMMYFUNCTION("""COMPUTED_VALUE"""),242.0)</f>
        <v>242</v>
      </c>
      <c r="B168" s="12" t="str">
        <f>IFERROR(__xludf.DUMMYFUNCTION("""COMPUTED_VALUE"""),"To connect my payment information")</f>
        <v>To connect my payment information</v>
      </c>
      <c r="C168" s="3" t="s">
        <v>66</v>
      </c>
      <c r="D168" s="12"/>
      <c r="E168" s="12"/>
      <c r="F168" s="12"/>
      <c r="G168" s="12"/>
      <c r="H168" s="12"/>
      <c r="I168" s="12"/>
      <c r="J168" s="12"/>
    </row>
    <row r="169">
      <c r="A169">
        <f>IFERROR(__xludf.DUMMYFUNCTION("""COMPUTED_VALUE"""),245.0)</f>
        <v>245</v>
      </c>
      <c r="B169" s="12" t="str">
        <f>IFERROR(__xludf.DUMMYFUNCTION("""COMPUTED_VALUE"""),"Adding smart home devices to google assistant")</f>
        <v>Adding smart home devices to google assistant</v>
      </c>
      <c r="C169" s="34" t="s">
        <v>1652</v>
      </c>
      <c r="D169" s="34" t="s">
        <v>1653</v>
      </c>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t="str">
        <f>IFERROR(__xludf.DUMMYFUNCTION("""COMPUTED_VALUE"""),"teh compatibility and ease of synching of the info from app to app")</f>
        <v>teh compatibility and ease of synching of the info from app to app</v>
      </c>
      <c r="C175" t="s">
        <v>1652</v>
      </c>
      <c r="D175" s="20" t="s">
        <v>1653</v>
      </c>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t="str">
        <f>IFERROR(__xludf.DUMMYFUNCTION("""COMPUTED_VALUE"""),"I can't remember off the top of my head sadly but it must've been important!")</f>
        <v>I can't remember off the top of my head sadly but it must've been important!</v>
      </c>
      <c r="C179" t="s">
        <v>1432</v>
      </c>
      <c r="D179" s="12"/>
      <c r="E179" s="12"/>
      <c r="F179" s="12"/>
      <c r="G179" s="12"/>
      <c r="H179" s="12"/>
      <c r="I179" s="12"/>
      <c r="J179" s="12"/>
    </row>
    <row r="180">
      <c r="A180">
        <f>IFERROR(__xludf.DUMMYFUNCTION("""COMPUTED_VALUE"""),259.0)</f>
        <v>259</v>
      </c>
      <c r="B180" s="12" t="str">
        <f>IFERROR(__xludf.DUMMYFUNCTION("""COMPUTED_VALUE"""),"I allowed Zoom to access my calendar")</f>
        <v>I allowed Zoom to access my calendar</v>
      </c>
      <c r="C180" s="3" t="s">
        <v>1646</v>
      </c>
      <c r="D180" s="20" t="s">
        <v>1654</v>
      </c>
      <c r="E180" t="s">
        <v>1650</v>
      </c>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t="str">
        <f>IFERROR(__xludf.DUMMYFUNCTION("""COMPUTED_VALUE"""),"To add something to my calendar")</f>
        <v>To add something to my calendar</v>
      </c>
      <c r="C183" t="s">
        <v>1650</v>
      </c>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t="str">
        <f>IFERROR(__xludf.DUMMYFUNCTION("""COMPUTED_VALUE"""),"to send me notifications")</f>
        <v>to send me notifications</v>
      </c>
      <c r="C185" s="34" t="s">
        <v>1649</v>
      </c>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t="str">
        <f>IFERROR(__xludf.DUMMYFUNCTION("""COMPUTED_VALUE"""),"when i had an android phone")</f>
        <v>when i had an android phone</v>
      </c>
      <c r="C188" s="34" t="s">
        <v>1652</v>
      </c>
      <c r="D188" s="34" t="s">
        <v>1653</v>
      </c>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t="str">
        <f>IFERROR(__xludf.DUMMYFUNCTION("""COMPUTED_VALUE"""),"I honestly don't recall.")</f>
        <v>I honestly don't recall.</v>
      </c>
      <c r="C190" s="34" t="s">
        <v>1432</v>
      </c>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t="str">
        <f>IFERROR(__xludf.DUMMYFUNCTION("""COMPUTED_VALUE"""),"To access my shipping information for packages")</f>
        <v>To access my shipping information for packages</v>
      </c>
      <c r="C192" s="46" t="s">
        <v>1652</v>
      </c>
      <c r="D192" s="34" t="s">
        <v>1653</v>
      </c>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t="str">
        <f>IFERROR(__xludf.DUMMYFUNCTION("""COMPUTED_VALUE"""),"Grammarly")</f>
        <v>Grammarly</v>
      </c>
      <c r="C194" s="3" t="s">
        <v>1646</v>
      </c>
      <c r="D194" s="3" t="s">
        <v>1678</v>
      </c>
      <c r="E194" s="12"/>
      <c r="F194" s="12"/>
      <c r="G194" s="12"/>
      <c r="H194" s="12"/>
      <c r="I194" s="12"/>
      <c r="J194" s="12"/>
    </row>
    <row r="195">
      <c r="A195">
        <f>IFERROR(__xludf.DUMMYFUNCTION("""COMPUTED_VALUE"""),279.0)</f>
        <v>279</v>
      </c>
      <c r="B195" s="12" t="str">
        <f>IFERROR(__xludf.DUMMYFUNCTION("""COMPUTED_VALUE"""),"To log in to the third party app")</f>
        <v>To log in to the third party app</v>
      </c>
      <c r="C195" s="3" t="s">
        <v>1644</v>
      </c>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t="str">
        <f>IFERROR(__xludf.DUMMYFUNCTION("""COMPUTED_VALUE"""),"A PDF editing site")</f>
        <v>A PDF editing site</v>
      </c>
      <c r="C197" s="46" t="s">
        <v>1652</v>
      </c>
      <c r="D197" s="34" t="s">
        <v>1667</v>
      </c>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t="str">
        <f>IFERROR(__xludf.DUMMYFUNCTION("""COMPUTED_VALUE"""),"To allow a payment option")</f>
        <v>To allow a payment option</v>
      </c>
      <c r="C200" s="3" t="s">
        <v>66</v>
      </c>
      <c r="D200" s="12"/>
      <c r="E200" s="12"/>
      <c r="F200" s="12"/>
      <c r="G200" s="12"/>
      <c r="H200" s="12"/>
      <c r="I200" s="12"/>
      <c r="J200" s="12"/>
    </row>
    <row r="201">
      <c r="A201">
        <f>IFERROR(__xludf.DUMMYFUNCTION("""COMPUTED_VALUE"""),292.0)</f>
        <v>292</v>
      </c>
      <c r="B201" s="12" t="str">
        <f>IFERROR(__xludf.DUMMYFUNCTION("""COMPUTED_VALUE"""),"To win a raffle")</f>
        <v>To win a raffle</v>
      </c>
      <c r="C201" s="34" t="s">
        <v>1662</v>
      </c>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t="str">
        <f>IFERROR(__xludf.DUMMYFUNCTION("""COMPUTED_VALUE"""),"Calendar access for deadlines")</f>
        <v>Calendar access for deadlines</v>
      </c>
      <c r="C203" t="s">
        <v>1650</v>
      </c>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t="str">
        <f>IFERROR(__xludf.DUMMYFUNCTION("""COMPUTED_VALUE"""),"Mobile game applications")</f>
        <v>Mobile game applications</v>
      </c>
      <c r="C206" s="34" t="s">
        <v>1662</v>
      </c>
      <c r="D206" s="12"/>
      <c r="E206" s="12"/>
      <c r="F206" s="12"/>
      <c r="G206" s="12"/>
      <c r="H206" s="12"/>
      <c r="I206" s="12"/>
      <c r="J206" s="12"/>
    </row>
    <row r="207">
      <c r="A207">
        <f>IFERROR(__xludf.DUMMYFUNCTION("""COMPUTED_VALUE"""),300.0)</f>
        <v>300</v>
      </c>
      <c r="B207" s="12" t="str">
        <f>IFERROR(__xludf.DUMMYFUNCTION("""COMPUTED_VALUE"""),"I think it was for pinterest or instagram, but I can't really remember now and it was something to do with google photos maybe.")</f>
        <v>I think it was for pinterest or instagram, but I can't really remember now and it was something to do with google photos maybe.</v>
      </c>
      <c r="C207" s="34" t="s">
        <v>1673</v>
      </c>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t="str">
        <f>IFERROR(__xludf.DUMMYFUNCTION("""COMPUTED_VALUE"""),"Allowing me access to multiple e-mails from the same app on my Windows computer.")</f>
        <v>Allowing me access to multiple e-mails from the same app on my Windows computer.</v>
      </c>
      <c r="C209" s="46" t="s">
        <v>1652</v>
      </c>
      <c r="D209" s="34" t="s">
        <v>1668</v>
      </c>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t="str">
        <f>IFERROR(__xludf.DUMMYFUNCTION("""COMPUTED_VALUE"""),"It was Plex.
 It was to create an account.")</f>
        <v>It was Plex.
 It was to create an account.</v>
      </c>
      <c r="C211" s="3" t="s">
        <v>1646</v>
      </c>
      <c r="D211" s="3" t="s">
        <v>1679</v>
      </c>
      <c r="E211" s="3" t="s">
        <v>1644</v>
      </c>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t="str">
        <f>IFERROR(__xludf.DUMMYFUNCTION("""COMPUTED_VALUE"""),"To access my Google calendar")</f>
        <v>To access my Google calendar</v>
      </c>
      <c r="C213" s="34" t="s">
        <v>1650</v>
      </c>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t="str">
        <f>IFERROR(__xludf.DUMMYFUNCTION("""COMPUTED_VALUE"""),"I granted LinkedIn information access.")</f>
        <v>I granted LinkedIn information access.</v>
      </c>
      <c r="C215" s="3" t="s">
        <v>1646</v>
      </c>
      <c r="D215" s="3" t="s">
        <v>1680</v>
      </c>
      <c r="E215" s="34" t="s">
        <v>1643</v>
      </c>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t="str">
        <f>IFERROR(__xludf.DUMMYFUNCTION("""COMPUTED_VALUE"""),"To order food from a restaurant")</f>
        <v>To order food from a restaurant</v>
      </c>
      <c r="C219" s="34" t="s">
        <v>66</v>
      </c>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t="str">
        <f>IFERROR(__xludf.DUMMYFUNCTION("""COMPUTED_VALUE"""),"It was to link my accounts and save game backups to my Google account.")</f>
        <v>It was to link my accounts and save game backups to my Google account.</v>
      </c>
      <c r="C221" s="46" t="s">
        <v>1652</v>
      </c>
      <c r="D221" s="34" t="s">
        <v>1657</v>
      </c>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t="str">
        <f>IFERROR(__xludf.DUMMYFUNCTION("""COMPUTED_VALUE"""),"For contact information")</f>
        <v>For contact information</v>
      </c>
      <c r="C223" s="34" t="s">
        <v>1643</v>
      </c>
      <c r="D223" s="12"/>
      <c r="E223" s="12"/>
      <c r="F223" s="12"/>
      <c r="G223" s="12"/>
      <c r="H223" s="12"/>
      <c r="I223" s="12"/>
      <c r="J223" s="12"/>
    </row>
    <row r="224">
      <c r="A224">
        <f>IFERROR(__xludf.DUMMYFUNCTION("""COMPUTED_VALUE"""),319.0)</f>
        <v>319</v>
      </c>
      <c r="B224" s="12" t="str">
        <f>IFERROR(__xludf.DUMMYFUNCTION("""COMPUTED_VALUE"""),"I don't recall exactly but i believe it was to take screenshots.")</f>
        <v>I don't recall exactly but i believe it was to take screenshots.</v>
      </c>
      <c r="C224" s="34" t="s">
        <v>1652</v>
      </c>
      <c r="D224" s="46" t="s">
        <v>1681</v>
      </c>
      <c r="E224" s="12"/>
      <c r="F224" s="12"/>
      <c r="G224" s="12"/>
      <c r="H224" s="12"/>
      <c r="I224" s="12"/>
      <c r="J224" s="12"/>
    </row>
    <row r="225">
      <c r="A225">
        <f>IFERROR(__xludf.DUMMYFUNCTION("""COMPUTED_VALUE"""),321.0)</f>
        <v>321</v>
      </c>
      <c r="B225" s="12" t="str">
        <f>IFERROR(__xludf.DUMMYFUNCTION("""COMPUTED_VALUE"""),"To sign into an app")</f>
        <v>To sign into an app</v>
      </c>
      <c r="C225" s="3" t="s">
        <v>1644</v>
      </c>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t="str">
        <f>IFERROR(__xludf.DUMMYFUNCTION("""COMPUTED_VALUE"""),"Last recollection was that I used this for my Movies Anywhere account.")</f>
        <v>Last recollection was that I used this for my Movies Anywhere account.</v>
      </c>
      <c r="C228" s="3" t="s">
        <v>1646</v>
      </c>
      <c r="D228" s="3" t="s">
        <v>1682</v>
      </c>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t="str">
        <f>IFERROR(__xludf.DUMMYFUNCTION("""COMPUTED_VALUE"""),"The purpose was to be able to use the app.")</f>
        <v>The purpose was to be able to use the app.</v>
      </c>
      <c r="C230" s="3" t="s">
        <v>1644</v>
      </c>
      <c r="D230" s="12"/>
      <c r="E230" s="12"/>
      <c r="F230" s="12"/>
      <c r="G230" s="12"/>
      <c r="H230" s="12"/>
      <c r="I230" s="12"/>
      <c r="J230" s="12"/>
    </row>
    <row r="231">
      <c r="A231">
        <f>IFERROR(__xludf.DUMMYFUNCTION("""COMPUTED_VALUE"""),328.0)</f>
        <v>328</v>
      </c>
      <c r="B231" s="12" t="str">
        <f>IFERROR(__xludf.DUMMYFUNCTION("""COMPUTED_VALUE"""),"For the app to do its job properly, and to sync up with my calendar.")</f>
        <v>For the app to do its job properly, and to sync up with my calendar.</v>
      </c>
      <c r="C231" s="34" t="s">
        <v>1650</v>
      </c>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t="str">
        <f>IFERROR(__xludf.DUMMYFUNCTION("""COMPUTED_VALUE"""),"I allowed access to a screen recording app and gave access for it to save my videos to google drive")</f>
        <v>I allowed access to a screen recording app and gave access for it to save my videos to google drive</v>
      </c>
      <c r="C236" s="3" t="s">
        <v>1646</v>
      </c>
      <c r="D236" s="3" t="s">
        <v>1671</v>
      </c>
      <c r="E236" s="34" t="s">
        <v>1652</v>
      </c>
      <c r="F236" s="46" t="s">
        <v>1681</v>
      </c>
      <c r="G236" s="34" t="s">
        <v>1657</v>
      </c>
      <c r="H236" s="12"/>
      <c r="I236" s="12"/>
      <c r="J236" s="12"/>
    </row>
    <row r="237">
      <c r="A237">
        <f>IFERROR(__xludf.DUMMYFUNCTION("""COMPUTED_VALUE"""),335.0)</f>
        <v>335</v>
      </c>
      <c r="B237" s="12" t="str">
        <f>IFERROR(__xludf.DUMMYFUNCTION("""COMPUTED_VALUE"""),"yesterday, so that McDonald's could see my location")</f>
        <v>yesterday, so that McDonald's could see my location</v>
      </c>
      <c r="C237" s="3" t="s">
        <v>1646</v>
      </c>
      <c r="D237" s="3" t="s">
        <v>1683</v>
      </c>
      <c r="E237" s="34" t="s">
        <v>1643</v>
      </c>
      <c r="F237" s="46" t="s">
        <v>1684</v>
      </c>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t="str">
        <f>IFERROR(__xludf.DUMMYFUNCTION("""COMPUTED_VALUE"""),"To allow an app to add things to my google calendar.")</f>
        <v>To allow an app to add things to my google calendar.</v>
      </c>
      <c r="C240" s="34" t="s">
        <v>1650</v>
      </c>
      <c r="D240" s="12"/>
      <c r="E240" s="12"/>
      <c r="F240" s="12"/>
      <c r="G240" s="12"/>
      <c r="H240" s="12"/>
      <c r="I240" s="12"/>
      <c r="J240" s="12"/>
    </row>
    <row r="241">
      <c r="A241">
        <f>IFERROR(__xludf.DUMMYFUNCTION("""COMPUTED_VALUE"""),339.0)</f>
        <v>339</v>
      </c>
      <c r="B241" s="12" t="str">
        <f>IFERROR(__xludf.DUMMYFUNCTION("""COMPUTED_VALUE"""),"I am not sure, I would assume that they need to ask for permission to access the following.")</f>
        <v>I am not sure, I would assume that they need to ask for permission to access the following.</v>
      </c>
      <c r="C241" s="34" t="s">
        <v>1432</v>
      </c>
      <c r="D241" s="12"/>
      <c r="E241" s="12"/>
      <c r="F241" s="12"/>
      <c r="G241" s="12"/>
      <c r="H241" s="12"/>
      <c r="I241" s="12"/>
      <c r="J241" s="12"/>
    </row>
    <row r="242">
      <c r="A242">
        <f>IFERROR(__xludf.DUMMYFUNCTION("""COMPUTED_VALUE"""),340.0)</f>
        <v>340</v>
      </c>
      <c r="B242" s="12" t="str">
        <f>IFERROR(__xludf.DUMMYFUNCTION("""COMPUTED_VALUE"""),"To give information to the app")</f>
        <v>To give information to the app</v>
      </c>
      <c r="C242" s="34" t="s">
        <v>1643</v>
      </c>
      <c r="D242" s="12"/>
      <c r="E242" s="12"/>
      <c r="F242" s="12"/>
      <c r="G242" s="12"/>
      <c r="H242" s="12"/>
      <c r="I242" s="12"/>
      <c r="J242" s="12"/>
    </row>
    <row r="243">
      <c r="A243">
        <f>IFERROR(__xludf.DUMMYFUNCTION("""COMPUTED_VALUE"""),341.0)</f>
        <v>341</v>
      </c>
      <c r="B243" s="12" t="str">
        <f>IFERROR(__xludf.DUMMYFUNCTION("""COMPUTED_VALUE"""),"To make an account")</f>
        <v>To make an account</v>
      </c>
      <c r="C243" s="3" t="s">
        <v>1644</v>
      </c>
      <c r="D243" s="12"/>
      <c r="E243" s="12"/>
      <c r="F243" s="12"/>
      <c r="G243" s="12"/>
      <c r="H243" s="12"/>
      <c r="I243" s="12"/>
      <c r="J243" s="12"/>
    </row>
    <row r="244">
      <c r="A244">
        <f>IFERROR(__xludf.DUMMYFUNCTION("""COMPUTED_VALUE"""),342.0)</f>
        <v>342</v>
      </c>
      <c r="B244" s="12" t="str">
        <f>IFERROR(__xludf.DUMMYFUNCTION("""COMPUTED_VALUE"""),"for a game")</f>
        <v>for a game</v>
      </c>
      <c r="C244" s="34" t="s">
        <v>1662</v>
      </c>
      <c r="D244" s="12"/>
      <c r="E244" s="12"/>
      <c r="F244" s="12"/>
      <c r="G244" s="12"/>
      <c r="H244" s="12"/>
      <c r="I244" s="12"/>
      <c r="J244" s="12"/>
    </row>
    <row r="245">
      <c r="A245">
        <f>IFERROR(__xludf.DUMMYFUNCTION("""COMPUTED_VALUE"""),345.0)</f>
        <v>345</v>
      </c>
      <c r="B245" s="12" t="str">
        <f>IFERROR(__xludf.DUMMYFUNCTION("""COMPUTED_VALUE"""),"Allowing it to see my details for the account that I was signing into.")</f>
        <v>Allowing it to see my details for the account that I was signing into.</v>
      </c>
      <c r="C245" s="34" t="s">
        <v>1643</v>
      </c>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IFERROR(__xludf.DUMMYFUNCTION("""COMPUTED_VALUE"""),"So I could record footage as well as add contacts if I needed or wanted to.")</f>
        <v>So I could record footage as well as add contacts if I needed or wanted to.</v>
      </c>
      <c r="C247" s="34" t="s">
        <v>1645</v>
      </c>
      <c r="D247" s="34" t="s">
        <v>1652</v>
      </c>
      <c r="E247" s="34"/>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t="str">
        <f>IFERROR(__xludf.DUMMYFUNCTION("""COMPUTED_VALUE"""),"A weather app. Unsure of the name.")</f>
        <v>A weather app. Unsure of the name.</v>
      </c>
      <c r="C249" s="34" t="s">
        <v>1652</v>
      </c>
      <c r="D249" s="12"/>
      <c r="E249" s="12"/>
      <c r="F249" s="12"/>
      <c r="G249" s="12"/>
      <c r="H249" s="12"/>
      <c r="I249" s="12"/>
      <c r="J249" s="12"/>
    </row>
    <row r="250">
      <c r="A250">
        <f>IFERROR(__xludf.DUMMYFUNCTION("""COMPUTED_VALUE"""),354.0)</f>
        <v>354</v>
      </c>
      <c r="B250" s="12" t="str">
        <f>IFERROR(__xludf.DUMMYFUNCTION("""COMPUTED_VALUE"""),"Playing a game of taking an online quiz")</f>
        <v>Playing a game of taking an online quiz</v>
      </c>
      <c r="C250" s="34" t="s">
        <v>1662</v>
      </c>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t="str">
        <f>IFERROR(__xludf.DUMMYFUNCTION("""COMPUTED_VALUE"""),"to show what permissions the app needs to run")</f>
        <v>to show what permissions the app needs to run</v>
      </c>
      <c r="C252" s="12"/>
      <c r="D252" s="12"/>
      <c r="E252" s="12"/>
      <c r="F252" s="12"/>
      <c r="G252" s="12"/>
      <c r="H252" s="12"/>
      <c r="I252" s="12"/>
      <c r="J252" s="12"/>
    </row>
    <row r="253">
      <c r="A253">
        <f>IFERROR(__xludf.DUMMYFUNCTION("""COMPUTED_VALUE"""),358.0)</f>
        <v>358</v>
      </c>
      <c r="B253" s="12" t="str">
        <f>IFERROR(__xludf.DUMMYFUNCTION("""COMPUTED_VALUE"""),"Again I think this was with Zoom to give them access to my gmail calendar so I could schedule my meetings")</f>
        <v>Again I think this was with Zoom to give them access to my gmail calendar so I could schedule my meetings</v>
      </c>
      <c r="C253" s="34" t="s">
        <v>1650</v>
      </c>
      <c r="D253" s="3" t="s">
        <v>1646</v>
      </c>
      <c r="E253" s="3" t="s">
        <v>1654</v>
      </c>
      <c r="F253" s="12"/>
      <c r="G253" s="12"/>
      <c r="H253" s="12"/>
      <c r="I253" s="12"/>
      <c r="J253" s="12"/>
    </row>
    <row r="254">
      <c r="A254">
        <f>IFERROR(__xludf.DUMMYFUNCTION("""COMPUTED_VALUE"""),360.0)</f>
        <v>360</v>
      </c>
      <c r="B254" s="12" t="str">
        <f>IFERROR(__xludf.DUMMYFUNCTION("""COMPUTED_VALUE"""),"Accessing calendar events and contacts")</f>
        <v>Accessing calendar events and contacts</v>
      </c>
      <c r="C254" s="34" t="s">
        <v>1650</v>
      </c>
      <c r="D254" s="34" t="s">
        <v>1645</v>
      </c>
      <c r="E254" s="12"/>
      <c r="F254" s="12"/>
      <c r="G254" s="12"/>
      <c r="H254" s="12"/>
      <c r="I254" s="12"/>
      <c r="J254" s="12"/>
    </row>
    <row r="255">
      <c r="A255">
        <f>IFERROR(__xludf.DUMMYFUNCTION("""COMPUTED_VALUE"""),361.0)</f>
        <v>361</v>
      </c>
      <c r="B255" s="12" t="str">
        <f>IFERROR(__xludf.DUMMYFUNCTION("""COMPUTED_VALUE"""),"To use the products using it")</f>
        <v>To use the products using it</v>
      </c>
      <c r="C255" s="34" t="s">
        <v>1652</v>
      </c>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t="str">
        <f>IFERROR(__xludf.DUMMYFUNCTION("""COMPUTED_VALUE"""),"Allowing an application to save data to my phone.")</f>
        <v>Allowing an application to save data to my phone.</v>
      </c>
      <c r="C258" s="34" t="s">
        <v>1652</v>
      </c>
      <c r="D258" s="34" t="s">
        <v>1657</v>
      </c>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t="str">
        <f>IFERROR(__xludf.DUMMYFUNCTION("""COMPUTED_VALUE"""),"I allowed it just so I could continue logging in to what I was doing")</f>
        <v>I allowed it just so I could continue logging in to what I was doing</v>
      </c>
      <c r="C262" s="3" t="s">
        <v>1644</v>
      </c>
      <c r="D262" s="12"/>
      <c r="E262" s="12"/>
      <c r="F262" s="12"/>
      <c r="G262" s="12"/>
      <c r="H262" s="12"/>
      <c r="I262" s="12"/>
      <c r="J262" s="12"/>
    </row>
    <row r="263">
      <c r="A263">
        <f>IFERROR(__xludf.DUMMYFUNCTION("""COMPUTED_VALUE"""),372.0)</f>
        <v>372</v>
      </c>
      <c r="B263" s="12" t="str">
        <f>IFERROR(__xludf.DUMMYFUNCTION("""COMPUTED_VALUE"""),"It was to allow the app to view my email contacts.")</f>
        <v>It was to allow the app to view my email contacts.</v>
      </c>
      <c r="C263" s="34" t="s">
        <v>1645</v>
      </c>
      <c r="D263" s="12"/>
      <c r="E263" s="12"/>
      <c r="F263" s="12"/>
      <c r="G263" s="12"/>
      <c r="H263" s="12"/>
      <c r="I263" s="12"/>
      <c r="J263" s="12"/>
    </row>
    <row r="264">
      <c r="A264">
        <f>IFERROR(__xludf.DUMMYFUNCTION("""COMPUTED_VALUE"""),373.0)</f>
        <v>373</v>
      </c>
      <c r="B264" s="12" t="str">
        <f>IFERROR(__xludf.DUMMYFUNCTION("""COMPUTED_VALUE"""),"They needed information to sync with other users/establish basic settings")</f>
        <v>They needed information to sync with other users/establish basic settings</v>
      </c>
      <c r="C264" s="34" t="s">
        <v>1652</v>
      </c>
      <c r="D264" s="46" t="s">
        <v>1653</v>
      </c>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t="str">
        <f>IFERROR(__xludf.DUMMYFUNCTION("""COMPUTED_VALUE"""),"The purpose was to create an account to play a mobile game on my phone.")</f>
        <v>The purpose was to create an account to play a mobile game on my phone.</v>
      </c>
      <c r="C267" s="3" t="s">
        <v>1662</v>
      </c>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t="str">
        <f>IFERROR(__xludf.DUMMYFUNCTION("""COMPUTED_VALUE"""),"Being able to sign up easily without having to go through a long and tedious registration process.")</f>
        <v>Being able to sign up easily without having to go through a long and tedious registration process.</v>
      </c>
      <c r="C270" s="3" t="s">
        <v>1644</v>
      </c>
      <c r="D270" s="34" t="s">
        <v>1598</v>
      </c>
      <c r="E270" s="12"/>
      <c r="F270" s="12"/>
      <c r="G270" s="12"/>
      <c r="H270" s="12"/>
      <c r="I270" s="12"/>
      <c r="J270" s="12"/>
    </row>
    <row r="271">
      <c r="A271">
        <f>IFERROR(__xludf.DUMMYFUNCTION("""COMPUTED_VALUE"""),383.0)</f>
        <v>383</v>
      </c>
      <c r="B271" s="12" t="str">
        <f>IFERROR(__xludf.DUMMYFUNCTION("""COMPUTED_VALUE"""),"ease and convieniece")</f>
        <v>ease and convieniece</v>
      </c>
      <c r="C271" s="34" t="s">
        <v>1598</v>
      </c>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t="str">
        <f>IFERROR(__xludf.DUMMYFUNCTION("""COMPUTED_VALUE"""),"It probably wasn't the most recent one, but the last one I remember is allowing a fitness app access to my Google Fit exercise/health data.")</f>
        <v>It probably wasn't the most recent one, but the last one I remember is allowing a fitness app access to my Google Fit exercise/health data.</v>
      </c>
      <c r="C276" s="46" t="s">
        <v>1643</v>
      </c>
      <c r="D276" s="34" t="s">
        <v>1670</v>
      </c>
      <c r="E276" s="12"/>
      <c r="F276" s="12"/>
      <c r="G276" s="12"/>
      <c r="H276" s="12"/>
      <c r="I276" s="12"/>
      <c r="J276" s="12"/>
    </row>
    <row r="277">
      <c r="A277">
        <f>IFERROR(__xludf.DUMMYFUNCTION("""COMPUTED_VALUE"""),389.0)</f>
        <v>389</v>
      </c>
      <c r="B277" s="12" t="str">
        <f>IFERROR(__xludf.DUMMYFUNCTION("""COMPUTED_VALUE"""),"They asked and I clicked agreed to use the websites services")</f>
        <v>They asked and I clicked agreed to use the websites services</v>
      </c>
      <c r="C277" s="3" t="s">
        <v>1644</v>
      </c>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t="str">
        <f>IFERROR(__xludf.DUMMYFUNCTION("""COMPUTED_VALUE"""),"to login to batytle.net to play bideo games")</f>
        <v>to login to batytle.net to play bideo games</v>
      </c>
      <c r="C280" s="3" t="s">
        <v>1662</v>
      </c>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t="str">
        <f>IFERROR(__xludf.DUMMYFUNCTION("""COMPUTED_VALUE"""),"To login to keep track of my mobile gaming.")</f>
        <v>To login to keep track of my mobile gaming.</v>
      </c>
      <c r="C282" s="3" t="s">
        <v>1662</v>
      </c>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t="str">
        <f>IFERROR(__xludf.DUMMYFUNCTION("""COMPUTED_VALUE"""),"To integrate to-do list features")</f>
        <v>To integrate to-do list features</v>
      </c>
      <c r="C284" s="34" t="s">
        <v>1652</v>
      </c>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t="str">
        <f>IFERROR(__xludf.DUMMYFUNCTION("""COMPUTED_VALUE"""),"The purpose was to use my Google account to sign in")</f>
        <v>The purpose was to use my Google account to sign in</v>
      </c>
      <c r="C293" s="3" t="s">
        <v>1644</v>
      </c>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IFERROR(__xludf.DUMMYFUNCTION("""COMPUTED_VALUE"""),"Calendar and or photos")</f>
        <v>Calendar and or photos</v>
      </c>
      <c r="C296" s="34" t="s">
        <v>1650</v>
      </c>
      <c r="D296" s="34" t="s">
        <v>1673</v>
      </c>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IFERROR(__xludf.DUMMYFUNCTION("""COMPUTED_VALUE"""),"Signing up for an account with the third-party app.")</f>
        <v>Signing up for an account with the third-party app.</v>
      </c>
      <c r="C299" s="3" t="s">
        <v>1644</v>
      </c>
      <c r="D299" s="12"/>
      <c r="E299" s="12"/>
      <c r="F299" s="12"/>
      <c r="G299" s="12"/>
      <c r="H299" s="12"/>
      <c r="I299" s="12"/>
      <c r="J299" s="12"/>
    </row>
    <row r="300">
      <c r="A300">
        <f>IFERROR(__xludf.DUMMYFUNCTION("""COMPUTED_VALUE"""),416.0)</f>
        <v>416</v>
      </c>
      <c r="B300" s="12" t="str">
        <f>IFERROR(__xludf.DUMMYFUNCTION("""COMPUTED_VALUE"""),"For seeing my name, contact list")</f>
        <v>For seeing my name, contact list</v>
      </c>
      <c r="C300" s="34" t="s">
        <v>1645</v>
      </c>
      <c r="D300" s="34" t="s">
        <v>1643</v>
      </c>
      <c r="E300" s="12"/>
      <c r="F300" s="12"/>
      <c r="G300" s="12"/>
      <c r="H300" s="12"/>
      <c r="I300" s="12"/>
      <c r="J300" s="12"/>
    </row>
    <row r="301">
      <c r="A301">
        <f>IFERROR(__xludf.DUMMYFUNCTION("""COMPUTED_VALUE"""),417.0)</f>
        <v>417</v>
      </c>
      <c r="B301" s="12" t="str">
        <f>IFERROR(__xludf.DUMMYFUNCTION("""COMPUTED_VALUE"""),"I forgot, but I know that I've used it.")</f>
        <v>I forgot, but I know that I've used it.</v>
      </c>
      <c r="C301" s="34" t="s">
        <v>1432</v>
      </c>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t="str">
        <f>IFERROR(__xludf.DUMMYFUNCTION("""COMPUTED_VALUE"""),"To get into the app.")</f>
        <v>To get into the app.</v>
      </c>
      <c r="C304" s="3" t="s">
        <v>1644</v>
      </c>
      <c r="D304" s="12"/>
      <c r="E304" s="12"/>
      <c r="F304" s="12"/>
      <c r="G304" s="12"/>
      <c r="H304" s="12"/>
      <c r="I304" s="12"/>
      <c r="J304" s="12"/>
    </row>
    <row r="305">
      <c r="A305">
        <f>IFERROR(__xludf.DUMMYFUNCTION("""COMPUTED_VALUE"""),422.0)</f>
        <v>422</v>
      </c>
      <c r="B305" s="12" t="str">
        <f>IFERROR(__xludf.DUMMYFUNCTION("""COMPUTED_VALUE"""),"I can't remember")</f>
        <v>I can't remember</v>
      </c>
      <c r="C305" s="34" t="s">
        <v>1432</v>
      </c>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IFERROR(__xludf.DUMMYFUNCTION("""COMPUTED_VALUE"""),"To invest")</f>
        <v>To invest</v>
      </c>
      <c r="C307" s="45" t="s">
        <v>66</v>
      </c>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t="str">
        <f>IFERROR(__xludf.DUMMYFUNCTION("""COMPUTED_VALUE"""),"sales app")</f>
        <v>sales app</v>
      </c>
      <c r="C309" s="45" t="s">
        <v>66</v>
      </c>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IFERROR(__xludf.DUMMYFUNCTION("""COMPUTED_VALUE"""),"they wanted my contacts")</f>
        <v>they wanted my contacts</v>
      </c>
      <c r="C311" s="34" t="s">
        <v>1645</v>
      </c>
      <c r="D311" s="12"/>
      <c r="E311" s="12"/>
      <c r="F311" s="12"/>
      <c r="G311" s="12"/>
      <c r="H311" s="12"/>
      <c r="I311" s="12"/>
      <c r="J311" s="12"/>
    </row>
    <row r="312">
      <c r="A312">
        <f>IFERROR(__xludf.DUMMYFUNCTION("""COMPUTED_VALUE"""),432.0)</f>
        <v>432</v>
      </c>
      <c r="B312" s="12" t="str">
        <f>IFERROR(__xludf.DUMMYFUNCTION("""COMPUTED_VALUE"""),"It was to allow Zoom to add meetings to my Google Calendar.")</f>
        <v>It was to allow Zoom to add meetings to my Google Calendar.</v>
      </c>
      <c r="C312" s="34" t="s">
        <v>1650</v>
      </c>
      <c r="D312" s="3" t="s">
        <v>1646</v>
      </c>
      <c r="E312" s="3" t="s">
        <v>1654</v>
      </c>
      <c r="F312" s="12"/>
      <c r="G312" s="12"/>
      <c r="H312" s="12"/>
      <c r="I312" s="12"/>
      <c r="J312" s="12"/>
    </row>
    <row r="313">
      <c r="A313">
        <f>IFERROR(__xludf.DUMMYFUNCTION("""COMPUTED_VALUE"""),433.0)</f>
        <v>433</v>
      </c>
      <c r="B313" s="12" t="str">
        <f>IFERROR(__xludf.DUMMYFUNCTION("""COMPUTED_VALUE"""),"For the last app that I used my Google account to log into, I had 3 choices in how to log-in to the app: Facebook, Google, or email. I chose Google because it was so much simpler and faster. I didn't have make up another password. As far as the purpose of"&amp;" allowing the specific access to my Google Account, I can't remember as I use my Google account to log in to several apps all the time.")</f>
        <v>For the last app that I used my Google account to log into, I had 3 choices in how to log-in to the app: Facebook, Google, or email. I chose Google because it was so much simpler and faster. I didn't have make up another password. As far as the purpose of allowing the specific access to my Google Account, I can't remember as I use my Google account to log in to several apps all the time.</v>
      </c>
      <c r="C313" s="3" t="s">
        <v>1644</v>
      </c>
      <c r="D313" s="34" t="s">
        <v>1598</v>
      </c>
      <c r="E313" s="12"/>
      <c r="F313" s="12"/>
      <c r="G313" s="12"/>
      <c r="H313" s="12"/>
      <c r="I313" s="12"/>
      <c r="J313" s="12"/>
    </row>
    <row r="314">
      <c r="A314">
        <f>IFERROR(__xludf.DUMMYFUNCTION("""COMPUTED_VALUE"""),434.0)</f>
        <v>434</v>
      </c>
      <c r="B314" s="12" t="str">
        <f>IFERROR(__xludf.DUMMYFUNCTION("""COMPUTED_VALUE"""),"The main purpose was I could login without creating yet another account and password I'd need to remember.")</f>
        <v>The main purpose was I could login without creating yet another account and password I'd need to remember.</v>
      </c>
      <c r="C314" s="3" t="s">
        <v>1644</v>
      </c>
      <c r="D314" s="34" t="s">
        <v>1598</v>
      </c>
      <c r="E314" s="12"/>
      <c r="F314" s="12"/>
      <c r="G314" s="12"/>
      <c r="H314" s="12"/>
      <c r="I314" s="12"/>
      <c r="J314" s="12"/>
    </row>
    <row r="315">
      <c r="A315">
        <f>IFERROR(__xludf.DUMMYFUNCTION("""COMPUTED_VALUE"""),435.0)</f>
        <v>435</v>
      </c>
      <c r="B315" s="12" t="str">
        <f>IFERROR(__xludf.DUMMYFUNCTION("""COMPUTED_VALUE"""),"To get access to the service")</f>
        <v>To get access to the service</v>
      </c>
      <c r="C315" s="3" t="s">
        <v>1644</v>
      </c>
      <c r="D315" s="12"/>
      <c r="E315" s="12"/>
      <c r="F315" s="12"/>
      <c r="G315" s="12"/>
      <c r="H315" s="12"/>
      <c r="I315" s="12"/>
      <c r="J315" s="12"/>
    </row>
    <row r="316">
      <c r="A316">
        <f>IFERROR(__xludf.DUMMYFUNCTION("""COMPUTED_VALUE"""),436.0)</f>
        <v>436</v>
      </c>
      <c r="B316" s="12" t="str">
        <f>IFERROR(__xludf.DUMMYFUNCTION("""COMPUTED_VALUE"""),"The Headspace app")</f>
        <v>The Headspace app</v>
      </c>
      <c r="C316" s="46" t="s">
        <v>1646</v>
      </c>
      <c r="D316" s="46" t="s">
        <v>1685</v>
      </c>
      <c r="E316" s="12"/>
      <c r="F316" s="12"/>
      <c r="G316" s="12"/>
      <c r="H316" s="12"/>
      <c r="I316" s="12"/>
      <c r="J316" s="12"/>
    </row>
    <row r="317">
      <c r="A317">
        <f>IFERROR(__xludf.DUMMYFUNCTION("""COMPUTED_VALUE"""),437.0)</f>
        <v>437</v>
      </c>
      <c r="B317" s="12" t="str">
        <f>IFERROR(__xludf.DUMMYFUNCTION("""COMPUTED_VALUE"""),"It was so I didn't have to log in with a separate account and try to remember that password.")</f>
        <v>It was so I didn't have to log in with a separate account and try to remember that password.</v>
      </c>
      <c r="C317" s="3" t="s">
        <v>1644</v>
      </c>
      <c r="D317" s="34" t="s">
        <v>1598</v>
      </c>
      <c r="E317" s="12"/>
      <c r="F317" s="12"/>
      <c r="G317" s="12"/>
      <c r="H317" s="12"/>
      <c r="I317" s="12"/>
      <c r="J317" s="12"/>
    </row>
    <row r="318">
      <c r="A318">
        <f>IFERROR(__xludf.DUMMYFUNCTION("""COMPUTED_VALUE"""),439.0)</f>
        <v>439</v>
      </c>
      <c r="B318" s="12" t="str">
        <f>IFERROR(__xludf.DUMMYFUNCTION("""COMPUTED_VALUE"""),"It was allowing an app to scan my email for receipts and track purchase price drops.")</f>
        <v>It was allowing an app to scan my email for receipts and track purchase price drops.</v>
      </c>
      <c r="C318" s="3" t="s">
        <v>66</v>
      </c>
      <c r="D318" s="20" t="s">
        <v>1652</v>
      </c>
      <c r="E318" t="s">
        <v>1664</v>
      </c>
      <c r="F318" s="12"/>
      <c r="G318" s="12"/>
      <c r="H318" s="12"/>
      <c r="I318" s="12"/>
      <c r="J318" s="12"/>
    </row>
    <row r="319">
      <c r="A319">
        <f>IFERROR(__xludf.DUMMYFUNCTION("""COMPUTED_VALUE"""),440.0)</f>
        <v>440</v>
      </c>
      <c r="B319" s="12" t="str">
        <f>IFERROR(__xludf.DUMMYFUNCTION("""COMPUTED_VALUE"""),"Downloading a social media app for my phone")</f>
        <v>Downloading a social media app for my phone</v>
      </c>
      <c r="C319" s="3" t="s">
        <v>1522</v>
      </c>
      <c r="D319" s="12"/>
      <c r="E319" s="12"/>
      <c r="F319" s="12"/>
      <c r="G319" s="12"/>
      <c r="H319" s="12"/>
      <c r="I319" s="12"/>
      <c r="J319" s="12"/>
    </row>
    <row r="320">
      <c r="A320">
        <f>IFERROR(__xludf.DUMMYFUNCTION("""COMPUTED_VALUE"""),442.0)</f>
        <v>442</v>
      </c>
      <c r="B320" s="12" t="str">
        <f>IFERROR(__xludf.DUMMYFUNCTION("""COMPUTED_VALUE"""),"The purpose was for ease of use and log in.")</f>
        <v>The purpose was for ease of use and log in.</v>
      </c>
      <c r="C320" s="3" t="s">
        <v>1644</v>
      </c>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t="str">
        <f>IFERROR(__xludf.DUMMYFUNCTION("""COMPUTED_VALUE"""),"I allowed slack access.")</f>
        <v>I allowed slack access.</v>
      </c>
      <c r="C322" s="46" t="s">
        <v>1646</v>
      </c>
      <c r="D322" s="46" t="s">
        <v>1686</v>
      </c>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t="str">
        <f>IFERROR(__xludf.DUMMYFUNCTION("""COMPUTED_VALUE"""),"I cannot remember exactly. But I have seen the third party grant request before.")</f>
        <v>I cannot remember exactly. But I have seen the third party grant request before.</v>
      </c>
      <c r="C326" s="34" t="s">
        <v>1432</v>
      </c>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t="str">
        <f>IFERROR(__xludf.DUMMYFUNCTION("""COMPUTED_VALUE"""),"it was to use it to fill out a resume")</f>
        <v>it was to use it to fill out a resume</v>
      </c>
      <c r="C329" s="34" t="s">
        <v>1652</v>
      </c>
      <c r="D329" s="12"/>
      <c r="E329" s="12"/>
      <c r="F329" s="12"/>
      <c r="G329" s="12"/>
      <c r="H329" s="12"/>
      <c r="I329" s="12"/>
      <c r="J329" s="12"/>
    </row>
    <row r="330">
      <c r="A330">
        <f>IFERROR(__xludf.DUMMYFUNCTION("""COMPUTED_VALUE"""),458.0)</f>
        <v>458</v>
      </c>
      <c r="B330" s="12" t="str">
        <f>IFERROR(__xludf.DUMMYFUNCTION("""COMPUTED_VALUE"""),"It was to sync my smart home devices so I can access them remotely and ensure the account is secured")</f>
        <v>It was to sync my smart home devices so I can access them remotely and ensure the account is secured</v>
      </c>
      <c r="C330" s="34" t="s">
        <v>1652</v>
      </c>
      <c r="D330" s="34" t="s">
        <v>1653</v>
      </c>
      <c r="E330" s="12"/>
      <c r="F330" s="12"/>
      <c r="G330" s="12"/>
      <c r="H330" s="12"/>
      <c r="I330" s="12"/>
      <c r="J330" s="12"/>
    </row>
    <row r="331">
      <c r="A331">
        <f>IFERROR(__xludf.DUMMYFUNCTION("""COMPUTED_VALUE"""),459.0)</f>
        <v>459</v>
      </c>
      <c r="B331" s="12" t="str">
        <f>IFERROR(__xludf.DUMMYFUNCTION("""COMPUTED_VALUE"""),"Convenience")</f>
        <v>Convenience</v>
      </c>
      <c r="C331" s="34" t="s">
        <v>1598</v>
      </c>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t="str">
        <f>IFERROR(__xludf.DUMMYFUNCTION("""COMPUTED_VALUE"""),"To verify who I was")</f>
        <v>To verify who I was</v>
      </c>
      <c r="C333" s="34" t="s">
        <v>1643</v>
      </c>
      <c r="D333" s="12"/>
      <c r="E333" s="12"/>
      <c r="F333" s="12"/>
      <c r="G333" s="12"/>
      <c r="H333" s="12"/>
      <c r="I333" s="12"/>
      <c r="J333" s="12"/>
    </row>
    <row r="334">
      <c r="A334">
        <f>IFERROR(__xludf.DUMMYFUNCTION("""COMPUTED_VALUE"""),463.0)</f>
        <v>463</v>
      </c>
      <c r="B334" s="12" t="str">
        <f>IFERROR(__xludf.DUMMYFUNCTION("""COMPUTED_VALUE"""),"I am not sure but probably to get my information to send me stuff or to add an extension on to my browser.")</f>
        <v>I am not sure but probably to get my information to send me stuff or to add an extension on to my browser.</v>
      </c>
      <c r="C334" s="12"/>
      <c r="D334" s="12"/>
      <c r="E334" s="12"/>
      <c r="F334" s="12"/>
      <c r="G334" s="12"/>
      <c r="H334" s="12"/>
      <c r="I334" s="12"/>
      <c r="J334" s="12"/>
    </row>
    <row r="335">
      <c r="A335">
        <f>IFERROR(__xludf.DUMMYFUNCTION("""COMPUTED_VALUE"""),464.0)</f>
        <v>464</v>
      </c>
      <c r="B335" s="12" t="str">
        <f>IFERROR(__xludf.DUMMYFUNCTION("""COMPUTED_VALUE"""),"To add information to my Calendar.")</f>
        <v>To add information to my Calendar.</v>
      </c>
      <c r="C335" s="34" t="s">
        <v>1650</v>
      </c>
      <c r="D335" s="12"/>
      <c r="E335" s="12"/>
      <c r="F335" s="12"/>
      <c r="G335" s="12"/>
      <c r="H335" s="12"/>
      <c r="I335" s="12"/>
      <c r="J335" s="12"/>
    </row>
    <row r="336">
      <c r="A336">
        <f>IFERROR(__xludf.DUMMYFUNCTION("""COMPUTED_VALUE"""),465.0)</f>
        <v>465</v>
      </c>
      <c r="B336" s="12" t="str">
        <f>IFERROR(__xludf.DUMMYFUNCTION("""COMPUTED_VALUE"""),"No idea")</f>
        <v>No idea</v>
      </c>
      <c r="C336" s="34" t="s">
        <v>1432</v>
      </c>
      <c r="D336" s="12"/>
      <c r="E336" s="12"/>
      <c r="F336" s="12"/>
      <c r="G336" s="12"/>
      <c r="H336" s="12"/>
      <c r="I336" s="12"/>
      <c r="J336" s="12"/>
    </row>
    <row r="337">
      <c r="A337">
        <f>IFERROR(__xludf.DUMMYFUNCTION("""COMPUTED_VALUE"""),466.0)</f>
        <v>466</v>
      </c>
      <c r="B337" s="12" t="str">
        <f>IFERROR(__xludf.DUMMYFUNCTION("""COMPUTED_VALUE"""),"gleam entering giveaways")</f>
        <v>gleam entering giveaways</v>
      </c>
      <c r="C337" s="46" t="s">
        <v>1646</v>
      </c>
      <c r="D337" s="46" t="s">
        <v>1687</v>
      </c>
      <c r="E337" s="12"/>
      <c r="F337" s="12"/>
      <c r="G337" s="12"/>
      <c r="H337" s="12"/>
      <c r="I337" s="12"/>
      <c r="J337" s="12"/>
    </row>
    <row r="338">
      <c r="A338">
        <f>IFERROR(__xludf.DUMMYFUNCTION("""COMPUTED_VALUE"""),468.0)</f>
        <v>468</v>
      </c>
      <c r="B338" s="12" t="str">
        <f>IFERROR(__xludf.DUMMYFUNCTION("""COMPUTED_VALUE"""),"Sending updates through email.")</f>
        <v>Sending updates through email.</v>
      </c>
      <c r="C338" s="3" t="s">
        <v>1652</v>
      </c>
      <c r="D338" s="3" t="s">
        <v>1668</v>
      </c>
      <c r="E338" s="12"/>
      <c r="F338" s="12"/>
      <c r="G338" s="12"/>
      <c r="H338" s="12"/>
      <c r="I338" s="12"/>
      <c r="J338" s="12"/>
    </row>
    <row r="339">
      <c r="A339">
        <f>IFERROR(__xludf.DUMMYFUNCTION("""COMPUTED_VALUE"""),469.0)</f>
        <v>469</v>
      </c>
      <c r="B339" s="12" t="str">
        <f>IFERROR(__xludf.DUMMYFUNCTION("""COMPUTED_VALUE"""),"OnlyOffice, to sign into my Google Docs.")</f>
        <v>OnlyOffice, to sign into my Google Docs.</v>
      </c>
      <c r="C339" s="46" t="s">
        <v>1646</v>
      </c>
      <c r="D339" s="46" t="s">
        <v>1688</v>
      </c>
      <c r="E339" s="46" t="s">
        <v>1661</v>
      </c>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t="str">
        <f>IFERROR(__xludf.DUMMYFUNCTION("""COMPUTED_VALUE"""),"camera")</f>
        <v>camera</v>
      </c>
      <c r="C342" s="3" t="s">
        <v>1652</v>
      </c>
      <c r="D342" s="3" t="s">
        <v>1689</v>
      </c>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t="str">
        <f>IFERROR(__xludf.DUMMYFUNCTION("""COMPUTED_VALUE"""),"honey extension")</f>
        <v>honey extension</v>
      </c>
      <c r="C344" s="46" t="s">
        <v>1646</v>
      </c>
      <c r="D344" s="46" t="s">
        <v>1690</v>
      </c>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t="str">
        <f>IFERROR(__xludf.DUMMYFUNCTION("""COMPUTED_VALUE"""),"I think I was trying to create an account with a photo editing app.")</f>
        <v>I think I was trying to create an account with a photo editing app.</v>
      </c>
      <c r="C346" s="3" t="s">
        <v>1673</v>
      </c>
      <c r="D346" s="12"/>
      <c r="E346" s="12"/>
      <c r="F346" s="12"/>
      <c r="G346" s="12"/>
      <c r="H346" s="12"/>
      <c r="I346" s="12"/>
      <c r="J346" s="12"/>
    </row>
    <row r="347">
      <c r="A347">
        <f>IFERROR(__xludf.DUMMYFUNCTION("""COMPUTED_VALUE"""),480.0)</f>
        <v>480</v>
      </c>
      <c r="B347" s="12" t="str">
        <f>IFERROR(__xludf.DUMMYFUNCTION("""COMPUTED_VALUE"""),"Placing a mobile order.")</f>
        <v>Placing a mobile order.</v>
      </c>
      <c r="C347" s="3" t="s">
        <v>66</v>
      </c>
      <c r="D347" s="12"/>
      <c r="E347" s="12"/>
      <c r="F347" s="12"/>
      <c r="G347" s="12"/>
      <c r="H347" s="12"/>
      <c r="I347" s="12"/>
      <c r="J347" s="12"/>
    </row>
    <row r="348">
      <c r="A348">
        <f>IFERROR(__xludf.DUMMYFUNCTION("""COMPUTED_VALUE"""),483.0)</f>
        <v>483</v>
      </c>
      <c r="B348" s="12" t="str">
        <f>IFERROR(__xludf.DUMMYFUNCTION("""COMPUTED_VALUE"""),"I wanted to add a meeting invite to my google calendar to get reminders")</f>
        <v>I wanted to add a meeting invite to my google calendar to get reminders</v>
      </c>
      <c r="C348" s="3" t="s">
        <v>1650</v>
      </c>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t="str">
        <f>IFERROR(__xludf.DUMMYFUNCTION("""COMPUTED_VALUE"""),"access zoom")</f>
        <v>access zoom</v>
      </c>
      <c r="C352" s="46" t="s">
        <v>1646</v>
      </c>
      <c r="D352" s="46" t="s">
        <v>1654</v>
      </c>
      <c r="E352" s="12"/>
      <c r="F352" s="12"/>
      <c r="G352" s="12"/>
      <c r="H352" s="12"/>
      <c r="I352" s="12"/>
      <c r="J352" s="12"/>
    </row>
    <row r="353">
      <c r="A353">
        <f>IFERROR(__xludf.DUMMYFUNCTION("""COMPUTED_VALUE"""),488.0)</f>
        <v>488</v>
      </c>
      <c r="B353" s="12" t="str">
        <f>IFERROR(__xludf.DUMMYFUNCTION("""COMPUTED_VALUE"""),"If I recall correctly it was a scheduling/calendar app; it was to allow Google to sync calendars and share them with family members")</f>
        <v>If I recall correctly it was a scheduling/calendar app; it was to allow Google to sync calendars and share them with family members</v>
      </c>
      <c r="C353" s="3" t="s">
        <v>1650</v>
      </c>
      <c r="D353" s="46" t="s">
        <v>1652</v>
      </c>
      <c r="E353" s="34" t="s">
        <v>1653</v>
      </c>
      <c r="F353" s="12"/>
      <c r="G353" s="12"/>
      <c r="H353" s="12"/>
      <c r="I353" s="12"/>
      <c r="J353" s="12"/>
    </row>
    <row r="354">
      <c r="A354">
        <f>IFERROR(__xludf.DUMMYFUNCTION("""COMPUTED_VALUE"""),489.0)</f>
        <v>489</v>
      </c>
      <c r="B354" s="12" t="str">
        <f>IFERROR(__xludf.DUMMYFUNCTION("""COMPUTED_VALUE"""),"I allowed access to my Google account for a lot of games, because I can get achievements to be displayed on my account with Google, and also it is usually an easy way to recover or save data between devices.")</f>
        <v>I allowed access to my Google account for a lot of games, because I can get achievements to be displayed on my account with Google, and also it is usually an easy way to recover or save data between devices.</v>
      </c>
      <c r="C354" s="34" t="s">
        <v>1662</v>
      </c>
      <c r="D354" s="46" t="s">
        <v>1652</v>
      </c>
      <c r="E354" s="34" t="s">
        <v>1657</v>
      </c>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t="str">
        <f>IFERROR(__xludf.DUMMYFUNCTION("""COMPUTED_VALUE"""),"So it could use my device for budgetary purposes.")</f>
        <v>So it could use my device for budgetary purposes.</v>
      </c>
      <c r="C356" s="3" t="s">
        <v>1652</v>
      </c>
      <c r="D356" s="12"/>
      <c r="E356" s="12"/>
      <c r="F356" s="12"/>
      <c r="G356" s="12"/>
      <c r="H356" s="12"/>
      <c r="I356" s="12"/>
      <c r="J356" s="12"/>
    </row>
    <row r="357">
      <c r="A357">
        <f>IFERROR(__xludf.DUMMYFUNCTION("""COMPUTED_VALUE"""),493.0)</f>
        <v>493</v>
      </c>
      <c r="B357" s="12" t="str">
        <f>IFERROR(__xludf.DUMMYFUNCTION("""COMPUTED_VALUE"""),"For easier sign in")</f>
        <v>For easier sign in</v>
      </c>
      <c r="C357" s="34" t="s">
        <v>1598</v>
      </c>
      <c r="D357" s="12"/>
      <c r="E357" s="12"/>
      <c r="F357" s="12"/>
      <c r="G357" s="12"/>
      <c r="H357" s="12"/>
      <c r="I357" s="12"/>
      <c r="J357" s="12"/>
    </row>
    <row r="358">
      <c r="A358">
        <f>IFERROR(__xludf.DUMMYFUNCTION("""COMPUTED_VALUE"""),496.0)</f>
        <v>496</v>
      </c>
      <c r="B358" s="12" t="str">
        <f>IFERROR(__xludf.DUMMYFUNCTION("""COMPUTED_VALUE"""),"Calendar sync to my calendar app of choice.")</f>
        <v>Calendar sync to my calendar app of choice.</v>
      </c>
      <c r="C358" s="3" t="s">
        <v>1650</v>
      </c>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t="str">
        <f>IFERROR(__xludf.DUMMYFUNCTION("""COMPUTED_VALUE"""),"I believe it was going access the calendar function of my account.")</f>
        <v>I believe it was going access the calendar function of my account.</v>
      </c>
      <c r="C360" s="3" t="s">
        <v>1650</v>
      </c>
      <c r="D360" s="12"/>
      <c r="E360" s="12"/>
      <c r="F360" s="12"/>
      <c r="G360" s="12"/>
      <c r="H360" s="12"/>
      <c r="I360" s="12"/>
      <c r="J360" s="12"/>
    </row>
    <row r="361">
      <c r="A361">
        <f>IFERROR(__xludf.DUMMYFUNCTION("""COMPUTED_VALUE"""),499.0)</f>
        <v>499</v>
      </c>
      <c r="B361" s="12" t="str">
        <f>IFERROR(__xludf.DUMMYFUNCTION("""COMPUTED_VALUE"""),"It made it easier to log in without making another account")</f>
        <v>It made it easier to log in without making another account</v>
      </c>
      <c r="C361" s="20" t="s">
        <v>1644</v>
      </c>
      <c r="D361" s="34" t="s">
        <v>1598</v>
      </c>
      <c r="E361" s="12"/>
      <c r="F361" s="12"/>
      <c r="G361" s="12"/>
      <c r="H361" s="12"/>
      <c r="I361" s="12"/>
      <c r="J361" s="12"/>
    </row>
    <row r="362">
      <c r="A362">
        <f>IFERROR(__xludf.DUMMYFUNCTION("""COMPUTED_VALUE"""),501.0)</f>
        <v>501</v>
      </c>
      <c r="B362" s="12" t="str">
        <f>IFERROR(__xludf.DUMMYFUNCTION("""COMPUTED_VALUE"""),"It was probably for job searching if I remember correctly.")</f>
        <v>It was probably for job searching if I remember correctly.</v>
      </c>
      <c r="C362" s="34" t="s">
        <v>1651</v>
      </c>
      <c r="D362" s="34" t="s">
        <v>1432</v>
      </c>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t="str">
        <f>IFERROR(__xludf.DUMMYFUNCTION("""COMPUTED_VALUE"""),"The purpose was to sync my calendar to the app.")</f>
        <v>The purpose was to sync my calendar to the app.</v>
      </c>
      <c r="C367" s="3" t="s">
        <v>1650</v>
      </c>
      <c r="D367" s="46" t="s">
        <v>1652</v>
      </c>
      <c r="E367" s="34" t="s">
        <v>1653</v>
      </c>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t="str">
        <f>IFERROR(__xludf.DUMMYFUNCTION("""COMPUTED_VALUE"""),"calendar integration")</f>
        <v>calendar integration</v>
      </c>
      <c r="C369" s="3" t="s">
        <v>1650</v>
      </c>
      <c r="D369" s="12"/>
      <c r="E369" s="12"/>
      <c r="F369" s="12"/>
      <c r="G369" s="12"/>
      <c r="H369" s="12"/>
      <c r="I369" s="12"/>
      <c r="J369" s="12"/>
    </row>
    <row r="370">
      <c r="A370">
        <f>IFERROR(__xludf.DUMMYFUNCTION("""COMPUTED_VALUE"""),510.0)</f>
        <v>510</v>
      </c>
      <c r="B370" s="12" t="str">
        <f>IFERROR(__xludf.DUMMYFUNCTION("""COMPUTED_VALUE"""),"To use paypal")</f>
        <v>To use paypal</v>
      </c>
      <c r="C370" s="46" t="s">
        <v>1646</v>
      </c>
      <c r="D370" s="46" t="s">
        <v>1691</v>
      </c>
      <c r="E370" s="12"/>
      <c r="F370" s="12"/>
      <c r="G370" s="12"/>
      <c r="H370" s="12"/>
      <c r="I370" s="12"/>
      <c r="J370" s="12"/>
    </row>
    <row r="371">
      <c r="A371">
        <f>IFERROR(__xludf.DUMMYFUNCTION("""COMPUTED_VALUE"""),511.0)</f>
        <v>511</v>
      </c>
      <c r="B371" s="12" t="str">
        <f>IFERROR(__xludf.DUMMYFUNCTION("""COMPUTED_VALUE"""),"to allow it to access my calendar")</f>
        <v>to allow it to access my calendar</v>
      </c>
      <c r="C371" s="3" t="s">
        <v>1650</v>
      </c>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t="str">
        <f>IFERROR(__xludf.DUMMYFUNCTION("""COMPUTED_VALUE"""),"To buy something")</f>
        <v>To buy something</v>
      </c>
      <c r="C373" s="34" t="s">
        <v>66</v>
      </c>
      <c r="D373" s="12"/>
      <c r="E373" s="12"/>
      <c r="F373" s="12"/>
      <c r="G373" s="12"/>
      <c r="H373" s="12"/>
      <c r="I373" s="12"/>
      <c r="J373" s="12"/>
    </row>
    <row r="374">
      <c r="A374">
        <f>IFERROR(__xludf.DUMMYFUNCTION("""COMPUTED_VALUE"""),514.0)</f>
        <v>514</v>
      </c>
      <c r="B374" s="12" t="str">
        <f>IFERROR(__xludf.DUMMYFUNCTION("""COMPUTED_VALUE"""),"I gave my county's recycling service access to my Google Calendar to keep up with dates curbside recycling is available.")</f>
        <v>I gave my county's recycling service access to my Google Calendar to keep up with dates curbside recycling is available.</v>
      </c>
      <c r="C374" s="3" t="s">
        <v>1650</v>
      </c>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t="str">
        <f>IFERROR(__xludf.DUMMYFUNCTION("""COMPUTED_VALUE"""),"To create a new account for a game")</f>
        <v>To create a new account for a game</v>
      </c>
      <c r="C377" s="3" t="s">
        <v>1662</v>
      </c>
      <c r="D377" s="12"/>
      <c r="E377" s="12"/>
      <c r="F377" s="12"/>
      <c r="G377" s="12"/>
      <c r="H377" s="12"/>
      <c r="I377" s="12"/>
      <c r="J377" s="12"/>
    </row>
    <row r="378">
      <c r="A378">
        <f>IFERROR(__xludf.DUMMYFUNCTION("""COMPUTED_VALUE"""),518.0)</f>
        <v>518</v>
      </c>
      <c r="B378" s="12" t="str">
        <f>IFERROR(__xludf.DUMMYFUNCTION("""COMPUTED_VALUE"""),"I believe Snapchat for my contacts.")</f>
        <v>I believe Snapchat for my contacts.</v>
      </c>
      <c r="C378" s="3" t="s">
        <v>1645</v>
      </c>
      <c r="D378" s="46" t="s">
        <v>1646</v>
      </c>
      <c r="E378" s="46" t="s">
        <v>1692</v>
      </c>
      <c r="F378" s="12"/>
      <c r="G378" s="12"/>
      <c r="H378" s="12"/>
      <c r="I378" s="12"/>
      <c r="J378" s="12"/>
    </row>
    <row r="379">
      <c r="A379">
        <f>IFERROR(__xludf.DUMMYFUNCTION("""COMPUTED_VALUE"""),519.0)</f>
        <v>519</v>
      </c>
      <c r="B379" s="12" t="str">
        <f>IFERROR(__xludf.DUMMYFUNCTION("""COMPUTED_VALUE"""),"Convenience")</f>
        <v>Convenience</v>
      </c>
      <c r="C379" s="34" t="s">
        <v>1598</v>
      </c>
      <c r="D379" s="12"/>
      <c r="E379" s="12"/>
      <c r="F379" s="12"/>
      <c r="G379" s="12"/>
      <c r="H379" s="12"/>
      <c r="I379" s="12"/>
      <c r="J379" s="12"/>
    </row>
    <row r="380">
      <c r="A380">
        <f>IFERROR(__xludf.DUMMYFUNCTION("""COMPUTED_VALUE"""),521.0)</f>
        <v>521</v>
      </c>
      <c r="B380" s="12" t="str">
        <f>IFERROR(__xludf.DUMMYFUNCTION("""COMPUTED_VALUE"""),"To allow data to be shared between the apps.")</f>
        <v>To allow data to be shared between the apps.</v>
      </c>
      <c r="C380" s="46" t="s">
        <v>1652</v>
      </c>
      <c r="D380" s="34" t="s">
        <v>1653</v>
      </c>
      <c r="E380" s="12"/>
      <c r="F380" s="12"/>
      <c r="G380" s="12"/>
      <c r="H380" s="12"/>
      <c r="I380" s="12"/>
      <c r="J380" s="12"/>
    </row>
    <row r="381">
      <c r="A381">
        <f>IFERROR(__xludf.DUMMYFUNCTION("""COMPUTED_VALUE"""),522.0)</f>
        <v>522</v>
      </c>
      <c r="B381" s="12" t="str">
        <f>IFERROR(__xludf.DUMMYFUNCTION("""COMPUTED_VALUE"""),"I allowed it in order to use the Google Navigation app on my phone.")</f>
        <v>I allowed it in order to use the Google Navigation app on my phone.</v>
      </c>
      <c r="C381" s="46" t="s">
        <v>1646</v>
      </c>
      <c r="D381" s="46" t="s">
        <v>1693</v>
      </c>
      <c r="E381" s="12"/>
      <c r="F381" s="12"/>
      <c r="G381" s="12"/>
      <c r="H381" s="12"/>
      <c r="I381" s="12"/>
      <c r="J381" s="12"/>
    </row>
    <row r="382">
      <c r="A382">
        <f>IFERROR(__xludf.DUMMYFUNCTION("""COMPUTED_VALUE"""),523.0)</f>
        <v>523</v>
      </c>
      <c r="B382" s="12" t="str">
        <f>IFERROR(__xludf.DUMMYFUNCTION("""COMPUTED_VALUE"""),"So the app can function.")</f>
        <v>So the app can function.</v>
      </c>
      <c r="C382" s="34" t="s">
        <v>1652</v>
      </c>
      <c r="D382" s="12"/>
      <c r="E382" s="12"/>
      <c r="F382" s="12"/>
      <c r="G382" s="12"/>
      <c r="H382" s="12"/>
      <c r="I382" s="12"/>
      <c r="J382" s="12"/>
    </row>
    <row r="383">
      <c r="A383">
        <f>IFERROR(__xludf.DUMMYFUNCTION("""COMPUTED_VALUE"""),527.0)</f>
        <v>527</v>
      </c>
      <c r="B383" s="12" t="str">
        <f>IFERROR(__xludf.DUMMYFUNCTION("""COMPUTED_VALUE"""),"I beileve they wanted my name, email address, and some other minor piece of information that escapes me now.")</f>
        <v>I beileve they wanted my name, email address, and some other minor piece of information that escapes me now.</v>
      </c>
      <c r="C383" s="34" t="s">
        <v>1643</v>
      </c>
      <c r="D383" s="12"/>
      <c r="E383" s="12"/>
      <c r="F383" s="12"/>
      <c r="G383" s="12"/>
      <c r="H383" s="12"/>
      <c r="I383" s="12"/>
      <c r="J383" s="12"/>
    </row>
    <row r="384">
      <c r="A384">
        <f>IFERROR(__xludf.DUMMYFUNCTION("""COMPUTED_VALUE"""),528.0)</f>
        <v>528</v>
      </c>
      <c r="B384" s="12" t="str">
        <f>IFERROR(__xludf.DUMMYFUNCTION("""COMPUTED_VALUE"""),"to pay for something")</f>
        <v>to pay for something</v>
      </c>
      <c r="C384" s="34" t="s">
        <v>66</v>
      </c>
      <c r="D384" s="12"/>
      <c r="E384" s="12"/>
      <c r="F384" s="12"/>
      <c r="G384" s="12"/>
      <c r="H384" s="12"/>
      <c r="I384" s="12"/>
      <c r="J384" s="12"/>
    </row>
    <row r="385">
      <c r="A385">
        <f>IFERROR(__xludf.DUMMYFUNCTION("""COMPUTED_VALUE"""),529.0)</f>
        <v>529</v>
      </c>
      <c r="B385" s="12" t="str">
        <f>IFERROR(__xludf.DUMMYFUNCTION("""COMPUTED_VALUE"""),"Improving my experience using a smartwatch")</f>
        <v>Improving my experience using a smartwatch</v>
      </c>
      <c r="C385" s="34" t="s">
        <v>1652</v>
      </c>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t="str">
        <f>IFERROR(__xludf.DUMMYFUNCTION("""COMPUTED_VALUE"""),"I gave access to a game on android.")</f>
        <v>I gave access to a game on android.</v>
      </c>
      <c r="C388" s="3" t="s">
        <v>1662</v>
      </c>
      <c r="D388" s="12"/>
      <c r="E388" s="12"/>
      <c r="F388" s="12"/>
      <c r="G388" s="12"/>
      <c r="H388" s="12"/>
      <c r="I388" s="12"/>
      <c r="J388" s="12"/>
    </row>
    <row r="389">
      <c r="A389">
        <f>IFERROR(__xludf.DUMMYFUNCTION("""COMPUTED_VALUE"""),536.0)</f>
        <v>536</v>
      </c>
      <c r="B389" s="12" t="str">
        <f>IFERROR(__xludf.DUMMYFUNCTION("""COMPUTED_VALUE"""),"I wasnt sure i just allow it because i guess i trusted the site i was on.")</f>
        <v>I wasnt sure i just allow it because i guess i trusted the site i was on.</v>
      </c>
      <c r="C389" s="34" t="s">
        <v>1432</v>
      </c>
      <c r="D389" s="12"/>
      <c r="E389" s="12"/>
      <c r="F389" s="12"/>
      <c r="G389" s="12"/>
      <c r="H389" s="12"/>
      <c r="I389" s="12"/>
      <c r="J389" s="12"/>
    </row>
    <row r="390">
      <c r="A390">
        <f>IFERROR(__xludf.DUMMYFUNCTION("""COMPUTED_VALUE"""),537.0)</f>
        <v>537</v>
      </c>
      <c r="B390" s="12" t="str">
        <f>IFERROR(__xludf.DUMMYFUNCTION("""COMPUTED_VALUE"""),"I do not remember")</f>
        <v>I do not remember</v>
      </c>
      <c r="C390" s="34" t="s">
        <v>1432</v>
      </c>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t="str">
        <f>IFERROR(__xludf.DUMMYFUNCTION("""COMPUTED_VALUE"""),"to sign in easy")</f>
        <v>to sign in easy</v>
      </c>
      <c r="C395" s="3" t="s">
        <v>1644</v>
      </c>
      <c r="D395" s="34" t="s">
        <v>1598</v>
      </c>
      <c r="E395" s="12"/>
      <c r="F395" s="12"/>
      <c r="G395" s="12"/>
      <c r="H395" s="12"/>
      <c r="I395" s="12"/>
      <c r="J395" s="12"/>
    </row>
    <row r="396">
      <c r="A396">
        <f>IFERROR(__xludf.DUMMYFUNCTION("""COMPUTED_VALUE"""),544.0)</f>
        <v>544</v>
      </c>
      <c r="B396" s="12" t="str">
        <f>IFERROR(__xludf.DUMMYFUNCTION("""COMPUTED_VALUE"""),"zoom, getting on my calendar easy")</f>
        <v>zoom, getting on my calendar easy</v>
      </c>
      <c r="C396" s="34" t="s">
        <v>1650</v>
      </c>
      <c r="D396" s="46" t="s">
        <v>1646</v>
      </c>
      <c r="E396" s="46" t="s">
        <v>1654</v>
      </c>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t="str">
        <f>IFERROR(__xludf.DUMMYFUNCTION("""COMPUTED_VALUE"""),"Giving access to contacts")</f>
        <v>Giving access to contacts</v>
      </c>
      <c r="C401" s="3" t="s">
        <v>1645</v>
      </c>
      <c r="D401" s="12"/>
      <c r="E401" s="12"/>
      <c r="F401" s="12"/>
      <c r="G401" s="12"/>
      <c r="H401" s="12"/>
      <c r="I401" s="12"/>
      <c r="J401" s="12"/>
    </row>
    <row r="402">
      <c r="A402">
        <f>IFERROR(__xludf.DUMMYFUNCTION("""COMPUTED_VALUE"""),552.0)</f>
        <v>552</v>
      </c>
      <c r="B402" s="12" t="str">
        <f>IFERROR(__xludf.DUMMYFUNCTION("""COMPUTED_VALUE"""),"To sign up")</f>
        <v>To sign up</v>
      </c>
      <c r="C402" s="3" t="s">
        <v>1644</v>
      </c>
      <c r="D402" s="12"/>
      <c r="E402" s="12"/>
      <c r="F402" s="12"/>
      <c r="G402" s="12"/>
      <c r="H402" s="12"/>
      <c r="I402" s="12"/>
      <c r="J402" s="12"/>
    </row>
    <row r="403">
      <c r="A403">
        <f>IFERROR(__xludf.DUMMYFUNCTION("""COMPUTED_VALUE"""),553.0)</f>
        <v>553</v>
      </c>
      <c r="B403" s="12" t="str">
        <f>IFERROR(__xludf.DUMMYFUNCTION("""COMPUTED_VALUE"""),"I don't really remember but I do remember encountering this type of screen in the past.")</f>
        <v>I don't really remember but I do remember encountering this type of screen in the past.</v>
      </c>
      <c r="C403" s="34" t="s">
        <v>1432</v>
      </c>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t="str">
        <f>IFERROR(__xludf.DUMMYFUNCTION("""COMPUTED_VALUE"""),"For some calendar, and games.")</f>
        <v>For some calendar, and games.</v>
      </c>
      <c r="C407" s="34" t="s">
        <v>1650</v>
      </c>
      <c r="D407" s="3" t="s">
        <v>1662</v>
      </c>
      <c r="E407" s="12"/>
      <c r="F407" s="12"/>
      <c r="G407" s="12"/>
      <c r="H407" s="12"/>
      <c r="I407" s="12"/>
      <c r="J407" s="12"/>
    </row>
    <row r="408">
      <c r="A408">
        <f>IFERROR(__xludf.DUMMYFUNCTION("""COMPUTED_VALUE"""),558.0)</f>
        <v>558</v>
      </c>
      <c r="B408" s="12" t="str">
        <f>IFERROR(__xludf.DUMMYFUNCTION("""COMPUTED_VALUE"""),"Signing onto a gaming service")</f>
        <v>Signing onto a gaming service</v>
      </c>
      <c r="C408" s="3" t="s">
        <v>1662</v>
      </c>
      <c r="D408" s="3" t="s">
        <v>1644</v>
      </c>
      <c r="E408" s="12"/>
      <c r="F408" s="12"/>
      <c r="G408" s="12"/>
      <c r="H408" s="12"/>
      <c r="I408" s="12"/>
      <c r="J408" s="12"/>
    </row>
    <row r="409">
      <c r="A409">
        <f>IFERROR(__xludf.DUMMYFUNCTION("""COMPUTED_VALUE"""),559.0)</f>
        <v>559</v>
      </c>
      <c r="B409" s="12" t="str">
        <f>IFERROR(__xludf.DUMMYFUNCTION("""COMPUTED_VALUE"""),"To coordinate access with my calendar to help schedule meetings by Doodle")</f>
        <v>To coordinate access with my calendar to help schedule meetings by Doodle</v>
      </c>
      <c r="C409" s="34" t="s">
        <v>1650</v>
      </c>
      <c r="D409" s="46" t="s">
        <v>1646</v>
      </c>
      <c r="E409" s="46" t="s">
        <v>1694</v>
      </c>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t="str">
        <f>IFERROR(__xludf.DUMMYFUNCTION("""COMPUTED_VALUE"""),"The primary reason was to access more features without the need to create a new account on the site.")</f>
        <v>The primary reason was to access more features without the need to create a new account on the site.</v>
      </c>
      <c r="C411" s="3" t="s">
        <v>1644</v>
      </c>
      <c r="D411" s="34" t="s">
        <v>1598</v>
      </c>
      <c r="E411" s="12"/>
      <c r="F411" s="12"/>
      <c r="G411" s="12"/>
      <c r="H411" s="12"/>
      <c r="I411" s="12"/>
      <c r="J411" s="12"/>
    </row>
    <row r="412">
      <c r="A412">
        <f>IFERROR(__xludf.DUMMYFUNCTION("""COMPUTED_VALUE"""),564.0)</f>
        <v>564</v>
      </c>
      <c r="B412" s="12" t="str">
        <f>IFERROR(__xludf.DUMMYFUNCTION("""COMPUTED_VALUE"""),"It was too allow them to connect my contactst to the app.")</f>
        <v>It was too allow them to connect my contactst to the app.</v>
      </c>
      <c r="C412" s="3" t="s">
        <v>1645</v>
      </c>
      <c r="D412" s="12"/>
      <c r="E412" s="12"/>
      <c r="F412" s="12"/>
      <c r="G412" s="12"/>
      <c r="H412" s="12"/>
      <c r="I412" s="12"/>
      <c r="J412" s="12"/>
    </row>
    <row r="413">
      <c r="A413">
        <f>IFERROR(__xludf.DUMMYFUNCTION("""COMPUTED_VALUE"""),566.0)</f>
        <v>566</v>
      </c>
      <c r="B413" s="12" t="str">
        <f>IFERROR(__xludf.DUMMYFUNCTION("""COMPUTED_VALUE"""),"Subscribing to several lists on the service put events directly into my calendar. By allowing access to my calendar, the events could be updated automatically if the owner changed any data.")</f>
        <v>Subscribing to several lists on the service put events directly into my calendar. By allowing access to my calendar, the events could be updated automatically if the owner changed any data.</v>
      </c>
      <c r="C413" s="34" t="s">
        <v>1650</v>
      </c>
      <c r="D413" s="12"/>
      <c r="E413" s="12"/>
      <c r="F413" s="12"/>
      <c r="G413" s="12"/>
      <c r="H413" s="12"/>
      <c r="I413" s="12"/>
      <c r="J413" s="12"/>
    </row>
    <row r="414">
      <c r="A414">
        <f>IFERROR(__xludf.DUMMYFUNCTION("""COMPUTED_VALUE"""),569.0)</f>
        <v>569</v>
      </c>
      <c r="B414" s="12" t="str">
        <f>IFERROR(__xludf.DUMMYFUNCTION("""COMPUTED_VALUE"""),"Creating an account on food delivery app")</f>
        <v>Creating an account on food delivery app</v>
      </c>
      <c r="C414" s="3" t="s">
        <v>1644</v>
      </c>
      <c r="D414" s="34" t="s">
        <v>66</v>
      </c>
      <c r="E414" s="12"/>
      <c r="F414" s="12"/>
      <c r="G414" s="12"/>
      <c r="H414" s="12"/>
      <c r="I414" s="12"/>
      <c r="J414" s="12"/>
    </row>
    <row r="415">
      <c r="A415">
        <f>IFERROR(__xludf.DUMMYFUNCTION("""COMPUTED_VALUE"""),570.0)</f>
        <v>570</v>
      </c>
      <c r="B415" s="12" t="str">
        <f>IFERROR(__xludf.DUMMYFUNCTION("""COMPUTED_VALUE"""),"So it could see my contacts.")</f>
        <v>So it could see my contacts.</v>
      </c>
      <c r="C415" s="3" t="s">
        <v>1645</v>
      </c>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t="str">
        <f>IFERROR(__xludf.DUMMYFUNCTION("""COMPUTED_VALUE"""),"I know my phone calendar has access to my google calendar")</f>
        <v>I know my phone calendar has access to my google calendar</v>
      </c>
      <c r="C418" s="34" t="s">
        <v>1650</v>
      </c>
      <c r="D418" s="34" t="s">
        <v>1652</v>
      </c>
      <c r="E418" s="34" t="s">
        <v>1653</v>
      </c>
      <c r="F418" s="12"/>
      <c r="G418" s="12"/>
      <c r="H418" s="12"/>
      <c r="I418" s="12"/>
      <c r="J418" s="12"/>
    </row>
    <row r="419">
      <c r="A419">
        <f>IFERROR(__xludf.DUMMYFUNCTION("""COMPUTED_VALUE"""),580.0)</f>
        <v>580</v>
      </c>
      <c r="B419" s="12" t="str">
        <f>IFERROR(__xludf.DUMMYFUNCTION("""COMPUTED_VALUE"""),"Access my contacts")</f>
        <v>Access my contacts</v>
      </c>
      <c r="C419" s="3" t="s">
        <v>1645</v>
      </c>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t="str">
        <f>IFERROR(__xludf.DUMMYFUNCTION("""COMPUTED_VALUE"""),"To keep track of my Yelp favorites.")</f>
        <v>To keep track of my Yelp favorites.</v>
      </c>
      <c r="C421" s="46" t="s">
        <v>1646</v>
      </c>
      <c r="D421" s="46" t="s">
        <v>1695</v>
      </c>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t="str">
        <f>IFERROR(__xludf.DUMMYFUNCTION("""COMPUTED_VALUE"""),"It was so that a third party Android launcher could work on my phone")</f>
        <v>It was so that a third party Android launcher could work on my phone</v>
      </c>
      <c r="C424" s="34" t="s">
        <v>1652</v>
      </c>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t="str">
        <f>IFERROR(__xludf.DUMMYFUNCTION("""COMPUTED_VALUE"""),"To type out less of my information")</f>
        <v>To type out less of my information</v>
      </c>
      <c r="C426" s="34" t="s">
        <v>1598</v>
      </c>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t="str">
        <f>IFERROR(__xludf.DUMMYFUNCTION("""COMPUTED_VALUE"""),"I don't recall the specific instance")</f>
        <v>I don't recall the specific instance</v>
      </c>
      <c r="C428" s="34" t="s">
        <v>1432</v>
      </c>
      <c r="D428" s="12"/>
      <c r="E428" s="12"/>
      <c r="F428" s="12"/>
      <c r="G428" s="12"/>
      <c r="H428" s="12"/>
      <c r="I428" s="12"/>
      <c r="J428" s="12"/>
    </row>
    <row r="429">
      <c r="A429">
        <f>IFERROR(__xludf.DUMMYFUNCTION("""COMPUTED_VALUE"""),593.0)</f>
        <v>593</v>
      </c>
      <c r="B429" s="12" t="str">
        <f>IFERROR(__xludf.DUMMYFUNCTION("""COMPUTED_VALUE"""),"To merge everything together")</f>
        <v>To merge everything together</v>
      </c>
      <c r="C429" s="34" t="s">
        <v>1652</v>
      </c>
      <c r="D429" s="34" t="s">
        <v>1653</v>
      </c>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IFERROR(__xludf.DUMMYFUNCTION("""COMPUTED_VALUE"""),"Logging into a newly created account to apply for jobs")</f>
        <v>Logging into a newly created account to apply for jobs</v>
      </c>
      <c r="C431" s="3" t="s">
        <v>1644</v>
      </c>
      <c r="D431" s="12"/>
      <c r="E431" s="12"/>
      <c r="F431" s="12"/>
      <c r="G431" s="12"/>
      <c r="H431" s="12"/>
      <c r="I431" s="12"/>
      <c r="J431" s="12"/>
    </row>
    <row r="432">
      <c r="A432">
        <f>IFERROR(__xludf.DUMMYFUNCTION("""COMPUTED_VALUE"""),598.0)</f>
        <v>598</v>
      </c>
      <c r="B432" s="12" t="str">
        <f>IFERROR(__xludf.DUMMYFUNCTION("""COMPUTED_VALUE"""),"I believe it was for a receipt rebate app that gives you a certain amount of money for every online purchase you make.")</f>
        <v>I believe it was for a receipt rebate app that gives you a certain amount of money for every online purchase you make.</v>
      </c>
      <c r="C432" s="34" t="s">
        <v>66</v>
      </c>
      <c r="D432" s="12"/>
      <c r="E432" s="12"/>
      <c r="F432" s="12"/>
      <c r="G432" s="12"/>
      <c r="H432" s="12"/>
      <c r="I432" s="12"/>
      <c r="J432" s="12"/>
    </row>
    <row r="433">
      <c r="A433">
        <f>IFERROR(__xludf.DUMMYFUNCTION("""COMPUTED_VALUE"""),600.0)</f>
        <v>600</v>
      </c>
      <c r="B433" s="12" t="str">
        <f>IFERROR(__xludf.DUMMYFUNCTION("""COMPUTED_VALUE"""),"I don't recall.")</f>
        <v>I don't recall.</v>
      </c>
      <c r="C433" s="34" t="s">
        <v>1432</v>
      </c>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IFERROR(__xludf.DUMMYFUNCTION("QUERY({'S11 (primary)'!C2:C1000;'S11 (primary)'!D2:D1000;'S11 (primary)'!E2:E1000;'S11 (primary)'!F2:F1000;'S11 (primary)'!G2:G1000;'S11 (primary)'!H2:H1000;'S11 (primary)'!I2:I1000;'S11 (primary)'!J2:J1000;'S11 (primary)'!K2:K1000}, ""select Col1, count("&amp;"Col1) where Col1 is not null group by Col1 order by Col1 asc"")"),"")</f>
        <v/>
      </c>
      <c r="B2" s="34" t="str">
        <f>IFERROR(__xludf.DUMMYFUNCTION("""COMPUTED_VALUE"""),"count ")</f>
        <v>count </v>
      </c>
      <c r="C2" s="34"/>
      <c r="D2" s="34"/>
      <c r="E2" s="34" t="str">
        <f>IFERROR(__xludf.DUMMYFUNCTION("QUERY({'S11 (primary)'!C2:C1000;'S11 (primary)'!D2:D1000;'S11 (primary)'!E2:E1000;'S11 (primary)'!F2:F1000;'S11 (primary)'!G2:G1000;'S11 (primary)'!H2:H1000;'S11 (primary)'!I2:I1000;'S11 (primary)'!J2:J1000;'S11 (primary)'!K2:K1000}, ""select Col1, count("&amp;"Col1) where Col1 is not null and not Col1 contains '-&gt;' group by Col1 order by count(Col1) desc"")"),"")</f>
        <v/>
      </c>
      <c r="F2" s="34" t="str">
        <f>IFERROR(__xludf.DUMMYFUNCTION("""COMPUTED_VALUE"""),"count ")</f>
        <v>count </v>
      </c>
    </row>
    <row r="3">
      <c r="A3" t="str">
        <f>IFERROR(__xludf.DUMMYFUNCTION("""COMPUTED_VALUE"""),"calendar")</f>
        <v>calendar</v>
      </c>
      <c r="B3">
        <f>IFERROR(__xludf.DUMMYFUNCTION("""COMPUTED_VALUE"""),38.0)</f>
        <v>38</v>
      </c>
      <c r="E3" t="str">
        <f>IFERROR(__xludf.DUMMYFUNCTION("""COMPUTED_VALUE"""),"utility")</f>
        <v>utility</v>
      </c>
      <c r="F3">
        <f>IFERROR(__xludf.DUMMYFUNCTION("""COMPUTED_VALUE"""),45.0)</f>
        <v>45</v>
      </c>
      <c r="G3" s="44"/>
    </row>
    <row r="4">
      <c r="A4" t="str">
        <f>IFERROR(__xludf.DUMMYFUNCTION("""COMPUTED_VALUE"""),"contacts")</f>
        <v>contacts</v>
      </c>
      <c r="B4">
        <f>IFERROR(__xludf.DUMMYFUNCTION("""COMPUTED_VALUE"""),18.0)</f>
        <v>18</v>
      </c>
      <c r="E4" t="str">
        <f>IFERROR(__xludf.DUMMYFUNCTION("""COMPUTED_VALUE"""),"calendar")</f>
        <v>calendar</v>
      </c>
      <c r="F4">
        <f>IFERROR(__xludf.DUMMYFUNCTION("""COMPUTED_VALUE"""),38.0)</f>
        <v>38</v>
      </c>
      <c r="G4" s="44"/>
    </row>
    <row r="5">
      <c r="A5" t="str">
        <f>IFERROR(__xludf.DUMMYFUNCTION("""COMPUTED_VALUE"""),"ease_of_use")</f>
        <v>ease_of_use</v>
      </c>
      <c r="B5">
        <f>IFERROR(__xludf.DUMMYFUNCTION("""COMPUTED_VALUE"""),24.0)</f>
        <v>24</v>
      </c>
      <c r="E5" t="str">
        <f>IFERROR(__xludf.DUMMYFUNCTION("""COMPUTED_VALUE"""),"specific_app_or_service")</f>
        <v>specific_app_or_service</v>
      </c>
      <c r="F5">
        <f>IFERROR(__xludf.DUMMYFUNCTION("""COMPUTED_VALUE"""),37.0)</f>
        <v>37</v>
      </c>
      <c r="G5" s="44"/>
    </row>
    <row r="6">
      <c r="A6" t="str">
        <f>IFERROR(__xludf.DUMMYFUNCTION("""COMPUTED_VALUE"""),"education")</f>
        <v>education</v>
      </c>
      <c r="B6">
        <f>IFERROR(__xludf.DUMMYFUNCTION("""COMPUTED_VALUE"""),1.0)</f>
        <v>1</v>
      </c>
      <c r="E6" t="str">
        <f>IFERROR(__xludf.DUMMYFUNCTION("""COMPUTED_VALUE"""),"sign_in")</f>
        <v>sign_in</v>
      </c>
      <c r="F6">
        <f>IFERROR(__xludf.DUMMYFUNCTION("""COMPUTED_VALUE"""),27.0)</f>
        <v>27</v>
      </c>
      <c r="G6" s="44"/>
    </row>
    <row r="7">
      <c r="A7" t="str">
        <f>IFERROR(__xludf.DUMMYFUNCTION("""COMPUTED_VALUE"""),"gaming")</f>
        <v>gaming</v>
      </c>
      <c r="B7">
        <f>IFERROR(__xludf.DUMMYFUNCTION("""COMPUTED_VALUE"""),19.0)</f>
        <v>19</v>
      </c>
      <c r="E7" t="str">
        <f>IFERROR(__xludf.DUMMYFUNCTION("""COMPUTED_VALUE"""),"ease_of_use")</f>
        <v>ease_of_use</v>
      </c>
      <c r="F7">
        <f>IFERROR(__xludf.DUMMYFUNCTION("""COMPUTED_VALUE"""),24.0)</f>
        <v>24</v>
      </c>
      <c r="G7" s="44"/>
    </row>
    <row r="8">
      <c r="A8" t="str">
        <f>IFERROR(__xludf.DUMMYFUNCTION("""COMPUTED_VALUE"""),"necessary")</f>
        <v>necessary</v>
      </c>
      <c r="B8">
        <f>IFERROR(__xludf.DUMMYFUNCTION("""COMPUTED_VALUE"""),10.0)</f>
        <v>10</v>
      </c>
      <c r="E8" t="str">
        <f>IFERROR(__xludf.DUMMYFUNCTION("""COMPUTED_VALUE"""),"gaming")</f>
        <v>gaming</v>
      </c>
      <c r="F8">
        <f>IFERROR(__xludf.DUMMYFUNCTION("""COMPUTED_VALUE"""),19.0)</f>
        <v>19</v>
      </c>
      <c r="G8" s="44"/>
    </row>
    <row r="9">
      <c r="A9" t="str">
        <f>IFERROR(__xludf.DUMMYFUNCTION("""COMPUTED_VALUE"""),"no_recall")</f>
        <v>no_recall</v>
      </c>
      <c r="B9">
        <f>IFERROR(__xludf.DUMMYFUNCTION("""COMPUTED_VALUE"""),15.0)</f>
        <v>15</v>
      </c>
      <c r="E9" t="str">
        <f>IFERROR(__xludf.DUMMYFUNCTION("""COMPUTED_VALUE"""),"contacts")</f>
        <v>contacts</v>
      </c>
      <c r="F9">
        <f>IFERROR(__xludf.DUMMYFUNCTION("""COMPUTED_VALUE"""),18.0)</f>
        <v>18</v>
      </c>
      <c r="G9" s="44"/>
    </row>
    <row r="10">
      <c r="A10" t="str">
        <f>IFERROR(__xludf.DUMMYFUNCTION("""COMPUTED_VALUE"""),"notifications")</f>
        <v>notifications</v>
      </c>
      <c r="B10">
        <f>IFERROR(__xludf.DUMMYFUNCTION("""COMPUTED_VALUE"""),5.0)</f>
        <v>5</v>
      </c>
      <c r="E10" t="str">
        <f>IFERROR(__xludf.DUMMYFUNCTION("""COMPUTED_VALUE"""),"no_recall")</f>
        <v>no_recall</v>
      </c>
      <c r="F10">
        <f>IFERROR(__xludf.DUMMYFUNCTION("""COMPUTED_VALUE"""),15.0)</f>
        <v>15</v>
      </c>
      <c r="G10" s="44"/>
    </row>
    <row r="11">
      <c r="A11" t="str">
        <f>IFERROR(__xludf.DUMMYFUNCTION("""COMPUTED_VALUE"""),"personal_info")</f>
        <v>personal_info</v>
      </c>
      <c r="B11">
        <f>IFERROR(__xludf.DUMMYFUNCTION("""COMPUTED_VALUE"""),15.0)</f>
        <v>15</v>
      </c>
      <c r="E11" t="str">
        <f>IFERROR(__xludf.DUMMYFUNCTION("""COMPUTED_VALUE"""),"personal_info")</f>
        <v>personal_info</v>
      </c>
      <c r="F11">
        <f>IFERROR(__xludf.DUMMYFUNCTION("""COMPUTED_VALUE"""),15.0)</f>
        <v>15</v>
      </c>
      <c r="G11" s="44"/>
    </row>
    <row r="12">
      <c r="A12" t="str">
        <f>IFERROR(__xludf.DUMMYFUNCTION("""COMPUTED_VALUE"""),"personal_info-&gt;age")</f>
        <v>personal_info-&gt;age</v>
      </c>
      <c r="B12">
        <f>IFERROR(__xludf.DUMMYFUNCTION("""COMPUTED_VALUE"""),1.0)</f>
        <v>1</v>
      </c>
      <c r="E12" t="str">
        <f>IFERROR(__xludf.DUMMYFUNCTION("""COMPUTED_VALUE"""),"shopping")</f>
        <v>shopping</v>
      </c>
      <c r="F12">
        <f>IFERROR(__xludf.DUMMYFUNCTION("""COMPUTED_VALUE"""),14.0)</f>
        <v>14</v>
      </c>
      <c r="G12" s="44"/>
    </row>
    <row r="13">
      <c r="A13" t="str">
        <f>IFERROR(__xludf.DUMMYFUNCTION("""COMPUTED_VALUE"""),"personal_info-&gt;health_data")</f>
        <v>personal_info-&gt;health_data</v>
      </c>
      <c r="B13">
        <f>IFERROR(__xludf.DUMMYFUNCTION("""COMPUTED_VALUE"""),2.0)</f>
        <v>2</v>
      </c>
      <c r="E13" t="str">
        <f>IFERROR(__xludf.DUMMYFUNCTION("""COMPUTED_VALUE"""),"necessary")</f>
        <v>necessary</v>
      </c>
      <c r="F13">
        <f>IFERROR(__xludf.DUMMYFUNCTION("""COMPUTED_VALUE"""),10.0)</f>
        <v>10</v>
      </c>
      <c r="G13" s="44"/>
    </row>
    <row r="14">
      <c r="A14" t="str">
        <f>IFERROR(__xludf.DUMMYFUNCTION("""COMPUTED_VALUE"""),"personal_info-&gt;location")</f>
        <v>personal_info-&gt;location</v>
      </c>
      <c r="B14">
        <f>IFERROR(__xludf.DUMMYFUNCTION("""COMPUTED_VALUE"""),1.0)</f>
        <v>1</v>
      </c>
      <c r="E14" t="str">
        <f>IFERROR(__xludf.DUMMYFUNCTION("""COMPUTED_VALUE"""),"notifications")</f>
        <v>notifications</v>
      </c>
      <c r="F14">
        <f>IFERROR(__xludf.DUMMYFUNCTION("""COMPUTED_VALUE"""),5.0)</f>
        <v>5</v>
      </c>
      <c r="G14" s="44"/>
    </row>
    <row r="15">
      <c r="A15" t="str">
        <f>IFERROR(__xludf.DUMMYFUNCTION("""COMPUTED_VALUE"""),"photos")</f>
        <v>photos</v>
      </c>
      <c r="B15">
        <f>IFERROR(__xludf.DUMMYFUNCTION("""COMPUTED_VALUE"""),4.0)</f>
        <v>4</v>
      </c>
      <c r="E15" t="str">
        <f>IFERROR(__xludf.DUMMYFUNCTION("""COMPUTED_VALUE"""),"photos")</f>
        <v>photos</v>
      </c>
      <c r="F15">
        <f>IFERROR(__xludf.DUMMYFUNCTION("""COMPUTED_VALUE"""),4.0)</f>
        <v>4</v>
      </c>
      <c r="G15" s="44"/>
    </row>
    <row r="16">
      <c r="A16" t="str">
        <f>IFERROR(__xludf.DUMMYFUNCTION("""COMPUTED_VALUE"""),"security")</f>
        <v>security</v>
      </c>
      <c r="B16">
        <f>IFERROR(__xludf.DUMMYFUNCTION("""COMPUTED_VALUE"""),1.0)</f>
        <v>1</v>
      </c>
      <c r="E16" t="str">
        <f>IFERROR(__xludf.DUMMYFUNCTION("""COMPUTED_VALUE"""),"work_related")</f>
        <v>work_related</v>
      </c>
      <c r="F16">
        <f>IFERROR(__xludf.DUMMYFUNCTION("""COMPUTED_VALUE"""),4.0)</f>
        <v>4</v>
      </c>
      <c r="G16" s="44"/>
    </row>
    <row r="17">
      <c r="A17" t="str">
        <f>IFERROR(__xludf.DUMMYFUNCTION("""COMPUTED_VALUE"""),"shopping")</f>
        <v>shopping</v>
      </c>
      <c r="B17">
        <f>IFERROR(__xludf.DUMMYFUNCTION("""COMPUTED_VALUE"""),14.0)</f>
        <v>14</v>
      </c>
      <c r="E17" t="str">
        <f>IFERROR(__xludf.DUMMYFUNCTION("""COMPUTED_VALUE"""),"education")</f>
        <v>education</v>
      </c>
      <c r="F17">
        <f>IFERROR(__xludf.DUMMYFUNCTION("""COMPUTED_VALUE"""),1.0)</f>
        <v>1</v>
      </c>
      <c r="G17" s="44"/>
    </row>
    <row r="18">
      <c r="A18" t="str">
        <f>IFERROR(__xludf.DUMMYFUNCTION("""COMPUTED_VALUE"""),"sign_in")</f>
        <v>sign_in</v>
      </c>
      <c r="B18">
        <f>IFERROR(__xludf.DUMMYFUNCTION("""COMPUTED_VALUE"""),27.0)</f>
        <v>27</v>
      </c>
      <c r="E18" t="str">
        <f>IFERROR(__xludf.DUMMYFUNCTION("""COMPUTED_VALUE"""),"security")</f>
        <v>security</v>
      </c>
      <c r="F18">
        <f>IFERROR(__xludf.DUMMYFUNCTION("""COMPUTED_VALUE"""),1.0)</f>
        <v>1</v>
      </c>
      <c r="G18" s="44"/>
    </row>
    <row r="19">
      <c r="A19" t="str">
        <f>IFERROR(__xludf.DUMMYFUNCTION("""COMPUTED_VALUE"""),"social_media")</f>
        <v>social_media</v>
      </c>
      <c r="B19">
        <f>IFERROR(__xludf.DUMMYFUNCTION("""COMPUTED_VALUE"""),1.0)</f>
        <v>1</v>
      </c>
      <c r="E19" t="str">
        <f>IFERROR(__xludf.DUMMYFUNCTION("""COMPUTED_VALUE"""),"social_media")</f>
        <v>social_media</v>
      </c>
      <c r="F19">
        <f>IFERROR(__xludf.DUMMYFUNCTION("""COMPUTED_VALUE"""),1.0)</f>
        <v>1</v>
      </c>
      <c r="G19" s="44"/>
    </row>
    <row r="20">
      <c r="A20" t="str">
        <f>IFERROR(__xludf.DUMMYFUNCTION("""COMPUTED_VALUE"""),"specific_app_or_service")</f>
        <v>specific_app_or_service</v>
      </c>
      <c r="B20">
        <f>IFERROR(__xludf.DUMMYFUNCTION("""COMPUTED_VALUE"""),37.0)</f>
        <v>37</v>
      </c>
      <c r="G20" s="44"/>
    </row>
    <row r="21">
      <c r="A21" t="str">
        <f>IFERROR(__xludf.DUMMYFUNCTION("""COMPUTED_VALUE"""),"specific_app_or_service-&gt;amazon")</f>
        <v>specific_app_or_service-&gt;amazon</v>
      </c>
      <c r="B21">
        <f>IFERROR(__xludf.DUMMYFUNCTION("""COMPUTED_VALUE"""),1.0)</f>
        <v>1</v>
      </c>
      <c r="G21" s="44"/>
    </row>
    <row r="22">
      <c r="A22" t="str">
        <f>IFERROR(__xludf.DUMMYFUNCTION("""COMPUTED_VALUE"""),"specific_app_or_service-&gt;calendars_5")</f>
        <v>specific_app_or_service-&gt;calendars_5</v>
      </c>
      <c r="B22">
        <f>IFERROR(__xludf.DUMMYFUNCTION("""COMPUTED_VALUE"""),1.0)</f>
        <v>1</v>
      </c>
      <c r="G22" s="44"/>
    </row>
    <row r="23">
      <c r="A23" t="str">
        <f>IFERROR(__xludf.DUMMYFUNCTION("""COMPUTED_VALUE"""),"specific_app_or_service-&gt;calendly")</f>
        <v>specific_app_or_service-&gt;calendly</v>
      </c>
      <c r="B23">
        <f>IFERROR(__xludf.DUMMYFUNCTION("""COMPUTED_VALUE"""),1.0)</f>
        <v>1</v>
      </c>
      <c r="G23" s="44"/>
    </row>
    <row r="24">
      <c r="A24" t="str">
        <f>IFERROR(__xludf.DUMMYFUNCTION("""COMPUTED_VALUE"""),"specific_app_or_service-&gt;Doodle")</f>
        <v>specific_app_or_service-&gt;Doodle</v>
      </c>
      <c r="B24">
        <f>IFERROR(__xludf.DUMMYFUNCTION("""COMPUTED_VALUE"""),1.0)</f>
        <v>1</v>
      </c>
      <c r="G24" s="44"/>
    </row>
    <row r="25">
      <c r="A25" t="str">
        <f>IFERROR(__xludf.DUMMYFUNCTION("""COMPUTED_VALUE"""),"specific_app_or_service-&gt;gleam")</f>
        <v>specific_app_or_service-&gt;gleam</v>
      </c>
      <c r="B25">
        <f>IFERROR(__xludf.DUMMYFUNCTION("""COMPUTED_VALUE"""),1.0)</f>
        <v>1</v>
      </c>
      <c r="G25" s="44"/>
    </row>
    <row r="26">
      <c r="A26" t="str">
        <f>IFERROR(__xludf.DUMMYFUNCTION("""COMPUTED_VALUE"""),"specific_app_or_service-&gt;google_audio_player")</f>
        <v>specific_app_or_service-&gt;google_audio_player</v>
      </c>
      <c r="B26">
        <f>IFERROR(__xludf.DUMMYFUNCTION("""COMPUTED_VALUE"""),1.0)</f>
        <v>1</v>
      </c>
      <c r="G26" s="44"/>
    </row>
    <row r="27">
      <c r="A27" t="str">
        <f>IFERROR(__xludf.DUMMYFUNCTION("""COMPUTED_VALUE"""),"specific_app_or_service-&gt;google_docs")</f>
        <v>specific_app_or_service-&gt;google_docs</v>
      </c>
      <c r="B27">
        <f>IFERROR(__xludf.DUMMYFUNCTION("""COMPUTED_VALUE"""),2.0)</f>
        <v>2</v>
      </c>
      <c r="G27" s="44"/>
    </row>
    <row r="28">
      <c r="A28" t="str">
        <f>IFERROR(__xludf.DUMMYFUNCTION("""COMPUTED_VALUE"""),"specific_app_or_service-&gt;google_drive")</f>
        <v>specific_app_or_service-&gt;google_drive</v>
      </c>
      <c r="B28">
        <f>IFERROR(__xludf.DUMMYFUNCTION("""COMPUTED_VALUE"""),4.0)</f>
        <v>4</v>
      </c>
      <c r="G28" s="44"/>
    </row>
    <row r="29">
      <c r="A29" t="str">
        <f>IFERROR(__xludf.DUMMYFUNCTION("""COMPUTED_VALUE"""),"specific_app_or_service-&gt;google_navigation")</f>
        <v>specific_app_or_service-&gt;google_navigation</v>
      </c>
      <c r="B29">
        <f>IFERROR(__xludf.DUMMYFUNCTION("""COMPUTED_VALUE"""),1.0)</f>
        <v>1</v>
      </c>
      <c r="G29" s="44"/>
    </row>
    <row r="30">
      <c r="A30" t="str">
        <f>IFERROR(__xludf.DUMMYFUNCTION("""COMPUTED_VALUE"""),"specific_app_or_service-&gt;google_play")</f>
        <v>specific_app_or_service-&gt;google_play</v>
      </c>
      <c r="B30">
        <f>IFERROR(__xludf.DUMMYFUNCTION("""COMPUTED_VALUE"""),1.0)</f>
        <v>1</v>
      </c>
      <c r="G30" s="44"/>
    </row>
    <row r="31">
      <c r="A31" t="str">
        <f>IFERROR(__xludf.DUMMYFUNCTION("""COMPUTED_VALUE"""),"specific_app_or_service-&gt;google_sheets")</f>
        <v>specific_app_or_service-&gt;google_sheets</v>
      </c>
      <c r="B31">
        <f>IFERROR(__xludf.DUMMYFUNCTION("""COMPUTED_VALUE"""),1.0)</f>
        <v>1</v>
      </c>
      <c r="G31" s="44"/>
    </row>
    <row r="32">
      <c r="A32" t="str">
        <f>IFERROR(__xludf.DUMMYFUNCTION("""COMPUTED_VALUE"""),"specific_app_or_service-&gt;grammarly")</f>
        <v>specific_app_or_service-&gt;grammarly</v>
      </c>
      <c r="B32">
        <f>IFERROR(__xludf.DUMMYFUNCTION("""COMPUTED_VALUE"""),1.0)</f>
        <v>1</v>
      </c>
      <c r="G32" s="44"/>
    </row>
    <row r="33">
      <c r="A33" t="str">
        <f>IFERROR(__xludf.DUMMYFUNCTION("""COMPUTED_VALUE"""),"specific_app_or_service-&gt;headspace")</f>
        <v>specific_app_or_service-&gt;headspace</v>
      </c>
      <c r="B33">
        <f>IFERROR(__xludf.DUMMYFUNCTION("""COMPUTED_VALUE"""),1.0)</f>
        <v>1</v>
      </c>
    </row>
    <row r="34">
      <c r="A34" t="str">
        <f>IFERROR(__xludf.DUMMYFUNCTION("""COMPUTED_VALUE"""),"specific_app_or_service-&gt;honey")</f>
        <v>specific_app_or_service-&gt;honey</v>
      </c>
      <c r="B34">
        <f>IFERROR(__xludf.DUMMYFUNCTION("""COMPUTED_VALUE"""),1.0)</f>
        <v>1</v>
      </c>
    </row>
    <row r="35">
      <c r="A35" t="str">
        <f>IFERROR(__xludf.DUMMYFUNCTION("""COMPUTED_VALUE"""),"specific_app_or_service-&gt;linked_in")</f>
        <v>specific_app_or_service-&gt;linked_in</v>
      </c>
      <c r="B35">
        <f>IFERROR(__xludf.DUMMYFUNCTION("""COMPUTED_VALUE"""),1.0)</f>
        <v>1</v>
      </c>
    </row>
    <row r="36">
      <c r="A36" t="str">
        <f>IFERROR(__xludf.DUMMYFUNCTION("""COMPUTED_VALUE"""),"specific_app_or_service-&gt;mcdonalds")</f>
        <v>specific_app_or_service-&gt;mcdonalds</v>
      </c>
      <c r="B36">
        <f>IFERROR(__xludf.DUMMYFUNCTION("""COMPUTED_VALUE"""),1.0)</f>
        <v>1</v>
      </c>
    </row>
    <row r="37">
      <c r="A37" t="str">
        <f>IFERROR(__xludf.DUMMYFUNCTION("""COMPUTED_VALUE"""),"specific_app_or_service-&gt;movies_anywhere")</f>
        <v>specific_app_or_service-&gt;movies_anywhere</v>
      </c>
      <c r="B37">
        <f>IFERROR(__xludf.DUMMYFUNCTION("""COMPUTED_VALUE"""),1.0)</f>
        <v>1</v>
      </c>
    </row>
    <row r="38">
      <c r="A38" t="str">
        <f>IFERROR(__xludf.DUMMYFUNCTION("""COMPUTED_VALUE"""),"specific_app_or_service-&gt;nest")</f>
        <v>specific_app_or_service-&gt;nest</v>
      </c>
      <c r="B38">
        <f>IFERROR(__xludf.DUMMYFUNCTION("""COMPUTED_VALUE"""),1.0)</f>
        <v>1</v>
      </c>
    </row>
    <row r="39">
      <c r="A39" t="str">
        <f>IFERROR(__xludf.DUMMYFUNCTION("""COMPUTED_VALUE"""),"specific_app_or_service-&gt;only_office")</f>
        <v>specific_app_or_service-&gt;only_office</v>
      </c>
      <c r="B39">
        <f>IFERROR(__xludf.DUMMYFUNCTION("""COMPUTED_VALUE"""),1.0)</f>
        <v>1</v>
      </c>
    </row>
    <row r="40">
      <c r="A40" t="str">
        <f>IFERROR(__xludf.DUMMYFUNCTION("""COMPUTED_VALUE"""),"specific_app_or_service-&gt;paypal")</f>
        <v>specific_app_or_service-&gt;paypal</v>
      </c>
      <c r="B40">
        <f>IFERROR(__xludf.DUMMYFUNCTION("""COMPUTED_VALUE"""),1.0)</f>
        <v>1</v>
      </c>
    </row>
    <row r="41">
      <c r="A41" t="str">
        <f>IFERROR(__xludf.DUMMYFUNCTION("""COMPUTED_VALUE"""),"specific_app_or_service-&gt;peloton")</f>
        <v>specific_app_or_service-&gt;peloton</v>
      </c>
      <c r="B41">
        <f>IFERROR(__xludf.DUMMYFUNCTION("""COMPUTED_VALUE"""),1.0)</f>
        <v>1</v>
      </c>
    </row>
    <row r="42">
      <c r="A42" t="str">
        <f>IFERROR(__xludf.DUMMYFUNCTION("""COMPUTED_VALUE"""),"specific_app_or_service-&gt;plex")</f>
        <v>specific_app_or_service-&gt;plex</v>
      </c>
      <c r="B42">
        <f>IFERROR(__xludf.DUMMYFUNCTION("""COMPUTED_VALUE"""),1.0)</f>
        <v>1</v>
      </c>
    </row>
    <row r="43">
      <c r="A43" t="str">
        <f>IFERROR(__xludf.DUMMYFUNCTION("""COMPUTED_VALUE"""),"specific_app_or_service-&gt;slack")</f>
        <v>specific_app_or_service-&gt;slack</v>
      </c>
      <c r="B43">
        <f>IFERROR(__xludf.DUMMYFUNCTION("""COMPUTED_VALUE"""),1.0)</f>
        <v>1</v>
      </c>
    </row>
    <row r="44">
      <c r="A44" t="str">
        <f>IFERROR(__xludf.DUMMYFUNCTION("""COMPUTED_VALUE"""),"specific_app_or_service-&gt;snapchat")</f>
        <v>specific_app_or_service-&gt;snapchat</v>
      </c>
      <c r="B44">
        <f>IFERROR(__xludf.DUMMYFUNCTION("""COMPUTED_VALUE"""),1.0)</f>
        <v>1</v>
      </c>
    </row>
    <row r="45">
      <c r="A45" t="str">
        <f>IFERROR(__xludf.DUMMYFUNCTION("""COMPUTED_VALUE"""),"specific_app_or_service-&gt;todoist")</f>
        <v>specific_app_or_service-&gt;todoist</v>
      </c>
      <c r="B45">
        <f>IFERROR(__xludf.DUMMYFUNCTION("""COMPUTED_VALUE"""),1.0)</f>
        <v>1</v>
      </c>
    </row>
    <row r="46">
      <c r="A46" t="str">
        <f>IFERROR(__xludf.DUMMYFUNCTION("""COMPUTED_VALUE"""),"specific_app_or_service-&gt;twitter")</f>
        <v>specific_app_or_service-&gt;twitter</v>
      </c>
      <c r="B46">
        <f>IFERROR(__xludf.DUMMYFUNCTION("""COMPUTED_VALUE"""),1.0)</f>
        <v>1</v>
      </c>
    </row>
    <row r="47">
      <c r="A47" t="str">
        <f>IFERROR(__xludf.DUMMYFUNCTION("""COMPUTED_VALUE"""),"specific_app_or_service-&gt;yelp")</f>
        <v>specific_app_or_service-&gt;yelp</v>
      </c>
      <c r="B47">
        <f>IFERROR(__xludf.DUMMYFUNCTION("""COMPUTED_VALUE"""),1.0)</f>
        <v>1</v>
      </c>
    </row>
    <row r="48">
      <c r="A48" t="str">
        <f>IFERROR(__xludf.DUMMYFUNCTION("""COMPUTED_VALUE"""),"specific_app_or_service-&gt;youtube")</f>
        <v>specific_app_or_service-&gt;youtube</v>
      </c>
      <c r="B48">
        <f>IFERROR(__xludf.DUMMYFUNCTION("""COMPUTED_VALUE"""),1.0)</f>
        <v>1</v>
      </c>
    </row>
    <row r="49">
      <c r="A49" t="str">
        <f>IFERROR(__xludf.DUMMYFUNCTION("""COMPUTED_VALUE"""),"specific_app_or_service-&gt;zoom")</f>
        <v>specific_app_or_service-&gt;zoom</v>
      </c>
      <c r="B49">
        <f>IFERROR(__xludf.DUMMYFUNCTION("""COMPUTED_VALUE"""),7.0)</f>
        <v>7</v>
      </c>
    </row>
    <row r="50">
      <c r="A50" t="str">
        <f>IFERROR(__xludf.DUMMYFUNCTION("""COMPUTED_VALUE"""),"utility")</f>
        <v>utility</v>
      </c>
      <c r="B50">
        <f>IFERROR(__xludf.DUMMYFUNCTION("""COMPUTED_VALUE"""),45.0)</f>
        <v>45</v>
      </c>
    </row>
    <row r="51">
      <c r="A51" t="str">
        <f>IFERROR(__xludf.DUMMYFUNCTION("""COMPUTED_VALUE"""),"utility-&gt;edit_pdf")</f>
        <v>utility-&gt;edit_pdf</v>
      </c>
      <c r="B51">
        <f>IFERROR(__xludf.DUMMYFUNCTION("""COMPUTED_VALUE"""),2.0)</f>
        <v>2</v>
      </c>
    </row>
    <row r="52">
      <c r="A52" t="str">
        <f>IFERROR(__xludf.DUMMYFUNCTION("""COMPUTED_VALUE"""),"utility-&gt;email")</f>
        <v>utility-&gt;email</v>
      </c>
      <c r="B52">
        <f>IFERROR(__xludf.DUMMYFUNCTION("""COMPUTED_VALUE"""),3.0)</f>
        <v>3</v>
      </c>
    </row>
    <row r="53">
      <c r="A53" t="str">
        <f>IFERROR(__xludf.DUMMYFUNCTION("""COMPUTED_VALUE"""),"utility-&gt;file_transfer")</f>
        <v>utility-&gt;file_transfer</v>
      </c>
      <c r="B53">
        <f>IFERROR(__xludf.DUMMYFUNCTION("""COMPUTED_VALUE"""),6.0)</f>
        <v>6</v>
      </c>
    </row>
    <row r="54">
      <c r="A54" t="str">
        <f>IFERROR(__xludf.DUMMYFUNCTION("""COMPUTED_VALUE"""),"utility-&gt;install")</f>
        <v>utility-&gt;install</v>
      </c>
      <c r="B54">
        <f>IFERROR(__xludf.DUMMYFUNCTION("""COMPUTED_VALUE"""),1.0)</f>
        <v>1</v>
      </c>
    </row>
    <row r="55">
      <c r="A55" t="str">
        <f>IFERROR(__xludf.DUMMYFUNCTION("""COMPUTED_VALUE"""),"utility-&gt;manage_apps")</f>
        <v>utility-&gt;manage_apps</v>
      </c>
      <c r="B55">
        <f>IFERROR(__xludf.DUMMYFUNCTION("""COMPUTED_VALUE"""),1.0)</f>
        <v>1</v>
      </c>
    </row>
    <row r="56">
      <c r="A56" t="str">
        <f>IFERROR(__xludf.DUMMYFUNCTION("""COMPUTED_VALUE"""),"utility-&gt;scan_documents")</f>
        <v>utility-&gt;scan_documents</v>
      </c>
      <c r="B56">
        <f>IFERROR(__xludf.DUMMYFUNCTION("""COMPUTED_VALUE"""),3.0)</f>
        <v>3</v>
      </c>
    </row>
    <row r="57">
      <c r="A57" t="str">
        <f>IFERROR(__xludf.DUMMYFUNCTION("""COMPUTED_VALUE"""),"utility-&gt;screenshot")</f>
        <v>utility-&gt;screenshot</v>
      </c>
      <c r="B57">
        <f>IFERROR(__xludf.DUMMYFUNCTION("""COMPUTED_VALUE"""),2.0)</f>
        <v>2</v>
      </c>
    </row>
    <row r="58">
      <c r="A58" t="str">
        <f>IFERROR(__xludf.DUMMYFUNCTION("""COMPUTED_VALUE"""),"utility-&gt;synch_info")</f>
        <v>utility-&gt;synch_info</v>
      </c>
      <c r="B58">
        <f>IFERROR(__xludf.DUMMYFUNCTION("""COMPUTED_VALUE"""),13.0)</f>
        <v>13</v>
      </c>
    </row>
    <row r="59">
      <c r="A59" t="str">
        <f>IFERROR(__xludf.DUMMYFUNCTION("""COMPUTED_VALUE"""),"utility-&gt;webcam")</f>
        <v>utility-&gt;webcam</v>
      </c>
      <c r="B59">
        <f>IFERROR(__xludf.DUMMYFUNCTION("""COMPUTED_VALUE"""),1.0)</f>
        <v>1</v>
      </c>
    </row>
    <row r="60">
      <c r="A60" t="str">
        <f>IFERROR(__xludf.DUMMYFUNCTION("""COMPUTED_VALUE"""),"utility-&gt;zip_extractor")</f>
        <v>utility-&gt;zip_extractor</v>
      </c>
      <c r="B60">
        <f>IFERROR(__xludf.DUMMYFUNCTION("""COMPUTED_VALUE"""),1.0)</f>
        <v>1</v>
      </c>
    </row>
    <row r="61">
      <c r="A61" t="str">
        <f>IFERROR(__xludf.DUMMYFUNCTION("""COMPUTED_VALUE"""),"work_related")</f>
        <v>work_related</v>
      </c>
      <c r="B61">
        <f>IFERROR(__xludf.DUMMYFUNCTION("""COMPUTED_VALUE"""),4.0)</f>
        <v>4</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4" width="26.0"/>
    <col customWidth="1" min="5" max="10" width="30.29"/>
  </cols>
  <sheetData>
    <row r="1">
      <c r="A1" s="47" t="str">
        <f>IFERROR(__xludf.DUMMYFUNCTION("QUERY('All Responses'!2:998,""select A,E"")"),"Response ID")</f>
        <v>Response ID</v>
      </c>
      <c r="B1" s="17" t="str">
        <f>IFERROR(__xludf.DUMMYFUNCTION("""COMPUTED_VALUE"""),"google_recall_app_yes_purpose")</f>
        <v>google_recall_app_yes_purpose</v>
      </c>
      <c r="C1" s="17" t="s">
        <v>1399</v>
      </c>
      <c r="D1" s="17" t="s">
        <v>1400</v>
      </c>
      <c r="E1" s="17" t="s">
        <v>1401</v>
      </c>
      <c r="F1" s="17" t="s">
        <v>1402</v>
      </c>
      <c r="G1" s="17" t="s">
        <v>1403</v>
      </c>
      <c r="H1" s="17" t="s">
        <v>1404</v>
      </c>
      <c r="I1" s="17" t="s">
        <v>1405</v>
      </c>
      <c r="J1" s="17" t="s">
        <v>1406</v>
      </c>
    </row>
    <row r="2">
      <c r="A2" s="48">
        <f>IFERROR(__xludf.DUMMYFUNCTION("""COMPUTED_VALUE"""),1.0)</f>
        <v>1</v>
      </c>
      <c r="B2" s="19"/>
      <c r="C2" s="46"/>
      <c r="D2" s="45"/>
      <c r="E2" s="46"/>
      <c r="F2" s="3"/>
      <c r="G2" s="3"/>
      <c r="H2" s="12"/>
      <c r="I2" s="12"/>
      <c r="J2" s="12"/>
    </row>
    <row r="3">
      <c r="A3" s="48">
        <f>IFERROR(__xludf.DUMMYFUNCTION("""COMPUTED_VALUE"""),2.0)</f>
        <v>2</v>
      </c>
      <c r="B3" s="19"/>
      <c r="C3" s="46"/>
      <c r="D3" s="3"/>
      <c r="E3" s="3"/>
      <c r="F3" s="3"/>
      <c r="G3" s="12"/>
      <c r="H3" s="12"/>
      <c r="I3" s="12"/>
      <c r="J3" s="12"/>
    </row>
    <row r="4">
      <c r="A4" s="48">
        <f>IFERROR(__xludf.DUMMYFUNCTION("""COMPUTED_VALUE"""),3.0)</f>
        <v>3</v>
      </c>
      <c r="B4" s="19"/>
      <c r="C4" s="46"/>
      <c r="D4" s="3"/>
      <c r="E4" s="3"/>
      <c r="F4" s="3"/>
      <c r="G4" s="12"/>
      <c r="H4" s="12"/>
      <c r="I4" s="12"/>
      <c r="J4" s="12"/>
    </row>
    <row r="5">
      <c r="A5" s="48">
        <f>IFERROR(__xludf.DUMMYFUNCTION("""COMPUTED_VALUE"""),4.0)</f>
        <v>4</v>
      </c>
      <c r="B5" s="19" t="str">
        <f>IFERROR(__xludf.DUMMYFUNCTION("""COMPUTED_VALUE"""),"To see my gmail name")</f>
        <v>To see my gmail name</v>
      </c>
      <c r="C5" t="s">
        <v>1643</v>
      </c>
      <c r="D5" s="46"/>
      <c r="E5" s="3"/>
      <c r="F5" s="3"/>
      <c r="G5" s="3"/>
      <c r="H5" s="12"/>
      <c r="I5" s="12"/>
      <c r="J5" s="12"/>
    </row>
    <row r="6">
      <c r="A6" s="48">
        <f>IFERROR(__xludf.DUMMYFUNCTION("""COMPUTED_VALUE"""),5.0)</f>
        <v>5</v>
      </c>
      <c r="B6" s="19" t="str">
        <f>IFERROR(__xludf.DUMMYFUNCTION("""COMPUTED_VALUE"""),"Making a sign-in process easier.")</f>
        <v>Making a sign-in process easier.</v>
      </c>
      <c r="C6" t="s">
        <v>1644</v>
      </c>
      <c r="D6" s="12"/>
      <c r="E6" s="12"/>
      <c r="F6" s="12"/>
      <c r="G6" s="12"/>
      <c r="H6" s="12"/>
      <c r="I6" s="12"/>
      <c r="J6" s="12"/>
    </row>
    <row r="7">
      <c r="A7" s="48">
        <f>IFERROR(__xludf.DUMMYFUNCTION("""COMPUTED_VALUE"""),10.0)</f>
        <v>10</v>
      </c>
      <c r="B7" s="19" t="str">
        <f>IFERROR(__xludf.DUMMYFUNCTION("""COMPUTED_VALUE"""),"I allowed that access in case I wanted to easily connect with my contacts through the app.")</f>
        <v>I allowed that access in case I wanted to easily connect with my contacts through the app.</v>
      </c>
      <c r="C7" t="s">
        <v>1645</v>
      </c>
      <c r="D7" t="s">
        <v>1598</v>
      </c>
      <c r="E7" s="3"/>
      <c r="F7" s="3"/>
      <c r="G7" s="3"/>
      <c r="H7" s="3"/>
      <c r="I7" s="12"/>
      <c r="J7" s="12"/>
    </row>
    <row r="8">
      <c r="A8" s="48">
        <f>IFERROR(__xludf.DUMMYFUNCTION("""COMPUTED_VALUE"""),12.0)</f>
        <v>12</v>
      </c>
      <c r="B8" s="19"/>
      <c r="C8" s="45"/>
      <c r="D8" s="45"/>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t="str">
        <f>IFERROR(__xludf.DUMMYFUNCTION("""COMPUTED_VALUE"""),"todoist task manager")</f>
        <v>todoist task manager</v>
      </c>
      <c r="C10" t="s">
        <v>1646</v>
      </c>
      <c r="D10" t="s">
        <v>1647</v>
      </c>
      <c r="E10" s="3"/>
      <c r="G10" s="12"/>
      <c r="H10" s="12"/>
      <c r="I10" s="12"/>
      <c r="J10" s="12"/>
    </row>
    <row r="11">
      <c r="A11" s="48">
        <f>IFERROR(__xludf.DUMMYFUNCTION("""COMPUTED_VALUE"""),16.0)</f>
        <v>16</v>
      </c>
      <c r="B11" s="19" t="str">
        <f>IFERROR(__xludf.DUMMYFUNCTION("""COMPUTED_VALUE"""),"To use Twitter for notifications")</f>
        <v>To use Twitter for notifications</v>
      </c>
      <c r="C11" t="s">
        <v>1646</v>
      </c>
      <c r="D11" t="s">
        <v>1648</v>
      </c>
      <c r="E11" t="s">
        <v>1649</v>
      </c>
      <c r="F11" s="12"/>
      <c r="G11" s="12"/>
      <c r="H11" s="12"/>
      <c r="I11" s="12"/>
      <c r="J11" s="12"/>
    </row>
    <row r="12">
      <c r="A12" s="48">
        <f>IFERROR(__xludf.DUMMYFUNCTION("""COMPUTED_VALUE"""),19.0)</f>
        <v>19</v>
      </c>
      <c r="B12" s="19"/>
      <c r="C12" s="46"/>
      <c r="D12" s="3"/>
      <c r="E12" s="12"/>
      <c r="F12" s="12"/>
      <c r="G12" s="12"/>
      <c r="H12" s="12"/>
      <c r="I12" s="12"/>
      <c r="J12" s="12"/>
    </row>
    <row r="13">
      <c r="A13" s="48">
        <f>IFERROR(__xludf.DUMMYFUNCTION("""COMPUTED_VALUE"""),21.0)</f>
        <v>21</v>
      </c>
      <c r="B13" s="19" t="str">
        <f>IFERROR(__xludf.DUMMYFUNCTION("""COMPUTED_VALUE"""),"Using my contacts and calendar information")</f>
        <v>Using my contacts and calendar information</v>
      </c>
      <c r="C13" t="s">
        <v>1645</v>
      </c>
      <c r="D13" t="s">
        <v>1650</v>
      </c>
      <c r="E13" s="12"/>
      <c r="F13" s="12"/>
      <c r="G13" s="12"/>
      <c r="H13" s="12"/>
      <c r="I13" s="12"/>
      <c r="J13" s="12"/>
    </row>
    <row r="14">
      <c r="A14" s="48">
        <f>IFERROR(__xludf.DUMMYFUNCTION("""COMPUTED_VALUE"""),22.0)</f>
        <v>22</v>
      </c>
      <c r="B14" s="19" t="str">
        <f>IFERROR(__xludf.DUMMYFUNCTION("""COMPUTED_VALUE"""),"shopping")</f>
        <v>shopping</v>
      </c>
      <c r="C14" t="s">
        <v>66</v>
      </c>
      <c r="D14" s="3"/>
      <c r="E14" s="23"/>
      <c r="F14" s="51"/>
      <c r="G14" s="52"/>
      <c r="H14" s="12"/>
      <c r="I14" s="12"/>
      <c r="J14" s="12"/>
    </row>
    <row r="15">
      <c r="A15" s="48">
        <f>IFERROR(__xludf.DUMMYFUNCTION("""COMPUTED_VALUE"""),24.0)</f>
        <v>24</v>
      </c>
      <c r="B15" s="19" t="str">
        <f>IFERROR(__xludf.DUMMYFUNCTION("""COMPUTED_VALUE"""),"It was required")</f>
        <v>It was required</v>
      </c>
      <c r="C15" t="s">
        <v>1627</v>
      </c>
      <c r="D15" s="3"/>
      <c r="E15" s="12"/>
      <c r="F15" s="12"/>
      <c r="G15" s="12"/>
      <c r="H15" s="12"/>
      <c r="I15" s="12"/>
      <c r="J15" s="12"/>
    </row>
    <row r="16">
      <c r="A16" s="48">
        <f>IFERROR(__xludf.DUMMYFUNCTION("""COMPUTED_VALUE"""),25.0)</f>
        <v>25</v>
      </c>
      <c r="B16" s="19" t="str">
        <f>IFERROR(__xludf.DUMMYFUNCTION("""COMPUTED_VALUE"""),"I was adding an event to my Google calendar")</f>
        <v>I was adding an event to my Google calendar</v>
      </c>
      <c r="C16" t="s">
        <v>1650</v>
      </c>
      <c r="D16" t="s">
        <v>1646</v>
      </c>
      <c r="E16" s="3"/>
      <c r="F16" s="12"/>
      <c r="G16" s="12"/>
      <c r="H16" s="12"/>
      <c r="I16" s="12"/>
      <c r="J16" s="12"/>
    </row>
    <row r="17">
      <c r="A17" s="48">
        <f>IFERROR(__xludf.DUMMYFUNCTION("""COMPUTED_VALUE"""),26.0)</f>
        <v>26</v>
      </c>
      <c r="B17" s="19"/>
      <c r="C17" s="46"/>
      <c r="D17" s="26"/>
      <c r="E17" s="26"/>
      <c r="F17" s="12"/>
      <c r="G17" s="12"/>
      <c r="H17" s="12"/>
      <c r="I17" s="12"/>
      <c r="J17" s="12"/>
    </row>
    <row r="18">
      <c r="A18" s="48">
        <f>IFERROR(__xludf.DUMMYFUNCTION("""COMPUTED_VALUE"""),28.0)</f>
        <v>28</v>
      </c>
      <c r="B18" s="19" t="str">
        <f>IFERROR(__xludf.DUMMYFUNCTION("""COMPUTED_VALUE"""),"It was as part of my work for a job that i had and the connection allowed me to sync my organizations calendar and contacts with my email to minimize communication lag.")</f>
        <v>It was as part of my work for a job that i had and the connection allowed me to sync my organizations calendar and contacts with my email to minimize communication lag.</v>
      </c>
      <c r="C18" t="s">
        <v>1651</v>
      </c>
      <c r="D18" t="s">
        <v>1627</v>
      </c>
      <c r="E18" t="s">
        <v>1652</v>
      </c>
      <c r="F18" t="s">
        <v>1653</v>
      </c>
      <c r="G18" t="s">
        <v>1650</v>
      </c>
      <c r="H18" t="s">
        <v>1645</v>
      </c>
      <c r="I18" t="s">
        <v>1598</v>
      </c>
      <c r="J18" s="12"/>
    </row>
    <row r="19">
      <c r="A19" s="48">
        <f>IFERROR(__xludf.DUMMYFUNCTION("""COMPUTED_VALUE"""),29.0)</f>
        <v>29</v>
      </c>
      <c r="B19" s="19" t="str">
        <f>IFERROR(__xludf.DUMMYFUNCTION("""COMPUTED_VALUE"""),"just to get around having to create a new account for said app")</f>
        <v>just to get around having to create a new account for said app</v>
      </c>
      <c r="C19" t="s">
        <v>1644</v>
      </c>
      <c r="D19" t="s">
        <v>1646</v>
      </c>
      <c r="E19" s="3"/>
      <c r="F19" s="12"/>
      <c r="G19" s="12"/>
      <c r="H19" s="12"/>
      <c r="I19" s="12"/>
      <c r="J19" s="12"/>
    </row>
    <row r="20">
      <c r="A20" s="48">
        <f>IFERROR(__xludf.DUMMYFUNCTION("""COMPUTED_VALUE"""),30.0)</f>
        <v>30</v>
      </c>
      <c r="B20" s="19" t="str">
        <f>IFERROR(__xludf.DUMMYFUNCTION("""COMPUTED_VALUE"""),"To see my personal info such as my full name.")</f>
        <v>To see my personal info such as my full name.</v>
      </c>
      <c r="C20" t="s">
        <v>1643</v>
      </c>
      <c r="D20" s="3"/>
      <c r="E20" s="3"/>
      <c r="F20" s="12"/>
      <c r="G20" s="12"/>
      <c r="H20" s="12"/>
      <c r="I20" s="12"/>
      <c r="J20" s="12"/>
    </row>
    <row r="21">
      <c r="A21" s="48">
        <f>IFERROR(__xludf.DUMMYFUNCTION("""COMPUTED_VALUE"""),31.0)</f>
        <v>31</v>
      </c>
      <c r="B21" s="19"/>
      <c r="C21" s="46"/>
      <c r="D21" s="3"/>
      <c r="E21" s="12"/>
      <c r="F21" s="12"/>
      <c r="G21" s="12"/>
      <c r="H21" s="12"/>
      <c r="I21" s="12"/>
      <c r="J21" s="12"/>
    </row>
    <row r="22">
      <c r="A22" s="48">
        <f>IFERROR(__xludf.DUMMYFUNCTION("""COMPUTED_VALUE"""),32.0)</f>
        <v>32</v>
      </c>
      <c r="B22" s="19"/>
      <c r="C22" s="3"/>
      <c r="D22" s="26"/>
      <c r="E22" s="3"/>
      <c r="F22" s="3"/>
      <c r="G22" s="12"/>
      <c r="H22" s="12"/>
      <c r="I22" s="12"/>
      <c r="J22" s="12"/>
    </row>
    <row r="23">
      <c r="A23" s="48">
        <f>IFERROR(__xludf.DUMMYFUNCTION("""COMPUTED_VALUE"""),35.0)</f>
        <v>35</v>
      </c>
      <c r="B23" s="19" t="str">
        <f>IFERROR(__xludf.DUMMYFUNCTION("""COMPUTED_VALUE"""),"It was for recording a work meeting.")</f>
        <v>It was for recording a work meeting.</v>
      </c>
      <c r="C23" t="s">
        <v>1652</v>
      </c>
      <c r="D23" t="s">
        <v>1651</v>
      </c>
      <c r="E23" s="3"/>
      <c r="F23" s="12"/>
      <c r="G23" s="12"/>
      <c r="H23" s="12"/>
      <c r="I23" s="12"/>
      <c r="J23" s="12"/>
    </row>
    <row r="24">
      <c r="A24" s="48">
        <f>IFERROR(__xludf.DUMMYFUNCTION("""COMPUTED_VALUE"""),36.0)</f>
        <v>36</v>
      </c>
      <c r="B24" s="19" t="str">
        <f>IFERROR(__xludf.DUMMYFUNCTION("""COMPUTED_VALUE"""),"Zoom, to allow it to add meetings to my calendar")</f>
        <v>Zoom, to allow it to add meetings to my calendar</v>
      </c>
      <c r="C24" t="s">
        <v>1646</v>
      </c>
      <c r="D24" t="s">
        <v>1654</v>
      </c>
      <c r="E24" t="s">
        <v>1650</v>
      </c>
      <c r="F24" s="12"/>
      <c r="G24" s="12"/>
      <c r="H24" s="12"/>
      <c r="I24" s="12"/>
      <c r="J24" s="12"/>
    </row>
    <row r="25">
      <c r="A25" s="48">
        <f>IFERROR(__xludf.DUMMYFUNCTION("""COMPUTED_VALUE"""),39.0)</f>
        <v>39</v>
      </c>
      <c r="B25" s="19"/>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t="str">
        <f>IFERROR(__xludf.DUMMYFUNCTION("""COMPUTED_VALUE"""),"Peloton")</f>
        <v>Peloton</v>
      </c>
      <c r="C27" t="s">
        <v>1646</v>
      </c>
      <c r="D27" t="s">
        <v>1655</v>
      </c>
      <c r="E27" s="12"/>
      <c r="F27" s="12"/>
      <c r="G27" s="12"/>
      <c r="H27" s="12"/>
      <c r="I27" s="12"/>
      <c r="J27" s="12"/>
    </row>
    <row r="28">
      <c r="A28" s="48">
        <f>IFERROR(__xludf.DUMMYFUNCTION("""COMPUTED_VALUE"""),46.0)</f>
        <v>46</v>
      </c>
      <c r="B28" s="19" t="str">
        <f>IFERROR(__xludf.DUMMYFUNCTION("""COMPUTED_VALUE"""),"So that the app can get my information directly without myself putting the information again.")</f>
        <v>So that the app can get my information directly without myself putting the information again.</v>
      </c>
      <c r="C28" t="s">
        <v>1643</v>
      </c>
      <c r="D28" t="s">
        <v>1598</v>
      </c>
      <c r="E28" s="26"/>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t="str">
        <f>IFERROR(__xludf.DUMMYFUNCTION("""COMPUTED_VALUE"""),"to be able to use the app")</f>
        <v>to be able to use the app</v>
      </c>
      <c r="C30" t="s">
        <v>1627</v>
      </c>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t="str">
        <f>IFERROR(__xludf.DUMMYFUNCTION("""COMPUTED_VALUE"""),"Ease of use")</f>
        <v>Ease of use</v>
      </c>
      <c r="C33" t="s">
        <v>1598</v>
      </c>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t="str">
        <f>IFERROR(__xludf.DUMMYFUNCTION("""COMPUTED_VALUE"""),"Amazon Prime")</f>
        <v>Amazon Prime</v>
      </c>
      <c r="C35" t="s">
        <v>1646</v>
      </c>
      <c r="D35" s="12"/>
      <c r="E35" s="12"/>
      <c r="F35" s="12"/>
      <c r="G35" s="12"/>
      <c r="H35" s="12"/>
      <c r="I35" s="12"/>
      <c r="J35" s="12"/>
    </row>
    <row r="36">
      <c r="A36">
        <f>IFERROR(__xludf.DUMMYFUNCTION("""COMPUTED_VALUE"""),58.0)</f>
        <v>58</v>
      </c>
      <c r="B36" s="12" t="str">
        <f>IFERROR(__xludf.DUMMYFUNCTION("""COMPUTED_VALUE"""),"I gave a ringtone app access to my contacts and messages so that it can change the notification/ringtone sounds.")</f>
        <v>I gave a ringtone app access to my contacts and messages so that it can change the notification/ringtone sounds.</v>
      </c>
      <c r="C36" t="s">
        <v>1652</v>
      </c>
      <c r="D36" t="s">
        <v>1645</v>
      </c>
      <c r="E36" s="12"/>
      <c r="F36" s="12"/>
      <c r="G36" s="12"/>
      <c r="H36" s="12"/>
      <c r="I36" s="12"/>
      <c r="J36" s="12"/>
    </row>
    <row r="37">
      <c r="A37">
        <f>IFERROR(__xludf.DUMMYFUNCTION("""COMPUTED_VALUE"""),59.0)</f>
        <v>59</v>
      </c>
      <c r="B37" s="12" t="str">
        <f>IFERROR(__xludf.DUMMYFUNCTION("""COMPUTED_VALUE"""),"To transfer files")</f>
        <v>To transfer files</v>
      </c>
      <c r="C37" t="s">
        <v>1652</v>
      </c>
      <c r="D37" t="s">
        <v>1657</v>
      </c>
      <c r="E37" s="3"/>
      <c r="F37" s="3"/>
      <c r="G37" s="3"/>
      <c r="H37" s="12"/>
      <c r="I37" s="12"/>
      <c r="J37" s="12"/>
    </row>
    <row r="38">
      <c r="A38">
        <f>IFERROR(__xludf.DUMMYFUNCTION("""COMPUTED_VALUE"""),60.0)</f>
        <v>60</v>
      </c>
      <c r="B38" s="12" t="str">
        <f>IFERROR(__xludf.DUMMYFUNCTION("""COMPUTED_VALUE"""),"accessing the third party app")</f>
        <v>accessing the third party app</v>
      </c>
      <c r="C38" t="s">
        <v>1627</v>
      </c>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26"/>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t="str">
        <f>IFERROR(__xludf.DUMMYFUNCTION("""COMPUTED_VALUE"""),"I allowed an airline app to set up events to notify me of my flights in the future.")</f>
        <v>I allowed an airline app to set up events to notify me of my flights in the future.</v>
      </c>
      <c r="C46" t="s">
        <v>1646</v>
      </c>
      <c r="D46" t="s">
        <v>1649</v>
      </c>
      <c r="E46" t="s">
        <v>1650</v>
      </c>
      <c r="F46" s="12"/>
      <c r="G46" s="12"/>
      <c r="H46" s="12"/>
      <c r="I46" s="12"/>
      <c r="J46" s="12"/>
    </row>
    <row r="47">
      <c r="A47">
        <f>IFERROR(__xludf.DUMMYFUNCTION("""COMPUTED_VALUE"""),73.0)</f>
        <v>73</v>
      </c>
      <c r="B47" s="12" t="str">
        <f>IFERROR(__xludf.DUMMYFUNCTION("""COMPUTED_VALUE"""),"To install an app")</f>
        <v>To install an app</v>
      </c>
      <c r="C47" t="s">
        <v>1627</v>
      </c>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t="str">
        <f>IFERROR(__xludf.DUMMYFUNCTION("""COMPUTED_VALUE"""),"To enable specific features of the app or service")</f>
        <v>To enable specific features of the app or service</v>
      </c>
      <c r="C49" t="s">
        <v>1627</v>
      </c>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t="str">
        <f>IFERROR(__xludf.DUMMYFUNCTION("""COMPUTED_VALUE"""),"To allow access to the calendar and make setting meetings more convenient for me.")</f>
        <v>To allow access to the calendar and make setting meetings more convenient for me.</v>
      </c>
      <c r="C59" t="s">
        <v>1650</v>
      </c>
      <c r="D59" t="s">
        <v>1598</v>
      </c>
      <c r="E59" s="12"/>
      <c r="F59" s="12"/>
      <c r="G59" s="12"/>
      <c r="H59" s="12"/>
      <c r="I59" s="12"/>
      <c r="J59" s="12"/>
    </row>
    <row r="60">
      <c r="A60">
        <f>IFERROR(__xludf.DUMMYFUNCTION("""COMPUTED_VALUE"""),95.0)</f>
        <v>95</v>
      </c>
      <c r="B60" s="12" t="str">
        <f>IFERROR(__xludf.DUMMYFUNCTION("""COMPUTED_VALUE"""),"Gosh.. ..I'm trying to recall!
 This isn't something I invoke very often, ya know — I'm not, like, a traditional techie.
 I'm an almost-40 year old who, through most of my life, basically had to go 'without' the more luxurious aspects of technology.
 Acco"&amp;"rdingly, I've largely-eschewed immersing myself too deeply with these things.")</f>
        <v>Gosh.. ..I'm trying to recall!
 This isn't something I invoke very often, ya know — I'm not, like, a traditional techie.
 I'm an almost-40 year old who, through most of my life, basically had to go 'without' the more luxurious aspects of technology.
 Accordingly, I've largely-eschewed immersing myself too deeply with these things.</v>
      </c>
      <c r="C60" t="s">
        <v>1432</v>
      </c>
      <c r="D60" s="3"/>
      <c r="E60" s="3"/>
      <c r="F60" s="3"/>
      <c r="G60" s="3"/>
      <c r="H60" s="12"/>
      <c r="I60" s="12"/>
      <c r="J60" s="12"/>
    </row>
    <row r="61">
      <c r="A61">
        <f>IFERROR(__xludf.DUMMYFUNCTION("""COMPUTED_VALUE"""),97.0)</f>
        <v>97</v>
      </c>
      <c r="B61" s="12"/>
      <c r="C61" s="26"/>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t="str">
        <f>IFERROR(__xludf.DUMMYFUNCTION("""COMPUTED_VALUE"""),"youtube")</f>
        <v>youtube</v>
      </c>
      <c r="C63" t="s">
        <v>1646</v>
      </c>
      <c r="D63" t="s">
        <v>1659</v>
      </c>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t="str">
        <f>IFERROR(__xludf.DUMMYFUNCTION("""COMPUTED_VALUE"""),"Its purpose was to collect data.")</f>
        <v>Its purpose was to collect data.</v>
      </c>
      <c r="C66" t="s">
        <v>1643</v>
      </c>
      <c r="D66" s="3"/>
      <c r="F66" s="12"/>
      <c r="G66" s="12"/>
      <c r="H66" s="12"/>
      <c r="I66" s="12"/>
      <c r="J66" s="12"/>
    </row>
    <row r="67">
      <c r="A67">
        <f>IFERROR(__xludf.DUMMYFUNCTION("""COMPUTED_VALUE"""),104.0)</f>
        <v>104</v>
      </c>
      <c r="B67" s="12" t="str">
        <f>IFERROR(__xludf.DUMMYFUNCTION("""COMPUTED_VALUE"""),"Calendly - for accessing google calendar and reminder.")</f>
        <v>Calendly - for accessing google calendar and reminder.</v>
      </c>
      <c r="C67" t="s">
        <v>1646</v>
      </c>
      <c r="D67" t="s">
        <v>1660</v>
      </c>
      <c r="E67" t="s">
        <v>1650</v>
      </c>
      <c r="F67" t="s">
        <v>1649</v>
      </c>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t="str">
        <f>IFERROR(__xludf.DUMMYFUNCTION("""COMPUTED_VALUE"""),"I wanted to share access to a class calendar.")</f>
        <v>I wanted to share access to a class calendar.</v>
      </c>
      <c r="C70" t="s">
        <v>1650</v>
      </c>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t="str">
        <f>IFERROR(__xludf.DUMMYFUNCTION("""COMPUTED_VALUE"""),"An extension for google docs that builds bibliographies")</f>
        <v>An extension for google docs that builds bibliographies</v>
      </c>
      <c r="C72" t="s">
        <v>1646</v>
      </c>
      <c r="D72" t="s">
        <v>1661</v>
      </c>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IFERROR(__xludf.DUMMYFUNCTION("""COMPUTED_VALUE"""),"It is so I can use the service as it required a login.")</f>
        <v>It is so I can use the service as it required a login.</v>
      </c>
      <c r="C76" t="s">
        <v>1644</v>
      </c>
      <c r="D76" s="3"/>
      <c r="E76" s="3"/>
      <c r="F76" s="12"/>
      <c r="G76" s="12"/>
      <c r="H76" s="12"/>
      <c r="I76" s="12"/>
      <c r="J76" s="12"/>
    </row>
    <row r="77">
      <c r="A77">
        <f>IFERROR(__xludf.DUMMYFUNCTION("""COMPUTED_VALUE"""),117.0)</f>
        <v>117</v>
      </c>
      <c r="B77" s="12" t="str">
        <f>IFERROR(__xludf.DUMMYFUNCTION("""COMPUTED_VALUE"""),"Usually it's just so I can access whatever free information they're forcing me to have an account for.")</f>
        <v>Usually it's just so I can access whatever free information they're forcing me to have an account for.</v>
      </c>
      <c r="C77" t="s">
        <v>1644</v>
      </c>
      <c r="D77" t="s">
        <v>1627</v>
      </c>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t="str">
        <f>IFERROR(__xludf.DUMMYFUNCTION("""COMPUTED_VALUE"""),"Games want access to Google Play and sometimes contacts.")</f>
        <v>Games want access to Google Play and sometimes contacts.</v>
      </c>
      <c r="C79" t="s">
        <v>1662</v>
      </c>
      <c r="D79" t="s">
        <v>1645</v>
      </c>
      <c r="E79" s="12"/>
      <c r="F79" s="12"/>
      <c r="G79" s="12"/>
      <c r="H79" s="12"/>
      <c r="I79" s="12"/>
      <c r="J79" s="12"/>
    </row>
    <row r="80">
      <c r="A80">
        <f>IFERROR(__xludf.DUMMYFUNCTION("""COMPUTED_VALUE"""),124.0)</f>
        <v>124</v>
      </c>
      <c r="B80" s="12" t="str">
        <f>IFERROR(__xludf.DUMMYFUNCTION("""COMPUTED_VALUE"""),"I was in a hurry")</f>
        <v>I was in a hurry</v>
      </c>
      <c r="C80" t="s">
        <v>1598</v>
      </c>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t="str">
        <f>IFERROR(__xludf.DUMMYFUNCTION("""COMPUTED_VALUE"""),"to allow it to run properly")</f>
        <v>to allow it to run properly</v>
      </c>
      <c r="C82" t="s">
        <v>1627</v>
      </c>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t="str">
        <f>IFERROR(__xludf.DUMMYFUNCTION("""COMPUTED_VALUE"""),"The purpose was for it to set up a reminder for me")</f>
        <v>The purpose was for it to set up a reminder for me</v>
      </c>
      <c r="C85" t="s">
        <v>1649</v>
      </c>
      <c r="D85" s="3"/>
      <c r="E85" s="3"/>
      <c r="F85" s="12"/>
      <c r="G85" s="12"/>
      <c r="H85" s="12"/>
      <c r="I85" s="12"/>
      <c r="J85" s="12"/>
    </row>
    <row r="86">
      <c r="A86">
        <f>IFERROR(__xludf.DUMMYFUNCTION("""COMPUTED_VALUE"""),130.0)</f>
        <v>130</v>
      </c>
      <c r="B86" s="12" t="str">
        <f>IFERROR(__xludf.DUMMYFUNCTION("""COMPUTED_VALUE"""),"I allowed a third-party app to access my calendar information for a work function.")</f>
        <v>I allowed a third-party app to access my calendar information for a work function.</v>
      </c>
      <c r="C86" t="s">
        <v>1650</v>
      </c>
      <c r="D86" t="s">
        <v>1651</v>
      </c>
      <c r="E86" s="3"/>
      <c r="F86" s="3"/>
      <c r="G86" s="3"/>
      <c r="H86" s="12"/>
      <c r="I86" s="12"/>
      <c r="J86" s="12"/>
    </row>
    <row r="87">
      <c r="A87">
        <f>IFERROR(__xludf.DUMMYFUNCTION("""COMPUTED_VALUE"""),132.0)</f>
        <v>132</v>
      </c>
      <c r="B87" s="12" t="str">
        <f>IFERROR(__xludf.DUMMYFUNCTION("""COMPUTED_VALUE"""),"I believe it was to use a receipt saving/tracking app.")</f>
        <v>I believe it was to use a receipt saving/tracking app.</v>
      </c>
      <c r="C87" t="s">
        <v>1652</v>
      </c>
      <c r="D87" t="s">
        <v>1664</v>
      </c>
      <c r="E87" s="12"/>
      <c r="F87" s="12"/>
      <c r="G87" s="12"/>
      <c r="H87" s="12"/>
      <c r="I87" s="12"/>
      <c r="J87" s="12"/>
    </row>
    <row r="88">
      <c r="A88">
        <f>IFERROR(__xludf.DUMMYFUNCTION("""COMPUTED_VALUE"""),135.0)</f>
        <v>135</v>
      </c>
      <c r="B88" s="12" t="str">
        <f>IFERROR(__xludf.DUMMYFUNCTION("""COMPUTED_VALUE"""),"security purpose")</f>
        <v>security purpose</v>
      </c>
      <c r="C88" t="s">
        <v>65</v>
      </c>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t="str">
        <f>IFERROR(__xludf.DUMMYFUNCTION("""COMPUTED_VALUE"""),"I wanted to use it to sign in to order groceries")</f>
        <v>I wanted to use it to sign in to order groceries</v>
      </c>
      <c r="C94" t="s">
        <v>1644</v>
      </c>
      <c r="D94" t="s">
        <v>66</v>
      </c>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t="str">
        <f>IFERROR(__xludf.DUMMYFUNCTION("""COMPUTED_VALUE"""),"I don't remember what is was abott")</f>
        <v>I don't remember what is was abott</v>
      </c>
      <c r="C100" t="s">
        <v>1432</v>
      </c>
      <c r="D100" s="12"/>
      <c r="E100" s="12"/>
      <c r="F100" s="12"/>
      <c r="G100" s="12"/>
      <c r="H100" s="12"/>
      <c r="I100" s="12"/>
      <c r="J100" s="12"/>
    </row>
    <row r="101">
      <c r="A101">
        <f>IFERROR(__xludf.DUMMYFUNCTION("""COMPUTED_VALUE"""),152.0)</f>
        <v>152</v>
      </c>
      <c r="B101" s="12" t="str">
        <f>IFERROR(__xludf.DUMMYFUNCTION("""COMPUTED_VALUE"""),"Likely it was for calendar integration as seen on the previous example.")</f>
        <v>Likely it was for calendar integration as seen on the previous example.</v>
      </c>
      <c r="C101" t="s">
        <v>1650</v>
      </c>
      <c r="D101" s="3"/>
      <c r="E101" s="3"/>
      <c r="F101" s="12"/>
      <c r="G101" s="12"/>
      <c r="H101" s="12"/>
      <c r="I101" s="12"/>
      <c r="J101" s="12"/>
    </row>
    <row r="102">
      <c r="A102" s="58">
        <f>IFERROR(__xludf.DUMMYFUNCTION("""COMPUTED_VALUE"""),154.0)</f>
        <v>154</v>
      </c>
      <c r="B102" s="59" t="str">
        <f>IFERROR(__xludf.DUMMYFUNCTION("""COMPUTED_VALUE"""),"Google Audio Player for Drive")</f>
        <v>Google Audio Player for Drive</v>
      </c>
      <c r="C102" t="s">
        <v>1646</v>
      </c>
      <c r="D102" t="s">
        <v>1671</v>
      </c>
      <c r="E102" s="60"/>
      <c r="F102" s="59"/>
      <c r="G102" s="59"/>
      <c r="H102" s="59"/>
      <c r="I102" s="59"/>
      <c r="J102" s="59"/>
      <c r="K102" s="58"/>
      <c r="L102" s="58"/>
      <c r="M102" s="58"/>
      <c r="N102" s="58"/>
      <c r="O102" s="58"/>
      <c r="P102" s="58"/>
      <c r="Q102" s="58"/>
      <c r="R102" s="58"/>
      <c r="S102" s="58"/>
      <c r="T102" s="58"/>
      <c r="U102" s="58"/>
      <c r="V102" s="58"/>
      <c r="W102" s="58"/>
      <c r="X102" s="58"/>
      <c r="Y102" s="58"/>
      <c r="Z102" s="58"/>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t="str">
        <f>IFERROR(__xludf.DUMMYFUNCTION("""COMPUTED_VALUE"""),"I think it was to view my contacts/calendar.")</f>
        <v>I think it was to view my contacts/calendar.</v>
      </c>
      <c r="C106" s="3"/>
      <c r="D106" s="3"/>
      <c r="E106" s="12"/>
      <c r="F106" s="12"/>
      <c r="G106" s="12"/>
      <c r="H106" s="12"/>
      <c r="I106" s="12"/>
      <c r="J106" s="12"/>
    </row>
    <row r="107">
      <c r="A107">
        <f>IFERROR(__xludf.DUMMYFUNCTION("""COMPUTED_VALUE"""),159.0)</f>
        <v>159</v>
      </c>
      <c r="B107" s="12" t="str">
        <f>IFERROR(__xludf.DUMMYFUNCTION("""COMPUTED_VALUE"""),"I try to sign in with my Google Account when I can to streamline logging into my apps.")</f>
        <v>I try to sign in with my Google Account when I can to streamline logging into my apps.</v>
      </c>
      <c r="C107" s="3"/>
      <c r="D107" s="3"/>
      <c r="E107" s="3"/>
      <c r="F107" s="3"/>
      <c r="G107" s="12"/>
      <c r="H107" s="12"/>
      <c r="I107" s="12"/>
      <c r="J107" s="12"/>
    </row>
    <row r="108">
      <c r="A108">
        <f>IFERROR(__xludf.DUMMYFUNCTION("""COMPUTED_VALUE"""),160.0)</f>
        <v>160</v>
      </c>
      <c r="B108" s="12" t="str">
        <f>IFERROR(__xludf.DUMMYFUNCTION("""COMPUTED_VALUE"""),"To allow me to fully utilize the third party app.")</f>
        <v>To allow me to fully utilize the third party app.</v>
      </c>
      <c r="C108" s="3"/>
      <c r="D108" s="3"/>
      <c r="E108" s="3"/>
      <c r="F108" s="12"/>
      <c r="G108" s="12"/>
      <c r="H108" s="12"/>
      <c r="I108" s="12"/>
      <c r="J108" s="12"/>
    </row>
    <row r="109">
      <c r="A109">
        <f>IFERROR(__xludf.DUMMYFUNCTION("""COMPUTED_VALUE"""),162.0)</f>
        <v>162</v>
      </c>
      <c r="B109" s="12" t="str">
        <f>IFERROR(__xludf.DUMMYFUNCTION("""COMPUTED_VALUE"""),"To allow my son to complete his school work.")</f>
        <v>To allow my son to complete his school work.</v>
      </c>
      <c r="C109" s="3"/>
      <c r="D109" s="3"/>
      <c r="E109" s="12"/>
      <c r="F109" s="12"/>
      <c r="G109" s="12"/>
      <c r="H109" s="12"/>
      <c r="I109" s="12"/>
      <c r="J109" s="12"/>
    </row>
    <row r="110">
      <c r="A110">
        <f>IFERROR(__xludf.DUMMYFUNCTION("""COMPUTED_VALUE"""),163.0)</f>
        <v>163</v>
      </c>
      <c r="B110" s="12" t="str">
        <f>IFERROR(__xludf.DUMMYFUNCTION("""COMPUTED_VALUE"""),"I used it to use an app that let me edit PDFs for free.")</f>
        <v>I used it to use an app that let me edit PDFs for free.</v>
      </c>
      <c r="C110" s="3"/>
      <c r="D110" s="3"/>
      <c r="E110" s="3"/>
      <c r="F110" s="12"/>
      <c r="G110" s="12"/>
      <c r="H110" s="12"/>
      <c r="I110" s="12"/>
      <c r="J110" s="12"/>
    </row>
    <row r="111">
      <c r="A111">
        <f>IFERROR(__xludf.DUMMYFUNCTION("""COMPUTED_VALUE"""),164.0)</f>
        <v>164</v>
      </c>
      <c r="B111" s="12" t="str">
        <f>IFERROR(__xludf.DUMMYFUNCTION("""COMPUTED_VALUE"""),"To sign in easier.")</f>
        <v>To sign in easier.</v>
      </c>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t="str">
        <f>IFERROR(__xludf.DUMMYFUNCTION("""COMPUTED_VALUE"""),"contacts and mail")</f>
        <v>contacts and mail</v>
      </c>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t="str">
        <f>IFERROR(__xludf.DUMMYFUNCTION("""COMPUTED_VALUE"""),"I granted third party acess to ZIP extractor because I needed for it to use my google drive so that it could unzip certain files related to a programming project that I was working on.")</f>
        <v>I granted third party acess to ZIP extractor because I needed for it to use my google drive so that it could unzip certain files related to a programming project that I was working on.</v>
      </c>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t="str">
        <f>IFERROR(__xludf.DUMMYFUNCTION("""COMPUTED_VALUE"""),"Accessing Google Calendar to modify events")</f>
        <v>Accessing Google Calendar to modify events</v>
      </c>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t="str">
        <f>IFERROR(__xludf.DUMMYFUNCTION("""COMPUTED_VALUE"""),"Syncing a calendar function within a third party app.")</f>
        <v>Syncing a calendar function within a third party app.</v>
      </c>
      <c r="C127" s="3"/>
      <c r="D127" s="12"/>
      <c r="E127" s="12"/>
      <c r="F127" s="12"/>
      <c r="G127" s="12"/>
      <c r="H127" s="12"/>
      <c r="I127" s="12"/>
      <c r="J127" s="12"/>
    </row>
    <row r="128">
      <c r="A128">
        <f>IFERROR(__xludf.DUMMYFUNCTION("""COMPUTED_VALUE"""),188.0)</f>
        <v>188</v>
      </c>
      <c r="B128" s="12" t="str">
        <f>IFERROR(__xludf.DUMMYFUNCTION("""COMPUTED_VALUE"""),"The purpose was to log in to my account.")</f>
        <v>The purpose was to log in to my account.</v>
      </c>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t="str">
        <f>IFERROR(__xludf.DUMMYFUNCTION("""COMPUTED_VALUE"""),"It was required to sign up")</f>
        <v>It was required to sign up</v>
      </c>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t="str">
        <f>IFERROR(__xludf.DUMMYFUNCTION("""COMPUTED_VALUE"""),"able to upload saved game daya")</f>
        <v>able to upload saved game daya</v>
      </c>
      <c r="C132" s="3"/>
      <c r="D132" s="3"/>
      <c r="E132" s="12"/>
      <c r="F132" s="12"/>
      <c r="G132" s="12"/>
      <c r="H132" s="12"/>
      <c r="I132" s="12"/>
      <c r="J132" s="12"/>
    </row>
    <row r="133">
      <c r="A133">
        <f>IFERROR(__xludf.DUMMYFUNCTION("""COMPUTED_VALUE"""),195.0)</f>
        <v>195</v>
      </c>
      <c r="B133" s="12" t="str">
        <f>IFERROR(__xludf.DUMMYFUNCTION("""COMPUTED_VALUE"""),"to monitor health data")</f>
        <v>to monitor health data</v>
      </c>
      <c r="C133" s="3"/>
      <c r="D133" s="3"/>
      <c r="E133" s="12"/>
      <c r="F133" s="12"/>
      <c r="G133" s="12"/>
      <c r="H133" s="12"/>
      <c r="I133" s="12"/>
      <c r="J133" s="12"/>
    </row>
    <row r="134">
      <c r="A134">
        <f>IFERROR(__xludf.DUMMYFUNCTION("""COMPUTED_VALUE"""),198.0)</f>
        <v>198</v>
      </c>
      <c r="B134" s="12" t="str">
        <f>IFERROR(__xludf.DUMMYFUNCTION("""COMPUTED_VALUE"""),"call of duty mobile")</f>
        <v>call of duty mobile</v>
      </c>
      <c r="C134" s="3"/>
      <c r="D134" s="3"/>
      <c r="E134" s="3"/>
      <c r="F134" s="12"/>
      <c r="G134" s="12"/>
      <c r="H134" s="12"/>
      <c r="I134" s="12"/>
      <c r="J134" s="12"/>
    </row>
    <row r="135">
      <c r="A135">
        <f>IFERROR(__xludf.DUMMYFUNCTION("""COMPUTED_VALUE"""),199.0)</f>
        <v>199</v>
      </c>
      <c r="B135" s="12" t="str">
        <f>IFERROR(__xludf.DUMMYFUNCTION("""COMPUTED_VALUE"""),"To edit my google drive")</f>
        <v>To edit my google drive</v>
      </c>
      <c r="C135" s="3"/>
      <c r="D135" s="3"/>
      <c r="E135" s="12"/>
      <c r="F135" s="12"/>
      <c r="G135" s="12"/>
      <c r="H135" s="12"/>
      <c r="I135" s="12"/>
      <c r="J135" s="12"/>
    </row>
    <row r="136">
      <c r="A136">
        <f>IFERROR(__xludf.DUMMYFUNCTION("""COMPUTED_VALUE"""),200.0)</f>
        <v>200</v>
      </c>
      <c r="B136" s="12" t="str">
        <f>IFERROR(__xludf.DUMMYFUNCTION("""COMPUTED_VALUE"""),"Again, for the food delivery app but cannot remember its name")</f>
        <v>Again, for the food delivery app but cannot remember its name</v>
      </c>
      <c r="C136" s="3"/>
      <c r="D136" s="3"/>
      <c r="E136" s="3"/>
      <c r="F136" s="12"/>
      <c r="G136" s="12"/>
      <c r="H136" s="12"/>
      <c r="I136" s="12"/>
      <c r="J136" s="12"/>
    </row>
    <row r="137">
      <c r="A137">
        <f>IFERROR(__xludf.DUMMYFUNCTION("""COMPUTED_VALUE"""),201.0)</f>
        <v>201</v>
      </c>
      <c r="B137" s="12" t="str">
        <f>IFERROR(__xludf.DUMMYFUNCTION("""COMPUTED_VALUE"""),"To allow for easier sign on access.")</f>
        <v>To allow for easier sign on access.</v>
      </c>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t="str">
        <f>IFERROR(__xludf.DUMMYFUNCTION("""COMPUTED_VALUE"""),"Last week, an app called calendars 5 on iOS, it'll be able to read my calendar and lets me use my voice to add events")</f>
        <v>Last week, an app called calendars 5 on iOS, it'll be able to read my calendar and lets me use my voice to add events</v>
      </c>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t="str">
        <f>IFERROR(__xludf.DUMMYFUNCTION("""COMPUTED_VALUE"""),"to store my acct in the cloud to recover")</f>
        <v>to store my acct in the cloud to recover</v>
      </c>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t="str">
        <f>IFERROR(__xludf.DUMMYFUNCTION("""COMPUTED_VALUE"""),"So I could use the app.")</f>
        <v>So I could use the app.</v>
      </c>
      <c r="C143" s="3"/>
      <c r="D143" s="3"/>
      <c r="E143" s="3"/>
      <c r="F143" s="12"/>
      <c r="G143" s="12"/>
      <c r="H143" s="12"/>
      <c r="I143" s="12"/>
      <c r="J143" s="12"/>
    </row>
    <row r="144">
      <c r="A144">
        <f>IFERROR(__xludf.DUMMYFUNCTION("""COMPUTED_VALUE"""),210.0)</f>
        <v>210</v>
      </c>
      <c r="B144" s="12" t="str">
        <f>IFERROR(__xludf.DUMMYFUNCTION("""COMPUTED_VALUE"""),"Again, I can't remember exactly what but I know I have granted access for games from the playstore.")</f>
        <v>Again, I can't remember exactly what but I know I have granted access for games from the playstore.</v>
      </c>
      <c r="C144" s="3"/>
      <c r="D144" s="3"/>
      <c r="E144" s="3"/>
      <c r="F144" s="3"/>
      <c r="G144" s="3"/>
      <c r="H144" s="12"/>
      <c r="I144" s="12"/>
      <c r="J144" s="12"/>
    </row>
    <row r="145">
      <c r="A145">
        <f>IFERROR(__xludf.DUMMYFUNCTION("""COMPUTED_VALUE"""),212.0)</f>
        <v>212</v>
      </c>
      <c r="B145" s="12" t="str">
        <f>IFERROR(__xludf.DUMMYFUNCTION("""COMPUTED_VALUE"""),"Photos")</f>
        <v>Photos</v>
      </c>
      <c r="C145" s="3"/>
      <c r="D145" s="3"/>
      <c r="E145" s="3"/>
      <c r="F145" s="12"/>
      <c r="G145" s="12"/>
      <c r="H145" s="12"/>
      <c r="I145" s="12"/>
      <c r="J145" s="12"/>
    </row>
    <row r="146">
      <c r="A146">
        <f>IFERROR(__xludf.DUMMYFUNCTION("""COMPUTED_VALUE"""),213.0)</f>
        <v>213</v>
      </c>
      <c r="B146" s="12" t="str">
        <f>IFERROR(__xludf.DUMMYFUNCTION("""COMPUTED_VALUE"""),"To grant me access to enable me to play a video game")</f>
        <v>To grant me access to enable me to play a video game</v>
      </c>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t="str">
        <f>IFERROR(__xludf.DUMMYFUNCTION("""COMPUTED_VALUE"""),"I granted a third-party app access to my Google account because it was a plug-in that could make my work easier in Google Sheets")</f>
        <v>I granted a third-party app access to my Google account because it was a plug-in that could make my work easier in Google Sheets</v>
      </c>
      <c r="C151" s="3"/>
      <c r="D151" s="3"/>
      <c r="E151" s="3"/>
      <c r="F151" s="3"/>
      <c r="H151" s="12"/>
      <c r="I151" s="12"/>
      <c r="J151" s="12"/>
    </row>
    <row r="152">
      <c r="A152">
        <f>IFERROR(__xludf.DUMMYFUNCTION("""COMPUTED_VALUE"""),221.0)</f>
        <v>221</v>
      </c>
      <c r="B152" s="12" t="str">
        <f>IFERROR(__xludf.DUMMYFUNCTION("""COMPUTED_VALUE"""),"To scan for receipts")</f>
        <v>To scan for receipts</v>
      </c>
      <c r="C152" s="3"/>
      <c r="D152" s="3"/>
      <c r="E152" s="12"/>
      <c r="F152" s="12"/>
      <c r="H152" s="12"/>
      <c r="I152" s="12"/>
      <c r="J152" s="12"/>
    </row>
    <row r="153">
      <c r="A153">
        <f>IFERROR(__xludf.DUMMYFUNCTION("""COMPUTED_VALUE"""),222.0)</f>
        <v>222</v>
      </c>
      <c r="B153" s="12" t="str">
        <f>IFERROR(__xludf.DUMMYFUNCTION("""COMPUTED_VALUE"""),"I think it was to play a phone game.")</f>
        <v>I think it was to play a phone game.</v>
      </c>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t="str">
        <f>IFERROR(__xludf.DUMMYFUNCTION("""COMPUTED_VALUE"""),"Nest is a google company so I'm not sure it meets the purpose of this study. But is allows me to run my thermostat")</f>
        <v>Nest is a google company so I'm not sure it meets the purpose of this study. But is allows me to run my thermostat</v>
      </c>
      <c r="C156" s="12"/>
      <c r="D156" s="12"/>
      <c r="E156" s="12"/>
      <c r="F156" s="12"/>
      <c r="G156" s="12"/>
      <c r="H156" s="12"/>
      <c r="I156" s="12"/>
      <c r="J156" s="12"/>
    </row>
    <row r="157">
      <c r="A157">
        <f>IFERROR(__xludf.DUMMYFUNCTION("""COMPUTED_VALUE"""),228.0)</f>
        <v>228</v>
      </c>
      <c r="B157" s="12" t="str">
        <f>IFERROR(__xludf.DUMMYFUNCTION("""COMPUTED_VALUE"""),"It needed some personal information for example it needed access so the app could verify my age.")</f>
        <v>It needed some personal information for example it needed access so the app could verify my age.</v>
      </c>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t="str">
        <f>IFERROR(__xludf.DUMMYFUNCTION("""COMPUTED_VALUE"""),"to sign into my zoom acount")</f>
        <v>to sign into my zoom acount</v>
      </c>
      <c r="C159" s="12"/>
      <c r="D159" s="12"/>
      <c r="E159" s="12"/>
      <c r="F159" s="12"/>
      <c r="G159" s="12"/>
      <c r="H159" s="12"/>
      <c r="I159" s="12"/>
      <c r="J159" s="12"/>
    </row>
    <row r="160">
      <c r="A160">
        <f>IFERROR(__xludf.DUMMYFUNCTION("""COMPUTED_VALUE"""),233.0)</f>
        <v>233</v>
      </c>
      <c r="B160" s="12" t="str">
        <f>IFERROR(__xludf.DUMMYFUNCTION("""COMPUTED_VALUE"""),"Access contacts I think")</f>
        <v>Access contacts I think</v>
      </c>
      <c r="C160" s="12"/>
      <c r="D160" s="12"/>
      <c r="E160" s="12"/>
      <c r="F160" s="12"/>
      <c r="G160" s="12"/>
      <c r="H160" s="12"/>
      <c r="I160" s="12"/>
      <c r="J160" s="12"/>
    </row>
    <row r="161">
      <c r="A161">
        <f>IFERROR(__xludf.DUMMYFUNCTION("""COMPUTED_VALUE"""),234.0)</f>
        <v>234</v>
      </c>
      <c r="B161" s="12" t="str">
        <f>IFERROR(__xludf.DUMMYFUNCTION("""COMPUTED_VALUE"""),"I granted a flowchart app permission to read/write files into my Google Drive so that I could easily organize my flowcharts.")</f>
        <v>I granted a flowchart app permission to read/write files into my Google Drive so that I could easily organize my flowcharts.</v>
      </c>
      <c r="C161" s="12"/>
      <c r="D161" s="12"/>
      <c r="E161" s="12"/>
      <c r="F161" s="12"/>
      <c r="G161" s="12"/>
      <c r="H161" s="12"/>
      <c r="I161" s="12"/>
      <c r="J161" s="12"/>
    </row>
    <row r="162">
      <c r="A162">
        <f>IFERROR(__xludf.DUMMYFUNCTION("""COMPUTED_VALUE"""),235.0)</f>
        <v>235</v>
      </c>
      <c r="B162" s="12" t="str">
        <f>IFERROR(__xludf.DUMMYFUNCTION("""COMPUTED_VALUE"""),"Help me manage my other apps")</f>
        <v>Help me manage my other apps</v>
      </c>
      <c r="C162" s="12"/>
      <c r="D162" s="12"/>
      <c r="E162" s="12"/>
      <c r="F162" s="12"/>
      <c r="G162" s="12"/>
      <c r="H162" s="12"/>
      <c r="I162" s="12"/>
      <c r="J162" s="12"/>
    </row>
    <row r="163">
      <c r="A163">
        <f>IFERROR(__xludf.DUMMYFUNCTION("""COMPUTED_VALUE"""),236.0)</f>
        <v>236</v>
      </c>
      <c r="B163" s="12" t="str">
        <f>IFERROR(__xludf.DUMMYFUNCTION("""COMPUTED_VALUE"""),"I think it was Farmville or something like that. Some site that I'd used for years &amp; fully trusted.")</f>
        <v>I think it was Farmville or something like that. Some site that I'd used for years &amp; fully trusted.</v>
      </c>
      <c r="C163" s="12"/>
      <c r="D163" s="12"/>
      <c r="E163" s="12"/>
      <c r="F163" s="12"/>
      <c r="G163" s="12"/>
      <c r="H163" s="12"/>
      <c r="I163" s="12"/>
      <c r="J163" s="12"/>
    </row>
    <row r="164">
      <c r="A164">
        <f>IFERROR(__xludf.DUMMYFUNCTION("""COMPUTED_VALUE"""),237.0)</f>
        <v>237</v>
      </c>
      <c r="B164" s="12" t="str">
        <f>IFERROR(__xludf.DUMMYFUNCTION("""COMPUTED_VALUE"""),"To provide easier accessibility, for example, syncing calendly with google calendar made it easy for me to see my schedule")</f>
        <v>To provide easier accessibility, for example, syncing calendly with google calendar made it easy for me to see my schedule</v>
      </c>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t="str">
        <f>IFERROR(__xludf.DUMMYFUNCTION("""COMPUTED_VALUE"""),"3rd party Google Drive client")</f>
        <v>3rd party Google Drive client</v>
      </c>
      <c r="C166" s="12"/>
      <c r="D166" s="12"/>
      <c r="E166" s="12"/>
      <c r="F166" s="12"/>
      <c r="G166" s="12"/>
      <c r="H166" s="12"/>
      <c r="I166" s="12"/>
      <c r="J166" s="12"/>
    </row>
    <row r="167">
      <c r="A167">
        <f>IFERROR(__xludf.DUMMYFUNCTION("""COMPUTED_VALUE"""),241.0)</f>
        <v>241</v>
      </c>
      <c r="B167" s="12" t="str">
        <f>IFERROR(__xludf.DUMMYFUNCTION("""COMPUTED_VALUE"""),"allowing myself access to my stuff (integrating platforms and scripts)")</f>
        <v>allowing myself access to my stuff (integrating platforms and scripts)</v>
      </c>
      <c r="C167" s="12"/>
      <c r="D167" s="12"/>
      <c r="E167" s="12"/>
      <c r="F167" s="12"/>
      <c r="G167" s="12"/>
      <c r="H167" s="12"/>
      <c r="I167" s="12"/>
      <c r="J167" s="12"/>
    </row>
    <row r="168">
      <c r="A168">
        <f>IFERROR(__xludf.DUMMYFUNCTION("""COMPUTED_VALUE"""),242.0)</f>
        <v>242</v>
      </c>
      <c r="B168" s="12" t="str">
        <f>IFERROR(__xludf.DUMMYFUNCTION("""COMPUTED_VALUE"""),"To connect my payment information")</f>
        <v>To connect my payment information</v>
      </c>
      <c r="C168" s="12"/>
      <c r="D168" s="12"/>
      <c r="E168" s="12"/>
      <c r="F168" s="12"/>
      <c r="G168" s="12"/>
      <c r="H168" s="12"/>
      <c r="I168" s="12"/>
      <c r="J168" s="12"/>
    </row>
    <row r="169">
      <c r="A169">
        <f>IFERROR(__xludf.DUMMYFUNCTION("""COMPUTED_VALUE"""),245.0)</f>
        <v>245</v>
      </c>
      <c r="B169" s="12" t="str">
        <f>IFERROR(__xludf.DUMMYFUNCTION("""COMPUTED_VALUE"""),"Adding smart home devices to google assistant")</f>
        <v>Adding smart home devices to google assistant</v>
      </c>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t="str">
        <f>IFERROR(__xludf.DUMMYFUNCTION("""COMPUTED_VALUE"""),"teh compatibility and ease of synching of the info from app to app")</f>
        <v>teh compatibility and ease of synching of the info from app to app</v>
      </c>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t="str">
        <f>IFERROR(__xludf.DUMMYFUNCTION("""COMPUTED_VALUE"""),"I can't remember off the top of my head sadly but it must've been important!")</f>
        <v>I can't remember off the top of my head sadly but it must've been important!</v>
      </c>
      <c r="C179" s="12"/>
      <c r="D179" s="12"/>
      <c r="E179" s="12"/>
      <c r="F179" s="12"/>
      <c r="G179" s="12"/>
      <c r="H179" s="12"/>
      <c r="I179" s="12"/>
      <c r="J179" s="12"/>
    </row>
    <row r="180">
      <c r="A180">
        <f>IFERROR(__xludf.DUMMYFUNCTION("""COMPUTED_VALUE"""),259.0)</f>
        <v>259</v>
      </c>
      <c r="B180" s="12" t="str">
        <f>IFERROR(__xludf.DUMMYFUNCTION("""COMPUTED_VALUE"""),"I allowed Zoom to access my calendar")</f>
        <v>I allowed Zoom to access my calendar</v>
      </c>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t="str">
        <f>IFERROR(__xludf.DUMMYFUNCTION("""COMPUTED_VALUE"""),"To add something to my calendar")</f>
        <v>To add something to my calendar</v>
      </c>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t="str">
        <f>IFERROR(__xludf.DUMMYFUNCTION("""COMPUTED_VALUE"""),"to send me notifications")</f>
        <v>to send me notifications</v>
      </c>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t="str">
        <f>IFERROR(__xludf.DUMMYFUNCTION("""COMPUTED_VALUE"""),"when i had an android phone")</f>
        <v>when i had an android phone</v>
      </c>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t="str">
        <f>IFERROR(__xludf.DUMMYFUNCTION("""COMPUTED_VALUE"""),"I honestly don't recall.")</f>
        <v>I honestly don't recall.</v>
      </c>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t="str">
        <f>IFERROR(__xludf.DUMMYFUNCTION("""COMPUTED_VALUE"""),"To access my shipping information for packages")</f>
        <v>To access my shipping information for packages</v>
      </c>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t="str">
        <f>IFERROR(__xludf.DUMMYFUNCTION("""COMPUTED_VALUE"""),"Grammarly")</f>
        <v>Grammarly</v>
      </c>
      <c r="C194" s="12"/>
      <c r="D194" s="12"/>
      <c r="E194" s="12"/>
      <c r="F194" s="12"/>
      <c r="G194" s="12"/>
      <c r="H194" s="12"/>
      <c r="I194" s="12"/>
      <c r="J194" s="12"/>
    </row>
    <row r="195">
      <c r="A195">
        <f>IFERROR(__xludf.DUMMYFUNCTION("""COMPUTED_VALUE"""),279.0)</f>
        <v>279</v>
      </c>
      <c r="B195" s="12" t="str">
        <f>IFERROR(__xludf.DUMMYFUNCTION("""COMPUTED_VALUE"""),"To log in to the third party app")</f>
        <v>To log in to the third party app</v>
      </c>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t="str">
        <f>IFERROR(__xludf.DUMMYFUNCTION("""COMPUTED_VALUE"""),"A PDF editing site")</f>
        <v>A PDF editing site</v>
      </c>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t="str">
        <f>IFERROR(__xludf.DUMMYFUNCTION("""COMPUTED_VALUE"""),"To allow a payment option")</f>
        <v>To allow a payment option</v>
      </c>
      <c r="C200" s="12"/>
      <c r="D200" s="12"/>
      <c r="E200" s="12"/>
      <c r="F200" s="12"/>
      <c r="G200" s="12"/>
      <c r="H200" s="12"/>
      <c r="I200" s="12"/>
      <c r="J200" s="12"/>
    </row>
    <row r="201">
      <c r="A201">
        <f>IFERROR(__xludf.DUMMYFUNCTION("""COMPUTED_VALUE"""),292.0)</f>
        <v>292</v>
      </c>
      <c r="B201" s="12" t="str">
        <f>IFERROR(__xludf.DUMMYFUNCTION("""COMPUTED_VALUE"""),"To win a raffle")</f>
        <v>To win a raffle</v>
      </c>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t="str">
        <f>IFERROR(__xludf.DUMMYFUNCTION("""COMPUTED_VALUE"""),"Calendar access for deadlines")</f>
        <v>Calendar access for deadlines</v>
      </c>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t="str">
        <f>IFERROR(__xludf.DUMMYFUNCTION("""COMPUTED_VALUE"""),"Mobile game applications")</f>
        <v>Mobile game applications</v>
      </c>
      <c r="C206" s="12"/>
      <c r="D206" s="12"/>
      <c r="E206" s="12"/>
      <c r="F206" s="12"/>
      <c r="G206" s="12"/>
      <c r="H206" s="12"/>
      <c r="I206" s="12"/>
      <c r="J206" s="12"/>
    </row>
    <row r="207">
      <c r="A207">
        <f>IFERROR(__xludf.DUMMYFUNCTION("""COMPUTED_VALUE"""),300.0)</f>
        <v>300</v>
      </c>
      <c r="B207" s="12" t="str">
        <f>IFERROR(__xludf.DUMMYFUNCTION("""COMPUTED_VALUE"""),"I think it was for pinterest or instagram, but I can't really remember now and it was something to do with google photos maybe.")</f>
        <v>I think it was for pinterest or instagram, but I can't really remember now and it was something to do with google photos maybe.</v>
      </c>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t="str">
        <f>IFERROR(__xludf.DUMMYFUNCTION("""COMPUTED_VALUE"""),"Allowing me access to multiple e-mails from the same app on my Windows computer.")</f>
        <v>Allowing me access to multiple e-mails from the same app on my Windows computer.</v>
      </c>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t="str">
        <f>IFERROR(__xludf.DUMMYFUNCTION("""COMPUTED_VALUE"""),"It was Plex.
 It was to create an account.")</f>
        <v>It was Plex.
 It was to create an account.</v>
      </c>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t="str">
        <f>IFERROR(__xludf.DUMMYFUNCTION("""COMPUTED_VALUE"""),"To access my Google calendar")</f>
        <v>To access my Google calendar</v>
      </c>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t="str">
        <f>IFERROR(__xludf.DUMMYFUNCTION("""COMPUTED_VALUE"""),"I granted LinkedIn information access.")</f>
        <v>I granted LinkedIn information access.</v>
      </c>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t="str">
        <f>IFERROR(__xludf.DUMMYFUNCTION("""COMPUTED_VALUE"""),"To order food from a restaurant")</f>
        <v>To order food from a restaurant</v>
      </c>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t="str">
        <f>IFERROR(__xludf.DUMMYFUNCTION("""COMPUTED_VALUE"""),"It was to link my accounts and save game backups to my Google account.")</f>
        <v>It was to link my accounts and save game backups to my Google account.</v>
      </c>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t="str">
        <f>IFERROR(__xludf.DUMMYFUNCTION("""COMPUTED_VALUE"""),"For contact information")</f>
        <v>For contact information</v>
      </c>
      <c r="C223" s="12"/>
      <c r="D223" s="12"/>
      <c r="E223" s="12"/>
      <c r="F223" s="12"/>
      <c r="G223" s="12"/>
      <c r="H223" s="12"/>
      <c r="I223" s="12"/>
      <c r="J223" s="12"/>
    </row>
    <row r="224">
      <c r="A224">
        <f>IFERROR(__xludf.DUMMYFUNCTION("""COMPUTED_VALUE"""),319.0)</f>
        <v>319</v>
      </c>
      <c r="B224" s="12" t="str">
        <f>IFERROR(__xludf.DUMMYFUNCTION("""COMPUTED_VALUE"""),"I don't recall exactly but i believe it was to take screenshots.")</f>
        <v>I don't recall exactly but i believe it was to take screenshots.</v>
      </c>
      <c r="C224" s="12"/>
      <c r="D224" s="12"/>
      <c r="E224" s="12"/>
      <c r="F224" s="12"/>
      <c r="G224" s="12"/>
      <c r="H224" s="12"/>
      <c r="I224" s="12"/>
      <c r="J224" s="12"/>
    </row>
    <row r="225">
      <c r="A225">
        <f>IFERROR(__xludf.DUMMYFUNCTION("""COMPUTED_VALUE"""),321.0)</f>
        <v>321</v>
      </c>
      <c r="B225" s="12" t="str">
        <f>IFERROR(__xludf.DUMMYFUNCTION("""COMPUTED_VALUE"""),"To sign into an app")</f>
        <v>To sign into an app</v>
      </c>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t="str">
        <f>IFERROR(__xludf.DUMMYFUNCTION("""COMPUTED_VALUE"""),"Last recollection was that I used this for my Movies Anywhere account.")</f>
        <v>Last recollection was that I used this for my Movies Anywhere account.</v>
      </c>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t="str">
        <f>IFERROR(__xludf.DUMMYFUNCTION("""COMPUTED_VALUE"""),"The purpose was to be able to use the app.")</f>
        <v>The purpose was to be able to use the app.</v>
      </c>
      <c r="C230" s="12"/>
      <c r="D230" s="12"/>
      <c r="E230" s="12"/>
      <c r="F230" s="12"/>
      <c r="G230" s="12"/>
      <c r="H230" s="12"/>
      <c r="I230" s="12"/>
      <c r="J230" s="12"/>
    </row>
    <row r="231">
      <c r="A231">
        <f>IFERROR(__xludf.DUMMYFUNCTION("""COMPUTED_VALUE"""),328.0)</f>
        <v>328</v>
      </c>
      <c r="B231" s="12" t="str">
        <f>IFERROR(__xludf.DUMMYFUNCTION("""COMPUTED_VALUE"""),"For the app to do its job properly, and to sync up with my calendar.")</f>
        <v>For the app to do its job properly, and to sync up with my calendar.</v>
      </c>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t="str">
        <f>IFERROR(__xludf.DUMMYFUNCTION("""COMPUTED_VALUE"""),"I allowed access to a screen recording app and gave access for it to save my videos to google drive")</f>
        <v>I allowed access to a screen recording app and gave access for it to save my videos to google drive</v>
      </c>
      <c r="C236" s="12"/>
      <c r="D236" s="12"/>
      <c r="E236" s="12"/>
      <c r="F236" s="12"/>
      <c r="G236" s="12"/>
      <c r="H236" s="12"/>
      <c r="I236" s="12"/>
      <c r="J236" s="12"/>
    </row>
    <row r="237">
      <c r="A237">
        <f>IFERROR(__xludf.DUMMYFUNCTION("""COMPUTED_VALUE"""),335.0)</f>
        <v>335</v>
      </c>
      <c r="B237" s="12" t="str">
        <f>IFERROR(__xludf.DUMMYFUNCTION("""COMPUTED_VALUE"""),"yesterday, so that McDonald's could see my location")</f>
        <v>yesterday, so that McDonald's could see my location</v>
      </c>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t="str">
        <f>IFERROR(__xludf.DUMMYFUNCTION("""COMPUTED_VALUE"""),"To allow an app to add things to my google calendar.")</f>
        <v>To allow an app to add things to my google calendar.</v>
      </c>
      <c r="C240" s="12"/>
      <c r="D240" s="12"/>
      <c r="E240" s="12"/>
      <c r="F240" s="12"/>
      <c r="G240" s="12"/>
      <c r="H240" s="12"/>
      <c r="I240" s="12"/>
      <c r="J240" s="12"/>
    </row>
    <row r="241">
      <c r="A241">
        <f>IFERROR(__xludf.DUMMYFUNCTION("""COMPUTED_VALUE"""),339.0)</f>
        <v>339</v>
      </c>
      <c r="B241" s="12" t="str">
        <f>IFERROR(__xludf.DUMMYFUNCTION("""COMPUTED_VALUE"""),"I am not sure, I would assume that they need to ask for permission to access the following.")</f>
        <v>I am not sure, I would assume that they need to ask for permission to access the following.</v>
      </c>
      <c r="C241" s="12"/>
      <c r="D241" s="12"/>
      <c r="E241" s="12"/>
      <c r="F241" s="12"/>
      <c r="G241" s="12"/>
      <c r="H241" s="12"/>
      <c r="I241" s="12"/>
      <c r="J241" s="12"/>
    </row>
    <row r="242">
      <c r="A242">
        <f>IFERROR(__xludf.DUMMYFUNCTION("""COMPUTED_VALUE"""),340.0)</f>
        <v>340</v>
      </c>
      <c r="B242" s="12" t="str">
        <f>IFERROR(__xludf.DUMMYFUNCTION("""COMPUTED_VALUE"""),"To give information to the app")</f>
        <v>To give information to the app</v>
      </c>
      <c r="C242" s="12"/>
      <c r="D242" s="12"/>
      <c r="E242" s="12"/>
      <c r="F242" s="12"/>
      <c r="G242" s="12"/>
      <c r="H242" s="12"/>
      <c r="I242" s="12"/>
      <c r="J242" s="12"/>
    </row>
    <row r="243">
      <c r="A243">
        <f>IFERROR(__xludf.DUMMYFUNCTION("""COMPUTED_VALUE"""),341.0)</f>
        <v>341</v>
      </c>
      <c r="B243" s="12" t="str">
        <f>IFERROR(__xludf.DUMMYFUNCTION("""COMPUTED_VALUE"""),"To make an account")</f>
        <v>To make an account</v>
      </c>
      <c r="C243" s="12"/>
      <c r="D243" s="12"/>
      <c r="E243" s="12"/>
      <c r="F243" s="12"/>
      <c r="G243" s="12"/>
      <c r="H243" s="12"/>
      <c r="I243" s="12"/>
      <c r="J243" s="12"/>
    </row>
    <row r="244">
      <c r="A244">
        <f>IFERROR(__xludf.DUMMYFUNCTION("""COMPUTED_VALUE"""),342.0)</f>
        <v>342</v>
      </c>
      <c r="B244" s="12" t="str">
        <f>IFERROR(__xludf.DUMMYFUNCTION("""COMPUTED_VALUE"""),"for a game")</f>
        <v>for a game</v>
      </c>
      <c r="C244" s="12"/>
      <c r="D244" s="12"/>
      <c r="E244" s="12"/>
      <c r="F244" s="12"/>
      <c r="G244" s="12"/>
      <c r="H244" s="12"/>
      <c r="I244" s="12"/>
      <c r="J244" s="12"/>
    </row>
    <row r="245">
      <c r="A245">
        <f>IFERROR(__xludf.DUMMYFUNCTION("""COMPUTED_VALUE"""),345.0)</f>
        <v>345</v>
      </c>
      <c r="B245" s="12" t="str">
        <f>IFERROR(__xludf.DUMMYFUNCTION("""COMPUTED_VALUE"""),"Allowing it to see my details for the account that I was signing into.")</f>
        <v>Allowing it to see my details for the account that I was signing into.</v>
      </c>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IFERROR(__xludf.DUMMYFUNCTION("""COMPUTED_VALUE"""),"So I could record footage as well as add contacts if I needed or wanted to.")</f>
        <v>So I could record footage as well as add contacts if I needed or wanted to.</v>
      </c>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t="str">
        <f>IFERROR(__xludf.DUMMYFUNCTION("""COMPUTED_VALUE"""),"A weather app. Unsure of the name.")</f>
        <v>A weather app. Unsure of the name.</v>
      </c>
      <c r="C249" s="12"/>
      <c r="D249" s="12"/>
      <c r="E249" s="12"/>
      <c r="F249" s="12"/>
      <c r="G249" s="12"/>
      <c r="H249" s="12"/>
      <c r="I249" s="12"/>
      <c r="J249" s="12"/>
    </row>
    <row r="250">
      <c r="A250">
        <f>IFERROR(__xludf.DUMMYFUNCTION("""COMPUTED_VALUE"""),354.0)</f>
        <v>354</v>
      </c>
      <c r="B250" s="12" t="str">
        <f>IFERROR(__xludf.DUMMYFUNCTION("""COMPUTED_VALUE"""),"Playing a game of taking an online quiz")</f>
        <v>Playing a game of taking an online quiz</v>
      </c>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t="str">
        <f>IFERROR(__xludf.DUMMYFUNCTION("""COMPUTED_VALUE"""),"to show what permissions the app needs to run")</f>
        <v>to show what permissions the app needs to run</v>
      </c>
      <c r="C252" s="12"/>
      <c r="D252" s="12"/>
      <c r="E252" s="12"/>
      <c r="F252" s="12"/>
      <c r="G252" s="12"/>
      <c r="H252" s="12"/>
      <c r="I252" s="12"/>
      <c r="J252" s="12"/>
    </row>
    <row r="253">
      <c r="A253">
        <f>IFERROR(__xludf.DUMMYFUNCTION("""COMPUTED_VALUE"""),358.0)</f>
        <v>358</v>
      </c>
      <c r="B253" s="12" t="str">
        <f>IFERROR(__xludf.DUMMYFUNCTION("""COMPUTED_VALUE"""),"Again I think this was with Zoom to give them access to my gmail calendar so I could schedule my meetings")</f>
        <v>Again I think this was with Zoom to give them access to my gmail calendar so I could schedule my meetings</v>
      </c>
      <c r="C253" s="12"/>
      <c r="D253" s="12"/>
      <c r="E253" s="12"/>
      <c r="F253" s="12"/>
      <c r="G253" s="12"/>
      <c r="H253" s="12"/>
      <c r="I253" s="12"/>
      <c r="J253" s="12"/>
    </row>
    <row r="254">
      <c r="A254">
        <f>IFERROR(__xludf.DUMMYFUNCTION("""COMPUTED_VALUE"""),360.0)</f>
        <v>360</v>
      </c>
      <c r="B254" s="12" t="str">
        <f>IFERROR(__xludf.DUMMYFUNCTION("""COMPUTED_VALUE"""),"Accessing calendar events and contacts")</f>
        <v>Accessing calendar events and contacts</v>
      </c>
      <c r="C254" s="12"/>
      <c r="D254" s="12"/>
      <c r="E254" s="12"/>
      <c r="F254" s="12"/>
      <c r="G254" s="12"/>
      <c r="H254" s="12"/>
      <c r="I254" s="12"/>
      <c r="J254" s="12"/>
    </row>
    <row r="255">
      <c r="A255">
        <f>IFERROR(__xludf.DUMMYFUNCTION("""COMPUTED_VALUE"""),361.0)</f>
        <v>361</v>
      </c>
      <c r="B255" s="12" t="str">
        <f>IFERROR(__xludf.DUMMYFUNCTION("""COMPUTED_VALUE"""),"To use the products using it")</f>
        <v>To use the products using it</v>
      </c>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t="str">
        <f>IFERROR(__xludf.DUMMYFUNCTION("""COMPUTED_VALUE"""),"Allowing an application to save data to my phone.")</f>
        <v>Allowing an application to save data to my phone.</v>
      </c>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t="str">
        <f>IFERROR(__xludf.DUMMYFUNCTION("""COMPUTED_VALUE"""),"I allowed it just so I could continue logging in to what I was doing")</f>
        <v>I allowed it just so I could continue logging in to what I was doing</v>
      </c>
      <c r="C262" s="12"/>
      <c r="D262" s="12"/>
      <c r="E262" s="12"/>
      <c r="F262" s="12"/>
      <c r="G262" s="12"/>
      <c r="H262" s="12"/>
      <c r="I262" s="12"/>
      <c r="J262" s="12"/>
    </row>
    <row r="263">
      <c r="A263">
        <f>IFERROR(__xludf.DUMMYFUNCTION("""COMPUTED_VALUE"""),372.0)</f>
        <v>372</v>
      </c>
      <c r="B263" s="12" t="str">
        <f>IFERROR(__xludf.DUMMYFUNCTION("""COMPUTED_VALUE"""),"It was to allow the app to view my email contacts.")</f>
        <v>It was to allow the app to view my email contacts.</v>
      </c>
      <c r="C263" s="12"/>
      <c r="D263" s="12"/>
      <c r="E263" s="12"/>
      <c r="F263" s="12"/>
      <c r="G263" s="12"/>
      <c r="H263" s="12"/>
      <c r="I263" s="12"/>
      <c r="J263" s="12"/>
    </row>
    <row r="264">
      <c r="A264">
        <f>IFERROR(__xludf.DUMMYFUNCTION("""COMPUTED_VALUE"""),373.0)</f>
        <v>373</v>
      </c>
      <c r="B264" s="12" t="str">
        <f>IFERROR(__xludf.DUMMYFUNCTION("""COMPUTED_VALUE"""),"They needed information to sync with other users/establish basic settings")</f>
        <v>They needed information to sync with other users/establish basic settings</v>
      </c>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t="str">
        <f>IFERROR(__xludf.DUMMYFUNCTION("""COMPUTED_VALUE"""),"The purpose was to create an account to play a mobile game on my phone.")</f>
        <v>The purpose was to create an account to play a mobile game on my phone.</v>
      </c>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t="str">
        <f>IFERROR(__xludf.DUMMYFUNCTION("""COMPUTED_VALUE"""),"Being able to sign up easily without having to go through a long and tedious registration process.")</f>
        <v>Being able to sign up easily without having to go through a long and tedious registration process.</v>
      </c>
      <c r="C270" s="12"/>
      <c r="D270" s="12"/>
      <c r="E270" s="12"/>
      <c r="F270" s="12"/>
      <c r="G270" s="12"/>
      <c r="H270" s="12"/>
      <c r="I270" s="12"/>
      <c r="J270" s="12"/>
    </row>
    <row r="271">
      <c r="A271">
        <f>IFERROR(__xludf.DUMMYFUNCTION("""COMPUTED_VALUE"""),383.0)</f>
        <v>383</v>
      </c>
      <c r="B271" s="12" t="str">
        <f>IFERROR(__xludf.DUMMYFUNCTION("""COMPUTED_VALUE"""),"ease and convieniece")</f>
        <v>ease and convieniece</v>
      </c>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t="str">
        <f>IFERROR(__xludf.DUMMYFUNCTION("""COMPUTED_VALUE"""),"It probably wasn't the most recent one, but the last one I remember is allowing a fitness app access to my Google Fit exercise/health data.")</f>
        <v>It probably wasn't the most recent one, but the last one I remember is allowing a fitness app access to my Google Fit exercise/health data.</v>
      </c>
      <c r="C276" s="12"/>
      <c r="D276" s="12"/>
      <c r="E276" s="12"/>
      <c r="F276" s="12"/>
      <c r="G276" s="12"/>
      <c r="H276" s="12"/>
      <c r="I276" s="12"/>
      <c r="J276" s="12"/>
    </row>
    <row r="277">
      <c r="A277">
        <f>IFERROR(__xludf.DUMMYFUNCTION("""COMPUTED_VALUE"""),389.0)</f>
        <v>389</v>
      </c>
      <c r="B277" s="12" t="str">
        <f>IFERROR(__xludf.DUMMYFUNCTION("""COMPUTED_VALUE"""),"They asked and I clicked agreed to use the websites services")</f>
        <v>They asked and I clicked agreed to use the websites services</v>
      </c>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t="str">
        <f>IFERROR(__xludf.DUMMYFUNCTION("""COMPUTED_VALUE"""),"to login to batytle.net to play bideo games")</f>
        <v>to login to batytle.net to play bideo games</v>
      </c>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t="str">
        <f>IFERROR(__xludf.DUMMYFUNCTION("""COMPUTED_VALUE"""),"To login to keep track of my mobile gaming.")</f>
        <v>To login to keep track of my mobile gaming.</v>
      </c>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t="str">
        <f>IFERROR(__xludf.DUMMYFUNCTION("""COMPUTED_VALUE"""),"To integrate to-do list features")</f>
        <v>To integrate to-do list features</v>
      </c>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t="str">
        <f>IFERROR(__xludf.DUMMYFUNCTION("""COMPUTED_VALUE"""),"The purpose was to use my Google account to sign in")</f>
        <v>The purpose was to use my Google account to sign in</v>
      </c>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IFERROR(__xludf.DUMMYFUNCTION("""COMPUTED_VALUE"""),"Calendar and or photos")</f>
        <v>Calendar and or photos</v>
      </c>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IFERROR(__xludf.DUMMYFUNCTION("""COMPUTED_VALUE"""),"Signing up for an account with the third-party app.")</f>
        <v>Signing up for an account with the third-party app.</v>
      </c>
      <c r="C299" s="12"/>
      <c r="D299" s="12"/>
      <c r="E299" s="12"/>
      <c r="F299" s="12"/>
      <c r="G299" s="12"/>
      <c r="H299" s="12"/>
      <c r="I299" s="12"/>
      <c r="J299" s="12"/>
    </row>
    <row r="300">
      <c r="A300">
        <f>IFERROR(__xludf.DUMMYFUNCTION("""COMPUTED_VALUE"""),416.0)</f>
        <v>416</v>
      </c>
      <c r="B300" s="12" t="str">
        <f>IFERROR(__xludf.DUMMYFUNCTION("""COMPUTED_VALUE"""),"For seeing my name, contact list")</f>
        <v>For seeing my name, contact list</v>
      </c>
      <c r="C300" s="12"/>
      <c r="D300" s="12"/>
      <c r="E300" s="12"/>
      <c r="F300" s="12"/>
      <c r="G300" s="12"/>
      <c r="H300" s="12"/>
      <c r="I300" s="12"/>
      <c r="J300" s="12"/>
    </row>
    <row r="301">
      <c r="A301">
        <f>IFERROR(__xludf.DUMMYFUNCTION("""COMPUTED_VALUE"""),417.0)</f>
        <v>417</v>
      </c>
      <c r="B301" s="12" t="str">
        <f>IFERROR(__xludf.DUMMYFUNCTION("""COMPUTED_VALUE"""),"I forgot, but I know that I've used it.")</f>
        <v>I forgot, but I know that I've used it.</v>
      </c>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t="str">
        <f>IFERROR(__xludf.DUMMYFUNCTION("""COMPUTED_VALUE"""),"To get into the app.")</f>
        <v>To get into the app.</v>
      </c>
      <c r="C304" s="12"/>
      <c r="D304" s="12"/>
      <c r="E304" s="12"/>
      <c r="F304" s="12"/>
      <c r="G304" s="12"/>
      <c r="H304" s="12"/>
      <c r="I304" s="12"/>
      <c r="J304" s="12"/>
    </row>
    <row r="305">
      <c r="A305">
        <f>IFERROR(__xludf.DUMMYFUNCTION("""COMPUTED_VALUE"""),422.0)</f>
        <v>422</v>
      </c>
      <c r="B305" s="12" t="str">
        <f>IFERROR(__xludf.DUMMYFUNCTION("""COMPUTED_VALUE"""),"I can't remember")</f>
        <v>I can't remember</v>
      </c>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IFERROR(__xludf.DUMMYFUNCTION("""COMPUTED_VALUE"""),"To invest")</f>
        <v>To invest</v>
      </c>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t="str">
        <f>IFERROR(__xludf.DUMMYFUNCTION("""COMPUTED_VALUE"""),"sales app")</f>
        <v>sales app</v>
      </c>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IFERROR(__xludf.DUMMYFUNCTION("""COMPUTED_VALUE"""),"they wanted my contacts")</f>
        <v>they wanted my contacts</v>
      </c>
      <c r="C311" s="12"/>
      <c r="D311" s="12"/>
      <c r="E311" s="12"/>
      <c r="F311" s="12"/>
      <c r="G311" s="12"/>
      <c r="H311" s="12"/>
      <c r="I311" s="12"/>
      <c r="J311" s="12"/>
    </row>
    <row r="312">
      <c r="A312">
        <f>IFERROR(__xludf.DUMMYFUNCTION("""COMPUTED_VALUE"""),432.0)</f>
        <v>432</v>
      </c>
      <c r="B312" s="12" t="str">
        <f>IFERROR(__xludf.DUMMYFUNCTION("""COMPUTED_VALUE"""),"It was to allow Zoom to add meetings to my Google Calendar.")</f>
        <v>It was to allow Zoom to add meetings to my Google Calendar.</v>
      </c>
      <c r="C312" s="12"/>
      <c r="D312" s="12"/>
      <c r="E312" s="12"/>
      <c r="F312" s="12"/>
      <c r="G312" s="12"/>
      <c r="H312" s="12"/>
      <c r="I312" s="12"/>
      <c r="J312" s="12"/>
    </row>
    <row r="313">
      <c r="A313">
        <f>IFERROR(__xludf.DUMMYFUNCTION("""COMPUTED_VALUE"""),433.0)</f>
        <v>433</v>
      </c>
      <c r="B313" s="12" t="str">
        <f>IFERROR(__xludf.DUMMYFUNCTION("""COMPUTED_VALUE"""),"For the last app that I used my Google account to log into, I had 3 choices in how to log-in to the app: Facebook, Google, or email. I chose Google because it was so much simpler and faster. I didn't have make up another password. As far as the purpose of"&amp;" allowing the specific access to my Google Account, I can't remember as I use my Google account to log in to several apps all the time.")</f>
        <v>For the last app that I used my Google account to log into, I had 3 choices in how to log-in to the app: Facebook, Google, or email. I chose Google because it was so much simpler and faster. I didn't have make up another password. As far as the purpose of allowing the specific access to my Google Account, I can't remember as I use my Google account to log in to several apps all the time.</v>
      </c>
      <c r="C313" s="12"/>
      <c r="D313" s="12"/>
      <c r="E313" s="12"/>
      <c r="F313" s="12"/>
      <c r="G313" s="12"/>
      <c r="H313" s="12"/>
      <c r="I313" s="12"/>
      <c r="J313" s="12"/>
    </row>
    <row r="314">
      <c r="A314">
        <f>IFERROR(__xludf.DUMMYFUNCTION("""COMPUTED_VALUE"""),434.0)</f>
        <v>434</v>
      </c>
      <c r="B314" s="12" t="str">
        <f>IFERROR(__xludf.DUMMYFUNCTION("""COMPUTED_VALUE"""),"The main purpose was I could login without creating yet another account and password I'd need to remember.")</f>
        <v>The main purpose was I could login without creating yet another account and password I'd need to remember.</v>
      </c>
      <c r="C314" s="12"/>
      <c r="D314" s="12"/>
      <c r="E314" s="12"/>
      <c r="F314" s="12"/>
      <c r="G314" s="12"/>
      <c r="H314" s="12"/>
      <c r="I314" s="12"/>
      <c r="J314" s="12"/>
    </row>
    <row r="315">
      <c r="A315">
        <f>IFERROR(__xludf.DUMMYFUNCTION("""COMPUTED_VALUE"""),435.0)</f>
        <v>435</v>
      </c>
      <c r="B315" s="12" t="str">
        <f>IFERROR(__xludf.DUMMYFUNCTION("""COMPUTED_VALUE"""),"To get access to the service")</f>
        <v>To get access to the service</v>
      </c>
      <c r="C315" s="12"/>
      <c r="D315" s="12"/>
      <c r="E315" s="12"/>
      <c r="F315" s="12"/>
      <c r="G315" s="12"/>
      <c r="H315" s="12"/>
      <c r="I315" s="12"/>
      <c r="J315" s="12"/>
    </row>
    <row r="316">
      <c r="A316">
        <f>IFERROR(__xludf.DUMMYFUNCTION("""COMPUTED_VALUE"""),436.0)</f>
        <v>436</v>
      </c>
      <c r="B316" s="12" t="str">
        <f>IFERROR(__xludf.DUMMYFUNCTION("""COMPUTED_VALUE"""),"The Headspace app")</f>
        <v>The Headspace app</v>
      </c>
      <c r="C316" s="12"/>
      <c r="D316" s="12"/>
      <c r="E316" s="12"/>
      <c r="F316" s="12"/>
      <c r="G316" s="12"/>
      <c r="H316" s="12"/>
      <c r="I316" s="12"/>
      <c r="J316" s="12"/>
    </row>
    <row r="317">
      <c r="A317">
        <f>IFERROR(__xludf.DUMMYFUNCTION("""COMPUTED_VALUE"""),437.0)</f>
        <v>437</v>
      </c>
      <c r="B317" s="12" t="str">
        <f>IFERROR(__xludf.DUMMYFUNCTION("""COMPUTED_VALUE"""),"It was so I didn't have to log in with a separate account and try to remember that password.")</f>
        <v>It was so I didn't have to log in with a separate account and try to remember that password.</v>
      </c>
      <c r="C317" s="12"/>
      <c r="D317" s="12"/>
      <c r="E317" s="12"/>
      <c r="F317" s="12"/>
      <c r="G317" s="12"/>
      <c r="H317" s="12"/>
      <c r="I317" s="12"/>
      <c r="J317" s="12"/>
    </row>
    <row r="318">
      <c r="A318">
        <f>IFERROR(__xludf.DUMMYFUNCTION("""COMPUTED_VALUE"""),439.0)</f>
        <v>439</v>
      </c>
      <c r="B318" s="12" t="str">
        <f>IFERROR(__xludf.DUMMYFUNCTION("""COMPUTED_VALUE"""),"It was allowing an app to scan my email for receipts and track purchase price drops.")</f>
        <v>It was allowing an app to scan my email for receipts and track purchase price drops.</v>
      </c>
      <c r="C318" s="12"/>
      <c r="D318" s="12"/>
      <c r="E318" s="12"/>
      <c r="F318" s="12"/>
      <c r="G318" s="12"/>
      <c r="H318" s="12"/>
      <c r="I318" s="12"/>
      <c r="J318" s="12"/>
    </row>
    <row r="319">
      <c r="A319">
        <f>IFERROR(__xludf.DUMMYFUNCTION("""COMPUTED_VALUE"""),440.0)</f>
        <v>440</v>
      </c>
      <c r="B319" s="12" t="str">
        <f>IFERROR(__xludf.DUMMYFUNCTION("""COMPUTED_VALUE"""),"Downloading a social media app for my phone")</f>
        <v>Downloading a social media app for my phone</v>
      </c>
      <c r="C319" s="12"/>
      <c r="D319" s="12"/>
      <c r="E319" s="12"/>
      <c r="F319" s="12"/>
      <c r="G319" s="12"/>
      <c r="H319" s="12"/>
      <c r="I319" s="12"/>
      <c r="J319" s="12"/>
    </row>
    <row r="320">
      <c r="A320">
        <f>IFERROR(__xludf.DUMMYFUNCTION("""COMPUTED_VALUE"""),442.0)</f>
        <v>442</v>
      </c>
      <c r="B320" s="12" t="str">
        <f>IFERROR(__xludf.DUMMYFUNCTION("""COMPUTED_VALUE"""),"The purpose was for ease of use and log in.")</f>
        <v>The purpose was for ease of use and log in.</v>
      </c>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t="str">
        <f>IFERROR(__xludf.DUMMYFUNCTION("""COMPUTED_VALUE"""),"I allowed slack access.")</f>
        <v>I allowed slack access.</v>
      </c>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t="str">
        <f>IFERROR(__xludf.DUMMYFUNCTION("""COMPUTED_VALUE"""),"I cannot remember exactly. But I have seen the third party grant request before.")</f>
        <v>I cannot remember exactly. But I have seen the third party grant request before.</v>
      </c>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t="str">
        <f>IFERROR(__xludf.DUMMYFUNCTION("""COMPUTED_VALUE"""),"it was to use it to fill out a resume")</f>
        <v>it was to use it to fill out a resume</v>
      </c>
      <c r="C329" s="12"/>
      <c r="D329" s="12"/>
      <c r="E329" s="12"/>
      <c r="F329" s="12"/>
      <c r="G329" s="12"/>
      <c r="H329" s="12"/>
      <c r="I329" s="12"/>
      <c r="J329" s="12"/>
    </row>
    <row r="330">
      <c r="A330">
        <f>IFERROR(__xludf.DUMMYFUNCTION("""COMPUTED_VALUE"""),458.0)</f>
        <v>458</v>
      </c>
      <c r="B330" s="12" t="str">
        <f>IFERROR(__xludf.DUMMYFUNCTION("""COMPUTED_VALUE"""),"It was to sync my smart home devices so I can access them remotely and ensure the account is secured")</f>
        <v>It was to sync my smart home devices so I can access them remotely and ensure the account is secured</v>
      </c>
      <c r="C330" s="12"/>
      <c r="D330" s="12"/>
      <c r="E330" s="12"/>
      <c r="F330" s="12"/>
      <c r="G330" s="12"/>
      <c r="H330" s="12"/>
      <c r="I330" s="12"/>
      <c r="J330" s="12"/>
    </row>
    <row r="331">
      <c r="A331">
        <f>IFERROR(__xludf.DUMMYFUNCTION("""COMPUTED_VALUE"""),459.0)</f>
        <v>459</v>
      </c>
      <c r="B331" s="12" t="str">
        <f>IFERROR(__xludf.DUMMYFUNCTION("""COMPUTED_VALUE"""),"Convenience")</f>
        <v>Convenience</v>
      </c>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t="str">
        <f>IFERROR(__xludf.DUMMYFUNCTION("""COMPUTED_VALUE"""),"To verify who I was")</f>
        <v>To verify who I was</v>
      </c>
      <c r="C333" s="12"/>
      <c r="D333" s="12"/>
      <c r="E333" s="12"/>
      <c r="F333" s="12"/>
      <c r="G333" s="12"/>
      <c r="H333" s="12"/>
      <c r="I333" s="12"/>
      <c r="J333" s="12"/>
    </row>
    <row r="334">
      <c r="A334">
        <f>IFERROR(__xludf.DUMMYFUNCTION("""COMPUTED_VALUE"""),463.0)</f>
        <v>463</v>
      </c>
      <c r="B334" s="12" t="str">
        <f>IFERROR(__xludf.DUMMYFUNCTION("""COMPUTED_VALUE"""),"I am not sure but probably to get my information to send me stuff or to add an extension on to my browser.")</f>
        <v>I am not sure but probably to get my information to send me stuff or to add an extension on to my browser.</v>
      </c>
      <c r="C334" s="12"/>
      <c r="D334" s="12"/>
      <c r="E334" s="12"/>
      <c r="F334" s="12"/>
      <c r="G334" s="12"/>
      <c r="H334" s="12"/>
      <c r="I334" s="12"/>
      <c r="J334" s="12"/>
    </row>
    <row r="335">
      <c r="A335">
        <f>IFERROR(__xludf.DUMMYFUNCTION("""COMPUTED_VALUE"""),464.0)</f>
        <v>464</v>
      </c>
      <c r="B335" s="12" t="str">
        <f>IFERROR(__xludf.DUMMYFUNCTION("""COMPUTED_VALUE"""),"To add information to my Calendar.")</f>
        <v>To add information to my Calendar.</v>
      </c>
      <c r="C335" s="12"/>
      <c r="D335" s="12"/>
      <c r="E335" s="12"/>
      <c r="F335" s="12"/>
      <c r="G335" s="12"/>
      <c r="H335" s="12"/>
      <c r="I335" s="12"/>
      <c r="J335" s="12"/>
    </row>
    <row r="336">
      <c r="A336">
        <f>IFERROR(__xludf.DUMMYFUNCTION("""COMPUTED_VALUE"""),465.0)</f>
        <v>465</v>
      </c>
      <c r="B336" s="12" t="str">
        <f>IFERROR(__xludf.DUMMYFUNCTION("""COMPUTED_VALUE"""),"No idea")</f>
        <v>No idea</v>
      </c>
      <c r="C336" s="12"/>
      <c r="D336" s="12"/>
      <c r="E336" s="12"/>
      <c r="F336" s="12"/>
      <c r="G336" s="12"/>
      <c r="H336" s="12"/>
      <c r="I336" s="12"/>
      <c r="J336" s="12"/>
    </row>
    <row r="337">
      <c r="A337">
        <f>IFERROR(__xludf.DUMMYFUNCTION("""COMPUTED_VALUE"""),466.0)</f>
        <v>466</v>
      </c>
      <c r="B337" s="12" t="str">
        <f>IFERROR(__xludf.DUMMYFUNCTION("""COMPUTED_VALUE"""),"gleam entering giveaways")</f>
        <v>gleam entering giveaways</v>
      </c>
      <c r="C337" s="12"/>
      <c r="D337" s="12"/>
      <c r="E337" s="12"/>
      <c r="F337" s="12"/>
      <c r="G337" s="12"/>
      <c r="H337" s="12"/>
      <c r="I337" s="12"/>
      <c r="J337" s="12"/>
    </row>
    <row r="338">
      <c r="A338">
        <f>IFERROR(__xludf.DUMMYFUNCTION("""COMPUTED_VALUE"""),468.0)</f>
        <v>468</v>
      </c>
      <c r="B338" s="12" t="str">
        <f>IFERROR(__xludf.DUMMYFUNCTION("""COMPUTED_VALUE"""),"Sending updates through email.")</f>
        <v>Sending updates through email.</v>
      </c>
      <c r="C338" s="12"/>
      <c r="D338" s="12"/>
      <c r="E338" s="12"/>
      <c r="F338" s="12"/>
      <c r="G338" s="12"/>
      <c r="H338" s="12"/>
      <c r="I338" s="12"/>
      <c r="J338" s="12"/>
    </row>
    <row r="339">
      <c r="A339">
        <f>IFERROR(__xludf.DUMMYFUNCTION("""COMPUTED_VALUE"""),469.0)</f>
        <v>469</v>
      </c>
      <c r="B339" s="12" t="str">
        <f>IFERROR(__xludf.DUMMYFUNCTION("""COMPUTED_VALUE"""),"OnlyOffice, to sign into my Google Docs.")</f>
        <v>OnlyOffice, to sign into my Google Docs.</v>
      </c>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t="str">
        <f>IFERROR(__xludf.DUMMYFUNCTION("""COMPUTED_VALUE"""),"camera")</f>
        <v>camera</v>
      </c>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t="str">
        <f>IFERROR(__xludf.DUMMYFUNCTION("""COMPUTED_VALUE"""),"honey extension")</f>
        <v>honey extension</v>
      </c>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t="str">
        <f>IFERROR(__xludf.DUMMYFUNCTION("""COMPUTED_VALUE"""),"I think I was trying to create an account with a photo editing app.")</f>
        <v>I think I was trying to create an account with a photo editing app.</v>
      </c>
      <c r="C346" s="12"/>
      <c r="D346" s="12"/>
      <c r="E346" s="12"/>
      <c r="F346" s="12"/>
      <c r="G346" s="12"/>
      <c r="H346" s="12"/>
      <c r="I346" s="12"/>
      <c r="J346" s="12"/>
    </row>
    <row r="347">
      <c r="A347">
        <f>IFERROR(__xludf.DUMMYFUNCTION("""COMPUTED_VALUE"""),480.0)</f>
        <v>480</v>
      </c>
      <c r="B347" s="12" t="str">
        <f>IFERROR(__xludf.DUMMYFUNCTION("""COMPUTED_VALUE"""),"Placing a mobile order.")</f>
        <v>Placing a mobile order.</v>
      </c>
      <c r="C347" s="12"/>
      <c r="D347" s="12"/>
      <c r="E347" s="12"/>
      <c r="F347" s="12"/>
      <c r="G347" s="12"/>
      <c r="H347" s="12"/>
      <c r="I347" s="12"/>
      <c r="J347" s="12"/>
    </row>
    <row r="348">
      <c r="A348">
        <f>IFERROR(__xludf.DUMMYFUNCTION("""COMPUTED_VALUE"""),483.0)</f>
        <v>483</v>
      </c>
      <c r="B348" s="12" t="str">
        <f>IFERROR(__xludf.DUMMYFUNCTION("""COMPUTED_VALUE"""),"I wanted to add a meeting invite to my google calendar to get reminders")</f>
        <v>I wanted to add a meeting invite to my google calendar to get reminders</v>
      </c>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t="str">
        <f>IFERROR(__xludf.DUMMYFUNCTION("""COMPUTED_VALUE"""),"access zoom")</f>
        <v>access zoom</v>
      </c>
      <c r="C352" s="12"/>
      <c r="D352" s="12"/>
      <c r="E352" s="12"/>
      <c r="F352" s="12"/>
      <c r="G352" s="12"/>
      <c r="H352" s="12"/>
      <c r="I352" s="12"/>
      <c r="J352" s="12"/>
    </row>
    <row r="353">
      <c r="A353">
        <f>IFERROR(__xludf.DUMMYFUNCTION("""COMPUTED_VALUE"""),488.0)</f>
        <v>488</v>
      </c>
      <c r="B353" s="12" t="str">
        <f>IFERROR(__xludf.DUMMYFUNCTION("""COMPUTED_VALUE"""),"If I recall correctly it was a scheduling/calendar app; it was to allow Google to sync calendars and share them with family members")</f>
        <v>If I recall correctly it was a scheduling/calendar app; it was to allow Google to sync calendars and share them with family members</v>
      </c>
      <c r="C353" s="12"/>
      <c r="D353" s="12"/>
      <c r="E353" s="12"/>
      <c r="F353" s="12"/>
      <c r="G353" s="12"/>
      <c r="H353" s="12"/>
      <c r="I353" s="12"/>
      <c r="J353" s="12"/>
    </row>
    <row r="354">
      <c r="A354">
        <f>IFERROR(__xludf.DUMMYFUNCTION("""COMPUTED_VALUE"""),489.0)</f>
        <v>489</v>
      </c>
      <c r="B354" s="12" t="str">
        <f>IFERROR(__xludf.DUMMYFUNCTION("""COMPUTED_VALUE"""),"I allowed access to my Google account for a lot of games, because I can get achievements to be displayed on my account with Google, and also it is usually an easy way to recover or save data between devices.")</f>
        <v>I allowed access to my Google account for a lot of games, because I can get achievements to be displayed on my account with Google, and also it is usually an easy way to recover or save data between devices.</v>
      </c>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t="str">
        <f>IFERROR(__xludf.DUMMYFUNCTION("""COMPUTED_VALUE"""),"So it could use my device for budgetary purposes.")</f>
        <v>So it could use my device for budgetary purposes.</v>
      </c>
      <c r="C356" s="12"/>
      <c r="D356" s="12"/>
      <c r="E356" s="12"/>
      <c r="F356" s="12"/>
      <c r="G356" s="12"/>
      <c r="H356" s="12"/>
      <c r="I356" s="12"/>
      <c r="J356" s="12"/>
    </row>
    <row r="357">
      <c r="A357">
        <f>IFERROR(__xludf.DUMMYFUNCTION("""COMPUTED_VALUE"""),493.0)</f>
        <v>493</v>
      </c>
      <c r="B357" s="12" t="str">
        <f>IFERROR(__xludf.DUMMYFUNCTION("""COMPUTED_VALUE"""),"For easier sign in")</f>
        <v>For easier sign in</v>
      </c>
      <c r="C357" s="12"/>
      <c r="D357" s="12"/>
      <c r="E357" s="12"/>
      <c r="F357" s="12"/>
      <c r="G357" s="12"/>
      <c r="H357" s="12"/>
      <c r="I357" s="12"/>
      <c r="J357" s="12"/>
    </row>
    <row r="358">
      <c r="A358">
        <f>IFERROR(__xludf.DUMMYFUNCTION("""COMPUTED_VALUE"""),496.0)</f>
        <v>496</v>
      </c>
      <c r="B358" s="12" t="str">
        <f>IFERROR(__xludf.DUMMYFUNCTION("""COMPUTED_VALUE"""),"Calendar sync to my calendar app of choice.")</f>
        <v>Calendar sync to my calendar app of choice.</v>
      </c>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t="str">
        <f>IFERROR(__xludf.DUMMYFUNCTION("""COMPUTED_VALUE"""),"I believe it was going access the calendar function of my account.")</f>
        <v>I believe it was going access the calendar function of my account.</v>
      </c>
      <c r="C360" s="12"/>
      <c r="D360" s="12"/>
      <c r="E360" s="12"/>
      <c r="F360" s="12"/>
      <c r="G360" s="12"/>
      <c r="H360" s="12"/>
      <c r="I360" s="12"/>
      <c r="J360" s="12"/>
    </row>
    <row r="361">
      <c r="A361">
        <f>IFERROR(__xludf.DUMMYFUNCTION("""COMPUTED_VALUE"""),499.0)</f>
        <v>499</v>
      </c>
      <c r="B361" s="12" t="str">
        <f>IFERROR(__xludf.DUMMYFUNCTION("""COMPUTED_VALUE"""),"It made it easier to log in without making another account")</f>
        <v>It made it easier to log in without making another account</v>
      </c>
      <c r="C361" s="12"/>
      <c r="D361" s="12"/>
      <c r="E361" s="12"/>
      <c r="F361" s="12"/>
      <c r="G361" s="12"/>
      <c r="H361" s="12"/>
      <c r="I361" s="12"/>
      <c r="J361" s="12"/>
    </row>
    <row r="362">
      <c r="A362">
        <f>IFERROR(__xludf.DUMMYFUNCTION("""COMPUTED_VALUE"""),501.0)</f>
        <v>501</v>
      </c>
      <c r="B362" s="12" t="str">
        <f>IFERROR(__xludf.DUMMYFUNCTION("""COMPUTED_VALUE"""),"It was probably for job searching if I remember correctly.")</f>
        <v>It was probably for job searching if I remember correctly.</v>
      </c>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t="str">
        <f>IFERROR(__xludf.DUMMYFUNCTION("""COMPUTED_VALUE"""),"The purpose was to sync my calendar to the app.")</f>
        <v>The purpose was to sync my calendar to the app.</v>
      </c>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t="str">
        <f>IFERROR(__xludf.DUMMYFUNCTION("""COMPUTED_VALUE"""),"calendar integration")</f>
        <v>calendar integration</v>
      </c>
      <c r="C369" s="12"/>
      <c r="D369" s="12"/>
      <c r="E369" s="12"/>
      <c r="F369" s="12"/>
      <c r="G369" s="12"/>
      <c r="H369" s="12"/>
      <c r="I369" s="12"/>
      <c r="J369" s="12"/>
    </row>
    <row r="370">
      <c r="A370">
        <f>IFERROR(__xludf.DUMMYFUNCTION("""COMPUTED_VALUE"""),510.0)</f>
        <v>510</v>
      </c>
      <c r="B370" s="12" t="str">
        <f>IFERROR(__xludf.DUMMYFUNCTION("""COMPUTED_VALUE"""),"To use paypal")</f>
        <v>To use paypal</v>
      </c>
      <c r="C370" s="12"/>
      <c r="D370" s="12"/>
      <c r="E370" s="12"/>
      <c r="F370" s="12"/>
      <c r="G370" s="12"/>
      <c r="H370" s="12"/>
      <c r="I370" s="12"/>
      <c r="J370" s="12"/>
    </row>
    <row r="371">
      <c r="A371">
        <f>IFERROR(__xludf.DUMMYFUNCTION("""COMPUTED_VALUE"""),511.0)</f>
        <v>511</v>
      </c>
      <c r="B371" s="12" t="str">
        <f>IFERROR(__xludf.DUMMYFUNCTION("""COMPUTED_VALUE"""),"to allow it to access my calendar")</f>
        <v>to allow it to access my calendar</v>
      </c>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t="str">
        <f>IFERROR(__xludf.DUMMYFUNCTION("""COMPUTED_VALUE"""),"To buy something")</f>
        <v>To buy something</v>
      </c>
      <c r="C373" s="12"/>
      <c r="D373" s="12"/>
      <c r="E373" s="12"/>
      <c r="F373" s="12"/>
      <c r="G373" s="12"/>
      <c r="H373" s="12"/>
      <c r="I373" s="12"/>
      <c r="J373" s="12"/>
    </row>
    <row r="374">
      <c r="A374">
        <f>IFERROR(__xludf.DUMMYFUNCTION("""COMPUTED_VALUE"""),514.0)</f>
        <v>514</v>
      </c>
      <c r="B374" s="12" t="str">
        <f>IFERROR(__xludf.DUMMYFUNCTION("""COMPUTED_VALUE"""),"I gave my county's recycling service access to my Google Calendar to keep up with dates curbside recycling is available.")</f>
        <v>I gave my county's recycling service access to my Google Calendar to keep up with dates curbside recycling is available.</v>
      </c>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t="str">
        <f>IFERROR(__xludf.DUMMYFUNCTION("""COMPUTED_VALUE"""),"To create a new account for a game")</f>
        <v>To create a new account for a game</v>
      </c>
      <c r="C377" s="12"/>
      <c r="D377" s="12"/>
      <c r="E377" s="12"/>
      <c r="F377" s="12"/>
      <c r="G377" s="12"/>
      <c r="H377" s="12"/>
      <c r="I377" s="12"/>
      <c r="J377" s="12"/>
    </row>
    <row r="378">
      <c r="A378">
        <f>IFERROR(__xludf.DUMMYFUNCTION("""COMPUTED_VALUE"""),518.0)</f>
        <v>518</v>
      </c>
      <c r="B378" s="12" t="str">
        <f>IFERROR(__xludf.DUMMYFUNCTION("""COMPUTED_VALUE"""),"I believe Snapchat for my contacts.")</f>
        <v>I believe Snapchat for my contacts.</v>
      </c>
      <c r="C378" s="12"/>
      <c r="D378" s="12"/>
      <c r="E378" s="12"/>
      <c r="F378" s="12"/>
      <c r="G378" s="12"/>
      <c r="H378" s="12"/>
      <c r="I378" s="12"/>
      <c r="J378" s="12"/>
    </row>
    <row r="379">
      <c r="A379">
        <f>IFERROR(__xludf.DUMMYFUNCTION("""COMPUTED_VALUE"""),519.0)</f>
        <v>519</v>
      </c>
      <c r="B379" s="12" t="str">
        <f>IFERROR(__xludf.DUMMYFUNCTION("""COMPUTED_VALUE"""),"Convenience")</f>
        <v>Convenience</v>
      </c>
      <c r="C379" s="12"/>
      <c r="D379" s="12"/>
      <c r="E379" s="12"/>
      <c r="F379" s="12"/>
      <c r="G379" s="12"/>
      <c r="H379" s="12"/>
      <c r="I379" s="12"/>
      <c r="J379" s="12"/>
    </row>
    <row r="380">
      <c r="A380">
        <f>IFERROR(__xludf.DUMMYFUNCTION("""COMPUTED_VALUE"""),521.0)</f>
        <v>521</v>
      </c>
      <c r="B380" s="12" t="str">
        <f>IFERROR(__xludf.DUMMYFUNCTION("""COMPUTED_VALUE"""),"To allow data to be shared between the apps.")</f>
        <v>To allow data to be shared between the apps.</v>
      </c>
      <c r="C380" s="12"/>
      <c r="D380" s="12"/>
      <c r="E380" s="12"/>
      <c r="F380" s="12"/>
      <c r="G380" s="12"/>
      <c r="H380" s="12"/>
      <c r="I380" s="12"/>
      <c r="J380" s="12"/>
    </row>
    <row r="381">
      <c r="A381">
        <f>IFERROR(__xludf.DUMMYFUNCTION("""COMPUTED_VALUE"""),522.0)</f>
        <v>522</v>
      </c>
      <c r="B381" s="12" t="str">
        <f>IFERROR(__xludf.DUMMYFUNCTION("""COMPUTED_VALUE"""),"I allowed it in order to use the Google Navigation app on my phone.")</f>
        <v>I allowed it in order to use the Google Navigation app on my phone.</v>
      </c>
      <c r="C381" s="12"/>
      <c r="D381" s="12"/>
      <c r="E381" s="12"/>
      <c r="F381" s="12"/>
      <c r="G381" s="12"/>
      <c r="H381" s="12"/>
      <c r="I381" s="12"/>
      <c r="J381" s="12"/>
    </row>
    <row r="382">
      <c r="A382">
        <f>IFERROR(__xludf.DUMMYFUNCTION("""COMPUTED_VALUE"""),523.0)</f>
        <v>523</v>
      </c>
      <c r="B382" s="12" t="str">
        <f>IFERROR(__xludf.DUMMYFUNCTION("""COMPUTED_VALUE"""),"So the app can function.")</f>
        <v>So the app can function.</v>
      </c>
      <c r="C382" s="12"/>
      <c r="D382" s="12"/>
      <c r="E382" s="12"/>
      <c r="F382" s="12"/>
      <c r="G382" s="12"/>
      <c r="H382" s="12"/>
      <c r="I382" s="12"/>
      <c r="J382" s="12"/>
    </row>
    <row r="383">
      <c r="A383">
        <f>IFERROR(__xludf.DUMMYFUNCTION("""COMPUTED_VALUE"""),527.0)</f>
        <v>527</v>
      </c>
      <c r="B383" s="12" t="str">
        <f>IFERROR(__xludf.DUMMYFUNCTION("""COMPUTED_VALUE"""),"I beileve they wanted my name, email address, and some other minor piece of information that escapes me now.")</f>
        <v>I beileve they wanted my name, email address, and some other minor piece of information that escapes me now.</v>
      </c>
      <c r="C383" s="12"/>
      <c r="D383" s="12"/>
      <c r="E383" s="12"/>
      <c r="F383" s="12"/>
      <c r="G383" s="12"/>
      <c r="H383" s="12"/>
      <c r="I383" s="12"/>
      <c r="J383" s="12"/>
    </row>
    <row r="384">
      <c r="A384">
        <f>IFERROR(__xludf.DUMMYFUNCTION("""COMPUTED_VALUE"""),528.0)</f>
        <v>528</v>
      </c>
      <c r="B384" s="12" t="str">
        <f>IFERROR(__xludf.DUMMYFUNCTION("""COMPUTED_VALUE"""),"to pay for something")</f>
        <v>to pay for something</v>
      </c>
      <c r="C384" s="12"/>
      <c r="D384" s="12"/>
      <c r="E384" s="12"/>
      <c r="F384" s="12"/>
      <c r="G384" s="12"/>
      <c r="H384" s="12"/>
      <c r="I384" s="12"/>
      <c r="J384" s="12"/>
    </row>
    <row r="385">
      <c r="A385">
        <f>IFERROR(__xludf.DUMMYFUNCTION("""COMPUTED_VALUE"""),529.0)</f>
        <v>529</v>
      </c>
      <c r="B385" s="12" t="str">
        <f>IFERROR(__xludf.DUMMYFUNCTION("""COMPUTED_VALUE"""),"Improving my experience using a smartwatch")</f>
        <v>Improving my experience using a smartwatch</v>
      </c>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t="str">
        <f>IFERROR(__xludf.DUMMYFUNCTION("""COMPUTED_VALUE"""),"I gave access to a game on android.")</f>
        <v>I gave access to a game on android.</v>
      </c>
      <c r="C388" s="12"/>
      <c r="D388" s="12"/>
      <c r="E388" s="12"/>
      <c r="F388" s="12"/>
      <c r="G388" s="12"/>
      <c r="H388" s="12"/>
      <c r="I388" s="12"/>
      <c r="J388" s="12"/>
    </row>
    <row r="389">
      <c r="A389">
        <f>IFERROR(__xludf.DUMMYFUNCTION("""COMPUTED_VALUE"""),536.0)</f>
        <v>536</v>
      </c>
      <c r="B389" s="12" t="str">
        <f>IFERROR(__xludf.DUMMYFUNCTION("""COMPUTED_VALUE"""),"I wasnt sure i just allow it because i guess i trusted the site i was on.")</f>
        <v>I wasnt sure i just allow it because i guess i trusted the site i was on.</v>
      </c>
      <c r="C389" s="12"/>
      <c r="D389" s="12"/>
      <c r="E389" s="12"/>
      <c r="F389" s="12"/>
      <c r="G389" s="12"/>
      <c r="H389" s="12"/>
      <c r="I389" s="12"/>
      <c r="J389" s="12"/>
    </row>
    <row r="390">
      <c r="A390">
        <f>IFERROR(__xludf.DUMMYFUNCTION("""COMPUTED_VALUE"""),537.0)</f>
        <v>537</v>
      </c>
      <c r="B390" s="12" t="str">
        <f>IFERROR(__xludf.DUMMYFUNCTION("""COMPUTED_VALUE"""),"I do not remember")</f>
        <v>I do not remember</v>
      </c>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t="str">
        <f>IFERROR(__xludf.DUMMYFUNCTION("""COMPUTED_VALUE"""),"to sign in easy")</f>
        <v>to sign in easy</v>
      </c>
      <c r="C395" s="12"/>
      <c r="D395" s="12"/>
      <c r="E395" s="12"/>
      <c r="F395" s="12"/>
      <c r="G395" s="12"/>
      <c r="H395" s="12"/>
      <c r="I395" s="12"/>
      <c r="J395" s="12"/>
    </row>
    <row r="396">
      <c r="A396">
        <f>IFERROR(__xludf.DUMMYFUNCTION("""COMPUTED_VALUE"""),544.0)</f>
        <v>544</v>
      </c>
      <c r="B396" s="12" t="str">
        <f>IFERROR(__xludf.DUMMYFUNCTION("""COMPUTED_VALUE"""),"zoom, getting on my calendar easy")</f>
        <v>zoom, getting on my calendar easy</v>
      </c>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t="str">
        <f>IFERROR(__xludf.DUMMYFUNCTION("""COMPUTED_VALUE"""),"Giving access to contacts")</f>
        <v>Giving access to contacts</v>
      </c>
      <c r="C401" s="12"/>
      <c r="D401" s="12"/>
      <c r="E401" s="12"/>
      <c r="F401" s="12"/>
      <c r="G401" s="12"/>
      <c r="H401" s="12"/>
      <c r="I401" s="12"/>
      <c r="J401" s="12"/>
    </row>
    <row r="402">
      <c r="A402">
        <f>IFERROR(__xludf.DUMMYFUNCTION("""COMPUTED_VALUE"""),552.0)</f>
        <v>552</v>
      </c>
      <c r="B402" s="12" t="str">
        <f>IFERROR(__xludf.DUMMYFUNCTION("""COMPUTED_VALUE"""),"To sign up")</f>
        <v>To sign up</v>
      </c>
      <c r="C402" s="12"/>
      <c r="D402" s="12"/>
      <c r="E402" s="12"/>
      <c r="F402" s="12"/>
      <c r="G402" s="12"/>
      <c r="H402" s="12"/>
      <c r="I402" s="12"/>
      <c r="J402" s="12"/>
    </row>
    <row r="403">
      <c r="A403">
        <f>IFERROR(__xludf.DUMMYFUNCTION("""COMPUTED_VALUE"""),553.0)</f>
        <v>553</v>
      </c>
      <c r="B403" s="12" t="str">
        <f>IFERROR(__xludf.DUMMYFUNCTION("""COMPUTED_VALUE"""),"I don't really remember but I do remember encountering this type of screen in the past.")</f>
        <v>I don't really remember but I do remember encountering this type of screen in the past.</v>
      </c>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t="str">
        <f>IFERROR(__xludf.DUMMYFUNCTION("""COMPUTED_VALUE"""),"For some calendar, and games.")</f>
        <v>For some calendar, and games.</v>
      </c>
      <c r="C407" s="12"/>
      <c r="D407" s="12"/>
      <c r="E407" s="12"/>
      <c r="F407" s="12"/>
      <c r="G407" s="12"/>
      <c r="H407" s="12"/>
      <c r="I407" s="12"/>
      <c r="J407" s="12"/>
    </row>
    <row r="408">
      <c r="A408">
        <f>IFERROR(__xludf.DUMMYFUNCTION("""COMPUTED_VALUE"""),558.0)</f>
        <v>558</v>
      </c>
      <c r="B408" s="12" t="str">
        <f>IFERROR(__xludf.DUMMYFUNCTION("""COMPUTED_VALUE"""),"Signing onto a gaming service")</f>
        <v>Signing onto a gaming service</v>
      </c>
      <c r="C408" s="12"/>
      <c r="D408" s="12"/>
      <c r="E408" s="12"/>
      <c r="F408" s="12"/>
      <c r="G408" s="12"/>
      <c r="H408" s="12"/>
      <c r="I408" s="12"/>
      <c r="J408" s="12"/>
    </row>
    <row r="409">
      <c r="A409">
        <f>IFERROR(__xludf.DUMMYFUNCTION("""COMPUTED_VALUE"""),559.0)</f>
        <v>559</v>
      </c>
      <c r="B409" s="12" t="str">
        <f>IFERROR(__xludf.DUMMYFUNCTION("""COMPUTED_VALUE"""),"To coordinate access with my calendar to help schedule meetings by Doodle")</f>
        <v>To coordinate access with my calendar to help schedule meetings by Doodle</v>
      </c>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t="str">
        <f>IFERROR(__xludf.DUMMYFUNCTION("""COMPUTED_VALUE"""),"The primary reason was to access more features without the need to create a new account on the site.")</f>
        <v>The primary reason was to access more features without the need to create a new account on the site.</v>
      </c>
      <c r="C411" s="12"/>
      <c r="D411" s="12"/>
      <c r="E411" s="12"/>
      <c r="F411" s="12"/>
      <c r="G411" s="12"/>
      <c r="H411" s="12"/>
      <c r="I411" s="12"/>
      <c r="J411" s="12"/>
    </row>
    <row r="412">
      <c r="A412">
        <f>IFERROR(__xludf.DUMMYFUNCTION("""COMPUTED_VALUE"""),564.0)</f>
        <v>564</v>
      </c>
      <c r="B412" s="12" t="str">
        <f>IFERROR(__xludf.DUMMYFUNCTION("""COMPUTED_VALUE"""),"It was too allow them to connect my contactst to the app.")</f>
        <v>It was too allow them to connect my contactst to the app.</v>
      </c>
      <c r="C412" s="12"/>
      <c r="D412" s="12"/>
      <c r="E412" s="12"/>
      <c r="F412" s="12"/>
      <c r="G412" s="12"/>
      <c r="H412" s="12"/>
      <c r="I412" s="12"/>
      <c r="J412" s="12"/>
    </row>
    <row r="413">
      <c r="A413">
        <f>IFERROR(__xludf.DUMMYFUNCTION("""COMPUTED_VALUE"""),566.0)</f>
        <v>566</v>
      </c>
      <c r="B413" s="12" t="str">
        <f>IFERROR(__xludf.DUMMYFUNCTION("""COMPUTED_VALUE"""),"Subscribing to several lists on the service put events directly into my calendar. By allowing access to my calendar, the events could be updated automatically if the owner changed any data.")</f>
        <v>Subscribing to several lists on the service put events directly into my calendar. By allowing access to my calendar, the events could be updated automatically if the owner changed any data.</v>
      </c>
      <c r="C413" s="12"/>
      <c r="D413" s="12"/>
      <c r="E413" s="12"/>
      <c r="F413" s="12"/>
      <c r="G413" s="12"/>
      <c r="H413" s="12"/>
      <c r="I413" s="12"/>
      <c r="J413" s="12"/>
    </row>
    <row r="414">
      <c r="A414">
        <f>IFERROR(__xludf.DUMMYFUNCTION("""COMPUTED_VALUE"""),569.0)</f>
        <v>569</v>
      </c>
      <c r="B414" s="12" t="str">
        <f>IFERROR(__xludf.DUMMYFUNCTION("""COMPUTED_VALUE"""),"Creating an account on food delivery app")</f>
        <v>Creating an account on food delivery app</v>
      </c>
      <c r="C414" s="12"/>
      <c r="D414" s="12"/>
      <c r="E414" s="12"/>
      <c r="F414" s="12"/>
      <c r="G414" s="12"/>
      <c r="H414" s="12"/>
      <c r="I414" s="12"/>
      <c r="J414" s="12"/>
    </row>
    <row r="415">
      <c r="A415">
        <f>IFERROR(__xludf.DUMMYFUNCTION("""COMPUTED_VALUE"""),570.0)</f>
        <v>570</v>
      </c>
      <c r="B415" s="12" t="str">
        <f>IFERROR(__xludf.DUMMYFUNCTION("""COMPUTED_VALUE"""),"So it could see my contacts.")</f>
        <v>So it could see my contacts.</v>
      </c>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t="str">
        <f>IFERROR(__xludf.DUMMYFUNCTION("""COMPUTED_VALUE"""),"I know my phone calendar has access to my google calendar")</f>
        <v>I know my phone calendar has access to my google calendar</v>
      </c>
      <c r="C418" s="12"/>
      <c r="D418" s="12"/>
      <c r="E418" s="12"/>
      <c r="F418" s="12"/>
      <c r="G418" s="12"/>
      <c r="H418" s="12"/>
      <c r="I418" s="12"/>
      <c r="J418" s="12"/>
    </row>
    <row r="419">
      <c r="A419">
        <f>IFERROR(__xludf.DUMMYFUNCTION("""COMPUTED_VALUE"""),580.0)</f>
        <v>580</v>
      </c>
      <c r="B419" s="12" t="str">
        <f>IFERROR(__xludf.DUMMYFUNCTION("""COMPUTED_VALUE"""),"Access my contacts")</f>
        <v>Access my contacts</v>
      </c>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t="str">
        <f>IFERROR(__xludf.DUMMYFUNCTION("""COMPUTED_VALUE"""),"To keep track of my Yelp favorites.")</f>
        <v>To keep track of my Yelp favorites.</v>
      </c>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t="str">
        <f>IFERROR(__xludf.DUMMYFUNCTION("""COMPUTED_VALUE"""),"It was so that a third party Android launcher could work on my phone")</f>
        <v>It was so that a third party Android launcher could work on my phone</v>
      </c>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t="str">
        <f>IFERROR(__xludf.DUMMYFUNCTION("""COMPUTED_VALUE"""),"To type out less of my information")</f>
        <v>To type out less of my information</v>
      </c>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t="str">
        <f>IFERROR(__xludf.DUMMYFUNCTION("""COMPUTED_VALUE"""),"I don't recall the specific instance")</f>
        <v>I don't recall the specific instance</v>
      </c>
      <c r="C428" s="12"/>
      <c r="D428" s="12"/>
      <c r="E428" s="12"/>
      <c r="F428" s="12"/>
      <c r="G428" s="12"/>
      <c r="H428" s="12"/>
      <c r="I428" s="12"/>
      <c r="J428" s="12"/>
    </row>
    <row r="429">
      <c r="A429">
        <f>IFERROR(__xludf.DUMMYFUNCTION("""COMPUTED_VALUE"""),593.0)</f>
        <v>593</v>
      </c>
      <c r="B429" s="12" t="str">
        <f>IFERROR(__xludf.DUMMYFUNCTION("""COMPUTED_VALUE"""),"To merge everything together")</f>
        <v>To merge everything together</v>
      </c>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IFERROR(__xludf.DUMMYFUNCTION("""COMPUTED_VALUE"""),"Logging into a newly created account to apply for jobs")</f>
        <v>Logging into a newly created account to apply for jobs</v>
      </c>
      <c r="C431" s="12"/>
      <c r="D431" s="12"/>
      <c r="E431" s="12"/>
      <c r="F431" s="12"/>
      <c r="G431" s="12"/>
      <c r="H431" s="12"/>
      <c r="I431" s="12"/>
      <c r="J431" s="12"/>
    </row>
    <row r="432">
      <c r="A432">
        <f>IFERROR(__xludf.DUMMYFUNCTION("""COMPUTED_VALUE"""),598.0)</f>
        <v>598</v>
      </c>
      <c r="B432" s="12" t="str">
        <f>IFERROR(__xludf.DUMMYFUNCTION("""COMPUTED_VALUE"""),"I believe it was for a receipt rebate app that gives you a certain amount of money for every online purchase you make.")</f>
        <v>I believe it was for a receipt rebate app that gives you a certain amount of money for every online purchase you make.</v>
      </c>
      <c r="C432" s="12"/>
      <c r="D432" s="12"/>
      <c r="E432" s="12"/>
      <c r="F432" s="12"/>
      <c r="G432" s="12"/>
      <c r="H432" s="12"/>
      <c r="I432" s="12"/>
      <c r="J432" s="12"/>
    </row>
    <row r="433">
      <c r="A433">
        <f>IFERROR(__xludf.DUMMYFUNCTION("""COMPUTED_VALUE"""),600.0)</f>
        <v>600</v>
      </c>
      <c r="B433" s="12" t="str">
        <f>IFERROR(__xludf.DUMMYFUNCTION("""COMPUTED_VALUE"""),"I don't recall.")</f>
        <v>I don't recall.</v>
      </c>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IFERROR(__xludf.DUMMYFUNCTION("QUERY({'S11 (secondary)'!C2:C1000;'S11 (secondary)'!D2:D1000;'S11 (secondary)'!E2:E1000;'S11 (secondary)'!F2:F1000;'S11 (secondary)'!G2:G1000;'S11 (secondary)'!H2:H1000;'S11 (secondary)'!I2:I1000;'S11 (secondary)'!J2:J1000;'S11 (secondary)'!K2:K1000}, ""s"&amp;"elect Col1, count(Col1) where Col1 is not null group by Col1 order by Col1 asc"")"),"")</f>
        <v/>
      </c>
      <c r="B2" s="34" t="str">
        <f>IFERROR(__xludf.DUMMYFUNCTION("""COMPUTED_VALUE"""),"count ")</f>
        <v>count </v>
      </c>
      <c r="C2" s="34"/>
      <c r="D2" s="34"/>
      <c r="E2" s="34" t="str">
        <f>IFERROR(__xludf.DUMMYFUNCTION("QUERY({'S11 (secondary)'!C2:C1000;'S11 (secondary)'!D2:D1000;'S11 (secondary)'!E2:E1000;'S11 (secondary)'!F2:F1000;'S11 (secondary)'!G2:G1000;'S11 (secondary)'!H2:H1000;'S11 (secondary)'!I2:I1000;'S11 (secondary)'!J2:J1000;'S11 (secondary)'!K2:K1000}, ""s"&amp;"elect Col1, count(Col1) where Col1 is not null and not Col1 contains '-&gt;' group by Col1 order by count(Col1) asc"")"),"")</f>
        <v/>
      </c>
      <c r="F2" s="34" t="str">
        <f>IFERROR(__xludf.DUMMYFUNCTION("""COMPUTED_VALUE"""),"count ")</f>
        <v>count </v>
      </c>
    </row>
    <row r="3">
      <c r="A3" t="str">
        <f>IFERROR(__xludf.DUMMYFUNCTION("""COMPUTED_VALUE"""),"calendar")</f>
        <v>calendar</v>
      </c>
      <c r="B3">
        <f>IFERROR(__xludf.DUMMYFUNCTION("""COMPUTED_VALUE"""),10.0)</f>
        <v>10</v>
      </c>
      <c r="E3" t="str">
        <f>IFERROR(__xludf.DUMMYFUNCTION("""COMPUTED_VALUE"""),"gaming")</f>
        <v>gaming</v>
      </c>
      <c r="F3">
        <f>IFERROR(__xludf.DUMMYFUNCTION("""COMPUTED_VALUE"""),1.0)</f>
        <v>1</v>
      </c>
    </row>
    <row r="4">
      <c r="A4" t="str">
        <f>IFERROR(__xludf.DUMMYFUNCTION("""COMPUTED_VALUE"""),"contacts")</f>
        <v>contacts</v>
      </c>
      <c r="B4">
        <f>IFERROR(__xludf.DUMMYFUNCTION("""COMPUTED_VALUE"""),5.0)</f>
        <v>5</v>
      </c>
      <c r="E4" t="str">
        <f>IFERROR(__xludf.DUMMYFUNCTION("""COMPUTED_VALUE"""),"security")</f>
        <v>security</v>
      </c>
      <c r="F4">
        <f>IFERROR(__xludf.DUMMYFUNCTION("""COMPUTED_VALUE"""),1.0)</f>
        <v>1</v>
      </c>
    </row>
    <row r="5">
      <c r="A5" t="str">
        <f>IFERROR(__xludf.DUMMYFUNCTION("""COMPUTED_VALUE"""),"ease_of_use")</f>
        <v>ease_of_use</v>
      </c>
      <c r="B5">
        <f>IFERROR(__xludf.DUMMYFUNCTION("""COMPUTED_VALUE"""),6.0)</f>
        <v>6</v>
      </c>
      <c r="E5" t="str">
        <f>IFERROR(__xludf.DUMMYFUNCTION("""COMPUTED_VALUE"""),"no_recall")</f>
        <v>no_recall</v>
      </c>
      <c r="F5">
        <f>IFERROR(__xludf.DUMMYFUNCTION("""COMPUTED_VALUE"""),2.0)</f>
        <v>2</v>
      </c>
    </row>
    <row r="6">
      <c r="A6" t="str">
        <f>IFERROR(__xludf.DUMMYFUNCTION("""COMPUTED_VALUE"""),"gaming")</f>
        <v>gaming</v>
      </c>
      <c r="B6">
        <f>IFERROR(__xludf.DUMMYFUNCTION("""COMPUTED_VALUE"""),1.0)</f>
        <v>1</v>
      </c>
      <c r="E6" t="str">
        <f>IFERROR(__xludf.DUMMYFUNCTION("""COMPUTED_VALUE"""),"shopping")</f>
        <v>shopping</v>
      </c>
      <c r="F6">
        <f>IFERROR(__xludf.DUMMYFUNCTION("""COMPUTED_VALUE"""),2.0)</f>
        <v>2</v>
      </c>
    </row>
    <row r="7">
      <c r="A7" t="str">
        <f>IFERROR(__xludf.DUMMYFUNCTION("""COMPUTED_VALUE"""),"necessary")</f>
        <v>necessary</v>
      </c>
      <c r="B7">
        <f>IFERROR(__xludf.DUMMYFUNCTION("""COMPUTED_VALUE"""),8.0)</f>
        <v>8</v>
      </c>
      <c r="E7" t="str">
        <f>IFERROR(__xludf.DUMMYFUNCTION("""COMPUTED_VALUE"""),"work_related")</f>
        <v>work_related</v>
      </c>
      <c r="F7">
        <f>IFERROR(__xludf.DUMMYFUNCTION("""COMPUTED_VALUE"""),3.0)</f>
        <v>3</v>
      </c>
    </row>
    <row r="8">
      <c r="A8" t="str">
        <f>IFERROR(__xludf.DUMMYFUNCTION("""COMPUTED_VALUE"""),"no_recall")</f>
        <v>no_recall</v>
      </c>
      <c r="B8">
        <f>IFERROR(__xludf.DUMMYFUNCTION("""COMPUTED_VALUE"""),2.0)</f>
        <v>2</v>
      </c>
      <c r="E8" t="str">
        <f>IFERROR(__xludf.DUMMYFUNCTION("""COMPUTED_VALUE"""),"notifications")</f>
        <v>notifications</v>
      </c>
      <c r="F8">
        <f>IFERROR(__xludf.DUMMYFUNCTION("""COMPUTED_VALUE"""),4.0)</f>
        <v>4</v>
      </c>
    </row>
    <row r="9">
      <c r="A9" t="str">
        <f>IFERROR(__xludf.DUMMYFUNCTION("""COMPUTED_VALUE"""),"notifications")</f>
        <v>notifications</v>
      </c>
      <c r="B9">
        <f>IFERROR(__xludf.DUMMYFUNCTION("""COMPUTED_VALUE"""),4.0)</f>
        <v>4</v>
      </c>
      <c r="E9" t="str">
        <f>IFERROR(__xludf.DUMMYFUNCTION("""COMPUTED_VALUE"""),"personal_info")</f>
        <v>personal_info</v>
      </c>
      <c r="F9">
        <f>IFERROR(__xludf.DUMMYFUNCTION("""COMPUTED_VALUE"""),4.0)</f>
        <v>4</v>
      </c>
    </row>
    <row r="10">
      <c r="A10" t="str">
        <f>IFERROR(__xludf.DUMMYFUNCTION("""COMPUTED_VALUE"""),"personal_info")</f>
        <v>personal_info</v>
      </c>
      <c r="B10">
        <f>IFERROR(__xludf.DUMMYFUNCTION("""COMPUTED_VALUE"""),4.0)</f>
        <v>4</v>
      </c>
      <c r="E10" t="str">
        <f>IFERROR(__xludf.DUMMYFUNCTION("""COMPUTED_VALUE"""),"contacts")</f>
        <v>contacts</v>
      </c>
      <c r="F10">
        <f>IFERROR(__xludf.DUMMYFUNCTION("""COMPUTED_VALUE"""),5.0)</f>
        <v>5</v>
      </c>
    </row>
    <row r="11">
      <c r="A11" t="str">
        <f>IFERROR(__xludf.DUMMYFUNCTION("""COMPUTED_VALUE"""),"security")</f>
        <v>security</v>
      </c>
      <c r="B11">
        <f>IFERROR(__xludf.DUMMYFUNCTION("""COMPUTED_VALUE"""),1.0)</f>
        <v>1</v>
      </c>
      <c r="E11" t="str">
        <f>IFERROR(__xludf.DUMMYFUNCTION("""COMPUTED_VALUE"""),"sign_in")</f>
        <v>sign_in</v>
      </c>
      <c r="F11">
        <f>IFERROR(__xludf.DUMMYFUNCTION("""COMPUTED_VALUE"""),5.0)</f>
        <v>5</v>
      </c>
    </row>
    <row r="12">
      <c r="A12" t="str">
        <f>IFERROR(__xludf.DUMMYFUNCTION("""COMPUTED_VALUE"""),"shopping")</f>
        <v>shopping</v>
      </c>
      <c r="B12">
        <f>IFERROR(__xludf.DUMMYFUNCTION("""COMPUTED_VALUE"""),2.0)</f>
        <v>2</v>
      </c>
      <c r="E12" t="str">
        <f>IFERROR(__xludf.DUMMYFUNCTION("""COMPUTED_VALUE"""),"utility")</f>
        <v>utility</v>
      </c>
      <c r="F12">
        <f>IFERROR(__xludf.DUMMYFUNCTION("""COMPUTED_VALUE"""),5.0)</f>
        <v>5</v>
      </c>
    </row>
    <row r="13">
      <c r="A13" t="str">
        <f>IFERROR(__xludf.DUMMYFUNCTION("""COMPUTED_VALUE"""),"sign_in")</f>
        <v>sign_in</v>
      </c>
      <c r="B13">
        <f>IFERROR(__xludf.DUMMYFUNCTION("""COMPUTED_VALUE"""),5.0)</f>
        <v>5</v>
      </c>
      <c r="E13" t="str">
        <f>IFERROR(__xludf.DUMMYFUNCTION("""COMPUTED_VALUE"""),"ease_of_use")</f>
        <v>ease_of_use</v>
      </c>
      <c r="F13">
        <f>IFERROR(__xludf.DUMMYFUNCTION("""COMPUTED_VALUE"""),6.0)</f>
        <v>6</v>
      </c>
    </row>
    <row r="14">
      <c r="A14" t="str">
        <f>IFERROR(__xludf.DUMMYFUNCTION("""COMPUTED_VALUE"""),"specific_app_or_service")</f>
        <v>specific_app_or_service</v>
      </c>
      <c r="B14">
        <f>IFERROR(__xludf.DUMMYFUNCTION("""COMPUTED_VALUE"""),12.0)</f>
        <v>12</v>
      </c>
      <c r="E14" t="str">
        <f>IFERROR(__xludf.DUMMYFUNCTION("""COMPUTED_VALUE"""),"necessary")</f>
        <v>necessary</v>
      </c>
      <c r="F14">
        <f>IFERROR(__xludf.DUMMYFUNCTION("""COMPUTED_VALUE"""),8.0)</f>
        <v>8</v>
      </c>
    </row>
    <row r="15">
      <c r="A15" t="str">
        <f>IFERROR(__xludf.DUMMYFUNCTION("""COMPUTED_VALUE"""),"specific_app_or_service-&gt;calendly")</f>
        <v>specific_app_or_service-&gt;calendly</v>
      </c>
      <c r="B15">
        <f>IFERROR(__xludf.DUMMYFUNCTION("""COMPUTED_VALUE"""),1.0)</f>
        <v>1</v>
      </c>
      <c r="E15" t="str">
        <f>IFERROR(__xludf.DUMMYFUNCTION("""COMPUTED_VALUE"""),"calendar")</f>
        <v>calendar</v>
      </c>
      <c r="F15">
        <f>IFERROR(__xludf.DUMMYFUNCTION("""COMPUTED_VALUE"""),10.0)</f>
        <v>10</v>
      </c>
    </row>
    <row r="16">
      <c r="A16" t="str">
        <f>IFERROR(__xludf.DUMMYFUNCTION("""COMPUTED_VALUE"""),"specific_app_or_service-&gt;google_docs")</f>
        <v>specific_app_or_service-&gt;google_docs</v>
      </c>
      <c r="B16">
        <f>IFERROR(__xludf.DUMMYFUNCTION("""COMPUTED_VALUE"""),1.0)</f>
        <v>1</v>
      </c>
      <c r="E16" t="str">
        <f>IFERROR(__xludf.DUMMYFUNCTION("""COMPUTED_VALUE"""),"specific_app_or_service")</f>
        <v>specific_app_or_service</v>
      </c>
      <c r="F16">
        <f>IFERROR(__xludf.DUMMYFUNCTION("""COMPUTED_VALUE"""),12.0)</f>
        <v>12</v>
      </c>
    </row>
    <row r="17">
      <c r="A17" t="str">
        <f>IFERROR(__xludf.DUMMYFUNCTION("""COMPUTED_VALUE"""),"specific_app_or_service-&gt;google_drive")</f>
        <v>specific_app_or_service-&gt;google_drive</v>
      </c>
      <c r="B17">
        <f>IFERROR(__xludf.DUMMYFUNCTION("""COMPUTED_VALUE"""),1.0)</f>
        <v>1</v>
      </c>
    </row>
    <row r="18">
      <c r="A18" t="str">
        <f>IFERROR(__xludf.DUMMYFUNCTION("""COMPUTED_VALUE"""),"specific_app_or_service-&gt;peloton")</f>
        <v>specific_app_or_service-&gt;peloton</v>
      </c>
      <c r="B18">
        <f>IFERROR(__xludf.DUMMYFUNCTION("""COMPUTED_VALUE"""),1.0)</f>
        <v>1</v>
      </c>
    </row>
    <row r="19">
      <c r="A19" t="str">
        <f>IFERROR(__xludf.DUMMYFUNCTION("""COMPUTED_VALUE"""),"specific_app_or_service-&gt;todoist")</f>
        <v>specific_app_or_service-&gt;todoist</v>
      </c>
      <c r="B19">
        <f>IFERROR(__xludf.DUMMYFUNCTION("""COMPUTED_VALUE"""),1.0)</f>
        <v>1</v>
      </c>
    </row>
    <row r="20">
      <c r="A20" t="str">
        <f>IFERROR(__xludf.DUMMYFUNCTION("""COMPUTED_VALUE"""),"specific_app_or_service-&gt;twitter")</f>
        <v>specific_app_or_service-&gt;twitter</v>
      </c>
      <c r="B20">
        <f>IFERROR(__xludf.DUMMYFUNCTION("""COMPUTED_VALUE"""),1.0)</f>
        <v>1</v>
      </c>
    </row>
    <row r="21">
      <c r="A21" t="str">
        <f>IFERROR(__xludf.DUMMYFUNCTION("""COMPUTED_VALUE"""),"specific_app_or_service-&gt;youtube")</f>
        <v>specific_app_or_service-&gt;youtube</v>
      </c>
      <c r="B21">
        <f>IFERROR(__xludf.DUMMYFUNCTION("""COMPUTED_VALUE"""),1.0)</f>
        <v>1</v>
      </c>
    </row>
    <row r="22">
      <c r="A22" t="str">
        <f>IFERROR(__xludf.DUMMYFUNCTION("""COMPUTED_VALUE"""),"specific_app_or_service-&gt;zoom")</f>
        <v>specific_app_or_service-&gt;zoom</v>
      </c>
      <c r="B22">
        <f>IFERROR(__xludf.DUMMYFUNCTION("""COMPUTED_VALUE"""),1.0)</f>
        <v>1</v>
      </c>
    </row>
    <row r="23">
      <c r="A23" t="str">
        <f>IFERROR(__xludf.DUMMYFUNCTION("""COMPUTED_VALUE"""),"utility")</f>
        <v>utility</v>
      </c>
      <c r="B23">
        <f>IFERROR(__xludf.DUMMYFUNCTION("""COMPUTED_VALUE"""),5.0)</f>
        <v>5</v>
      </c>
    </row>
    <row r="24">
      <c r="A24" t="str">
        <f>IFERROR(__xludf.DUMMYFUNCTION("""COMPUTED_VALUE"""),"utility-&gt;file_transfer")</f>
        <v>utility-&gt;file_transfer</v>
      </c>
      <c r="B24">
        <f>IFERROR(__xludf.DUMMYFUNCTION("""COMPUTED_VALUE"""),1.0)</f>
        <v>1</v>
      </c>
    </row>
    <row r="25">
      <c r="A25" t="str">
        <f>IFERROR(__xludf.DUMMYFUNCTION("""COMPUTED_VALUE"""),"utility-&gt;scan_documents")</f>
        <v>utility-&gt;scan_documents</v>
      </c>
      <c r="B25">
        <f>IFERROR(__xludf.DUMMYFUNCTION("""COMPUTED_VALUE"""),1.0)</f>
        <v>1</v>
      </c>
    </row>
    <row r="26">
      <c r="A26" t="str">
        <f>IFERROR(__xludf.DUMMYFUNCTION("""COMPUTED_VALUE"""),"utility-&gt;synch_info")</f>
        <v>utility-&gt;synch_info</v>
      </c>
      <c r="B26">
        <f>IFERROR(__xludf.DUMMYFUNCTION("""COMPUTED_VALUE"""),1.0)</f>
        <v>1</v>
      </c>
    </row>
    <row r="27">
      <c r="A27" t="str">
        <f>IFERROR(__xludf.DUMMYFUNCTION("""COMPUTED_VALUE"""),"work_related")</f>
        <v>work_related</v>
      </c>
      <c r="B27">
        <f>IFERROR(__xludf.DUMMYFUNCTION("""COMPUTED_VALUE"""),3.0)</f>
        <v>3</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A,F"")"),"Response ID")</f>
        <v>Response ID</v>
      </c>
      <c r="B1" s="17" t="str">
        <f>IFERROR(__xludf.DUMMYFUNCTION("""COMPUTED_VALUE"""),"google_recall_app_yes_consider")</f>
        <v>google_recall_app_yes_consider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3"/>
      <c r="H4" s="12"/>
      <c r="I4" s="12"/>
      <c r="J4" s="12"/>
    </row>
    <row r="5">
      <c r="A5" s="48">
        <f>IFERROR(__xludf.DUMMYFUNCTION("""COMPUTED_VALUE"""),4.0)</f>
        <v>4</v>
      </c>
      <c r="B5" s="19" t="str">
        <f>IFERROR(__xludf.DUMMYFUNCTION("""COMPUTED_VALUE"""),"I considered how much information they could gather from me")</f>
        <v>I considered how much information they could gather from me</v>
      </c>
      <c r="C5" s="46" t="s">
        <v>1696</v>
      </c>
      <c r="D5" s="20" t="s">
        <v>1697</v>
      </c>
      <c r="E5" s="3"/>
      <c r="F5" s="3"/>
      <c r="G5" s="3"/>
      <c r="H5" s="12"/>
      <c r="I5" s="12"/>
      <c r="J5" s="12"/>
    </row>
    <row r="6">
      <c r="A6" s="48">
        <f>IFERROR(__xludf.DUMMYFUNCTION("""COMPUTED_VALUE"""),5.0)</f>
        <v>5</v>
      </c>
      <c r="B6" s="19" t="str">
        <f>IFERROR(__xludf.DUMMYFUNCTION("""COMPUTED_VALUE"""),"How inconvenient it would be to register for an account if I didn't grant access.")</f>
        <v>How inconvenient it would be to register for an account if I didn't grant access.</v>
      </c>
      <c r="C6" s="46" t="s">
        <v>1698</v>
      </c>
      <c r="D6" s="46" t="s">
        <v>1699</v>
      </c>
      <c r="E6" s="12"/>
      <c r="F6" s="12"/>
      <c r="G6" s="12"/>
      <c r="H6" s="12"/>
      <c r="I6" s="12"/>
      <c r="J6" s="12"/>
    </row>
    <row r="7">
      <c r="A7" s="48">
        <f>IFERROR(__xludf.DUMMYFUNCTION("""COMPUTED_VALUE"""),10.0)</f>
        <v>10</v>
      </c>
      <c r="B7" s="19" t="str">
        <f>IFERROR(__xludf.DUMMYFUNCTION("""COMPUTED_VALUE"""),"I considered the legitimacy of the app, and the likelihood that it would be useful to allow it third-party access to my Google account.")</f>
        <v>I considered the legitimacy of the app, and the likelihood that it would be useful to allow it third-party access to my Google account.</v>
      </c>
      <c r="C7" s="46" t="s">
        <v>1610</v>
      </c>
      <c r="D7" s="3" t="s">
        <v>1700</v>
      </c>
      <c r="E7" s="20" t="s">
        <v>1701</v>
      </c>
      <c r="F7" s="20" t="s">
        <v>1702</v>
      </c>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t="str">
        <f>IFERROR(__xludf.DUMMYFUNCTION("""COMPUTED_VALUE"""),"if the permissions are coorrect")</f>
        <v>if the permissions are coorrect</v>
      </c>
      <c r="C10" s="3" t="s">
        <v>1703</v>
      </c>
      <c r="D10" s="3" t="s">
        <v>1704</v>
      </c>
      <c r="E10" s="3"/>
      <c r="G10" s="12"/>
      <c r="H10" s="12"/>
      <c r="I10" s="12"/>
      <c r="J10" s="12"/>
    </row>
    <row r="11">
      <c r="A11" s="48">
        <f>IFERROR(__xludf.DUMMYFUNCTION("""COMPUTED_VALUE"""),16.0)</f>
        <v>16</v>
      </c>
      <c r="B11" s="19" t="str">
        <f>IFERROR(__xludf.DUMMYFUNCTION("""COMPUTED_VALUE"""),"Unsure")</f>
        <v>Unsure</v>
      </c>
      <c r="C11" s="3" t="s">
        <v>1607</v>
      </c>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t="str">
        <f>IFERROR(__xludf.DUMMYFUNCTION("""COMPUTED_VALUE"""),"nothing again")</f>
        <v>nothing again</v>
      </c>
      <c r="C13" s="3" t="s">
        <v>188</v>
      </c>
      <c r="D13" s="3"/>
      <c r="E13" s="12"/>
      <c r="F13" s="12"/>
      <c r="G13" s="12"/>
      <c r="H13" s="12"/>
      <c r="I13" s="12"/>
      <c r="J13" s="12"/>
    </row>
    <row r="14">
      <c r="A14" s="48">
        <f>IFERROR(__xludf.DUMMYFUNCTION("""COMPUTED_VALUE"""),22.0)</f>
        <v>22</v>
      </c>
      <c r="B14" s="19" t="str">
        <f>IFERROR(__xludf.DUMMYFUNCTION("""COMPUTED_VALUE"""),"security")</f>
        <v>security</v>
      </c>
      <c r="C14" s="45" t="s">
        <v>65</v>
      </c>
      <c r="D14" s="3"/>
      <c r="E14" s="3"/>
      <c r="F14" s="3"/>
      <c r="G14" s="12"/>
      <c r="H14" s="12"/>
      <c r="I14" s="12"/>
      <c r="J14" s="12"/>
    </row>
    <row r="15">
      <c r="A15" s="48">
        <f>IFERROR(__xludf.DUMMYFUNCTION("""COMPUTED_VALUE"""),24.0)</f>
        <v>24</v>
      </c>
      <c r="B15" s="19" t="str">
        <f>IFERROR(__xludf.DUMMYFUNCTION("""COMPUTED_VALUE"""),"Nothing. Just that it was sop")</f>
        <v>Nothing. Just that it was sop</v>
      </c>
      <c r="C15" s="3" t="s">
        <v>188</v>
      </c>
      <c r="D15" s="3"/>
      <c r="E15" s="3"/>
      <c r="F15" s="12"/>
      <c r="G15" s="12"/>
      <c r="H15" s="12"/>
      <c r="I15" s="12"/>
      <c r="J15" s="12"/>
    </row>
    <row r="16">
      <c r="A16" s="48">
        <f>IFERROR(__xludf.DUMMYFUNCTION("""COMPUTED_VALUE"""),25.0)</f>
        <v>25</v>
      </c>
      <c r="B16" s="19" t="str">
        <f>IFERROR(__xludf.DUMMYFUNCTION("""COMPUTED_VALUE"""),"How easy it was to add the event to my calendar and translate the time zone.")</f>
        <v>How easy it was to add the event to my calendar and translate the time zone.</v>
      </c>
      <c r="C16" s="45" t="s">
        <v>1598</v>
      </c>
      <c r="D16" s="45" t="s">
        <v>1599</v>
      </c>
      <c r="E16" s="3"/>
      <c r="F16" s="12"/>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t="str">
        <f>IFERROR(__xludf.DUMMYFUNCTION("""COMPUTED_VALUE"""),"Security and the organizations history for protecting customer data.")</f>
        <v>Security and the organizations history for protecting customer data.</v>
      </c>
      <c r="C18" s="45" t="s">
        <v>65</v>
      </c>
      <c r="D18" s="46" t="s">
        <v>1705</v>
      </c>
      <c r="E18" s="45" t="s">
        <v>1600</v>
      </c>
      <c r="F18" s="12"/>
      <c r="G18" s="12"/>
      <c r="H18" s="12"/>
      <c r="I18" s="12"/>
      <c r="J18" s="12"/>
    </row>
    <row r="19">
      <c r="A19" s="48">
        <f>IFERROR(__xludf.DUMMYFUNCTION("""COMPUTED_VALUE"""),29.0)</f>
        <v>29</v>
      </c>
      <c r="B19" s="19" t="str">
        <f>IFERROR(__xludf.DUMMYFUNCTION("""COMPUTED_VALUE"""),"simply making sure i was not going to receive a host of unwanted emails!")</f>
        <v>simply making sure i was not going to receive a host of unwanted emails!</v>
      </c>
      <c r="C19" s="46" t="s">
        <v>1706</v>
      </c>
      <c r="D19" s="45"/>
      <c r="E19" s="3"/>
      <c r="F19" s="12"/>
      <c r="G19" s="12"/>
      <c r="H19" s="12"/>
      <c r="I19" s="12"/>
      <c r="J19" s="12"/>
    </row>
    <row r="20">
      <c r="A20" s="48">
        <f>IFERROR(__xludf.DUMMYFUNCTION("""COMPUTED_VALUE"""),30.0)</f>
        <v>30</v>
      </c>
      <c r="B20" s="19" t="str">
        <f>IFERROR(__xludf.DUMMYFUNCTION("""COMPUTED_VALUE"""),"If it could see too much or possibly if it could gain access to my personal emails.")</f>
        <v>If it could see too much or possibly if it could gain access to my personal emails.</v>
      </c>
      <c r="C20" s="45" t="s">
        <v>1605</v>
      </c>
      <c r="D20" s="45" t="s">
        <v>1623</v>
      </c>
      <c r="E20" s="45" t="s">
        <v>1622</v>
      </c>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61" t="str">
        <f>IFERROR(__xludf.DUMMYFUNCTION("""COMPUTED_VALUE"""),"It was a pop up so I didn't consider it much at all.")</f>
        <v>It was a pop up so I didn't consider it much at all.</v>
      </c>
      <c r="C23" s="45" t="s">
        <v>1608</v>
      </c>
      <c r="D23" s="3"/>
      <c r="E23" s="3"/>
      <c r="F23" s="12"/>
      <c r="G23" s="12"/>
      <c r="H23" s="12"/>
      <c r="I23" s="12"/>
      <c r="J23" s="12"/>
    </row>
    <row r="24">
      <c r="A24" s="48">
        <f>IFERROR(__xludf.DUMMYFUNCTION("""COMPUTED_VALUE"""),36.0)</f>
        <v>36</v>
      </c>
      <c r="B24" s="19" t="str">
        <f>IFERROR(__xludf.DUMMYFUNCTION("""COMPUTED_VALUE"""),"briefly considered security and privacy risks")</f>
        <v>briefly considered security and privacy risks</v>
      </c>
      <c r="C24" s="45" t="s">
        <v>65</v>
      </c>
      <c r="D24" s="45" t="s">
        <v>384</v>
      </c>
      <c r="E24" s="12"/>
      <c r="F24" s="12"/>
      <c r="G24" s="12"/>
      <c r="H24" s="12"/>
      <c r="I24" s="12"/>
      <c r="J24" s="12"/>
    </row>
    <row r="25">
      <c r="A25" s="48">
        <f>IFERROR(__xludf.DUMMYFUNCTION("""COMPUTED_VALUE"""),39.0)</f>
        <v>39</v>
      </c>
      <c r="B25" s="19"/>
      <c r="C25" s="3"/>
      <c r="E25" s="3"/>
      <c r="F25" s="12"/>
      <c r="G25" s="12"/>
      <c r="H25" s="12"/>
      <c r="I25" s="12"/>
      <c r="J25" s="12"/>
    </row>
    <row r="26">
      <c r="A26" s="48">
        <f>IFERROR(__xludf.DUMMYFUNCTION("""COMPUTED_VALUE"""),40.0)</f>
        <v>40</v>
      </c>
      <c r="B26" s="19"/>
      <c r="C26" s="3"/>
      <c r="D26" s="3"/>
      <c r="E26" s="3"/>
      <c r="F26" s="12"/>
      <c r="G26" s="12"/>
      <c r="H26" s="12"/>
      <c r="I26" s="12"/>
      <c r="J26" s="12"/>
    </row>
    <row r="27">
      <c r="A27" s="48">
        <f>IFERROR(__xludf.DUMMYFUNCTION("""COMPUTED_VALUE"""),42.0)</f>
        <v>42</v>
      </c>
      <c r="B27" s="19" t="str">
        <f>IFERROR(__xludf.DUMMYFUNCTION("""COMPUTED_VALUE"""),"I did not consider anything.")</f>
        <v>I did not consider anything.</v>
      </c>
      <c r="C27" s="45" t="s">
        <v>1608</v>
      </c>
      <c r="D27" s="3"/>
      <c r="E27" s="12"/>
      <c r="F27" s="12"/>
      <c r="G27" s="12"/>
      <c r="H27" s="12"/>
      <c r="I27" s="12"/>
      <c r="J27" s="12"/>
    </row>
    <row r="28">
      <c r="A28" s="48">
        <f>IFERROR(__xludf.DUMMYFUNCTION("""COMPUTED_VALUE"""),46.0)</f>
        <v>46</v>
      </c>
      <c r="B28" s="19" t="str">
        <f>IFERROR(__xludf.DUMMYFUNCTION("""COMPUTED_VALUE"""),"Though I allowed the third part app to access information I was concerned about the security.")</f>
        <v>Though I allowed the third part app to access information I was concerned about the security.</v>
      </c>
      <c r="C28" s="3" t="s">
        <v>65</v>
      </c>
      <c r="D28" s="45" t="s">
        <v>1600</v>
      </c>
      <c r="E28" s="3"/>
      <c r="F28" s="26"/>
      <c r="G28" s="12"/>
      <c r="H28" s="12"/>
      <c r="I28" s="12"/>
      <c r="J28" s="12"/>
    </row>
    <row r="29">
      <c r="A29">
        <f>IFERROR(__xludf.DUMMYFUNCTION("""COMPUTED_VALUE"""),47.0)</f>
        <v>47</v>
      </c>
      <c r="B29" s="12"/>
      <c r="C29" s="3"/>
      <c r="D29" s="28"/>
      <c r="E29" s="26"/>
      <c r="F29" s="26"/>
      <c r="G29" s="12"/>
      <c r="H29" s="12"/>
      <c r="I29" s="12"/>
      <c r="J29" s="12"/>
    </row>
    <row r="30">
      <c r="A30">
        <f>IFERROR(__xludf.DUMMYFUNCTION("""COMPUTED_VALUE"""),50.0)</f>
        <v>50</v>
      </c>
      <c r="B30" s="12" t="str">
        <f>IFERROR(__xludf.DUMMYFUNCTION("""COMPUTED_VALUE"""),"if the app would be safe")</f>
        <v>if the app would be safe</v>
      </c>
      <c r="C30" s="20" t="s">
        <v>1707</v>
      </c>
      <c r="E30" s="3"/>
      <c r="F30" s="12"/>
      <c r="G30" s="12"/>
      <c r="H30" s="12"/>
      <c r="I30" s="12"/>
      <c r="J30" s="12"/>
    </row>
    <row r="31">
      <c r="A31">
        <f>IFERROR(__xludf.DUMMYFUNCTION("""COMPUTED_VALUE"""),51.0)</f>
        <v>51</v>
      </c>
      <c r="B31" s="12"/>
      <c r="C31" s="3"/>
      <c r="D31" s="26"/>
      <c r="E31" s="3"/>
      <c r="F31" s="12"/>
      <c r="G31" s="12"/>
      <c r="H31" s="12"/>
      <c r="I31" s="12"/>
      <c r="J31" s="12"/>
    </row>
    <row r="32">
      <c r="A32">
        <f>IFERROR(__xludf.DUMMYFUNCTION("""COMPUTED_VALUE"""),52.0)</f>
        <v>52</v>
      </c>
      <c r="B32" s="12"/>
      <c r="C32" s="3"/>
      <c r="D32" s="3"/>
      <c r="E32" s="3"/>
      <c r="F32" s="12"/>
      <c r="G32" s="12"/>
      <c r="H32" s="12"/>
      <c r="I32" s="12"/>
      <c r="J32" s="12"/>
    </row>
    <row r="33">
      <c r="A33">
        <f>IFERROR(__xludf.DUMMYFUNCTION("""COMPUTED_VALUE"""),53.0)</f>
        <v>53</v>
      </c>
      <c r="B33" s="12" t="str">
        <f>IFERROR(__xludf.DUMMYFUNCTION("""COMPUTED_VALUE"""),"Security/privacy")</f>
        <v>Security/privacy</v>
      </c>
      <c r="C33" s="3" t="s">
        <v>65</v>
      </c>
      <c r="D33" s="3" t="s">
        <v>384</v>
      </c>
      <c r="E33" s="12"/>
      <c r="F33" s="12"/>
      <c r="G33" s="12"/>
      <c r="H33" s="12"/>
      <c r="I33" s="12"/>
      <c r="J33" s="12"/>
    </row>
    <row r="34">
      <c r="A34">
        <f>IFERROR(__xludf.DUMMYFUNCTION("""COMPUTED_VALUE"""),55.0)</f>
        <v>55</v>
      </c>
      <c r="B34" s="12"/>
      <c r="C34" s="3"/>
      <c r="D34" s="28"/>
      <c r="E34" s="12"/>
      <c r="F34" s="12"/>
      <c r="G34" s="12"/>
      <c r="H34" s="12"/>
      <c r="I34" s="12"/>
      <c r="J34" s="12"/>
    </row>
    <row r="35">
      <c r="A35">
        <f>IFERROR(__xludf.DUMMYFUNCTION("""COMPUTED_VALUE"""),56.0)</f>
        <v>56</v>
      </c>
      <c r="B35" s="12" t="str">
        <f>IFERROR(__xludf.DUMMYFUNCTION("""COMPUTED_VALUE"""),"I made no considerations.")</f>
        <v>I made no considerations.</v>
      </c>
      <c r="C35" s="45" t="s">
        <v>1608</v>
      </c>
      <c r="D35" s="3"/>
      <c r="E35" s="3"/>
      <c r="F35" s="3"/>
      <c r="G35" s="12"/>
      <c r="H35" s="12"/>
      <c r="I35" s="12"/>
      <c r="J35" s="12"/>
    </row>
    <row r="36">
      <c r="A36">
        <f>IFERROR(__xludf.DUMMYFUNCTION("""COMPUTED_VALUE"""),58.0)</f>
        <v>58</v>
      </c>
      <c r="B36" s="12" t="str">
        <f>IFERROR(__xludf.DUMMYFUNCTION("""COMPUTED_VALUE"""),"Images of CSI hoodie-wearing hackers with green code flashing by popped in my mind but then I chuckled and thought to myself that the gubbment is always watching already so what do I care. And since it's being offered on the Google app store, it's probabl"&amp;"y mostly safe...probably.")</f>
        <v>Images of CSI hoodie-wearing hackers with green code flashing by popped in my mind but then I chuckled and thought to myself that the gubbment is always watching already so what do I care. And since it's being offered on the Google app store, it's probably mostly safe...probably.</v>
      </c>
      <c r="C36" s="3" t="s">
        <v>1708</v>
      </c>
      <c r="D36" s="20" t="s">
        <v>1709</v>
      </c>
      <c r="E36" s="3"/>
      <c r="F36" s="12"/>
      <c r="G36" s="12"/>
      <c r="H36" s="12"/>
      <c r="I36" s="12"/>
      <c r="J36" s="12"/>
    </row>
    <row r="37">
      <c r="A37">
        <f>IFERROR(__xludf.DUMMYFUNCTION("""COMPUTED_VALUE"""),59.0)</f>
        <v>59</v>
      </c>
      <c r="B37" s="12" t="str">
        <f>IFERROR(__xludf.DUMMYFUNCTION("""COMPUTED_VALUE"""),"The convenience of transferring via google")</f>
        <v>The convenience of transferring via google</v>
      </c>
      <c r="C37" s="46" t="s">
        <v>1698</v>
      </c>
      <c r="D37" s="3"/>
      <c r="E37" s="3"/>
      <c r="F37" s="3"/>
      <c r="G37" s="3"/>
      <c r="H37" s="3"/>
      <c r="I37" s="12"/>
      <c r="J37" s="12"/>
    </row>
    <row r="38">
      <c r="A38">
        <f>IFERROR(__xludf.DUMMYFUNCTION("""COMPUTED_VALUE"""),60.0)</f>
        <v>60</v>
      </c>
      <c r="B38" s="12" t="str">
        <f>IFERROR(__xludf.DUMMYFUNCTION("""COMPUTED_VALUE"""),"information security")</f>
        <v>information security</v>
      </c>
      <c r="C38" s="3" t="s">
        <v>65</v>
      </c>
      <c r="D38" s="45" t="s">
        <v>1600</v>
      </c>
      <c r="E38" s="12"/>
      <c r="F38" s="12"/>
      <c r="G38" s="12"/>
      <c r="H38" s="12"/>
      <c r="I38" s="12"/>
      <c r="J38" s="12"/>
    </row>
    <row r="39">
      <c r="A39">
        <f>IFERROR(__xludf.DUMMYFUNCTION("""COMPUTED_VALUE"""),61.0)</f>
        <v>61</v>
      </c>
      <c r="B39" s="12"/>
      <c r="C39" s="3"/>
      <c r="D39" s="26"/>
      <c r="E39" s="3"/>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26"/>
      <c r="D41" s="3"/>
      <c r="E41" s="3"/>
      <c r="F41" s="12"/>
      <c r="G41" s="12"/>
      <c r="H41" s="12"/>
      <c r="I41" s="12"/>
      <c r="J41" s="12"/>
    </row>
    <row r="42">
      <c r="A42">
        <f>IFERROR(__xludf.DUMMYFUNCTION("""COMPUTED_VALUE"""),66.0)</f>
        <v>66</v>
      </c>
      <c r="B42" s="12"/>
      <c r="C42" s="3"/>
      <c r="D42" s="3"/>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3"/>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t="str">
        <f>IFERROR(__xludf.DUMMYFUNCTION("""COMPUTED_VALUE"""),"Is this app trustworthy, and does it deserve the permissions it is requesting?")</f>
        <v>Is this app trustworthy, and does it deserve the permissions it is requesting?</v>
      </c>
      <c r="C46" s="3" t="s">
        <v>1703</v>
      </c>
      <c r="D46" t="s">
        <v>1704</v>
      </c>
      <c r="E46" s="20" t="s">
        <v>1701</v>
      </c>
      <c r="F46" s="20" t="s">
        <v>1702</v>
      </c>
      <c r="G46" s="12"/>
      <c r="H46" s="12"/>
      <c r="I46" s="12"/>
      <c r="J46" s="12"/>
    </row>
    <row r="47">
      <c r="A47">
        <f>IFERROR(__xludf.DUMMYFUNCTION("""COMPUTED_VALUE"""),73.0)</f>
        <v>73</v>
      </c>
      <c r="B47" s="12" t="str">
        <f>IFERROR(__xludf.DUMMYFUNCTION("""COMPUTED_VALUE"""),"Looking to see if there was another app that did not require those permissions")</f>
        <v>Looking to see if there was another app that did not require those permissions</v>
      </c>
      <c r="C47" s="3" t="s">
        <v>1703</v>
      </c>
      <c r="D47" s="3" t="s">
        <v>1710</v>
      </c>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t="str">
        <f>IFERROR(__xludf.DUMMYFUNCTION("""COMPUTED_VALUE"""),"whether or not I want that app or service to have that kind of access to my account information")</f>
        <v>whether or not I want that app or service to have that kind of access to my account information</v>
      </c>
      <c r="C49" s="3" t="s">
        <v>1711</v>
      </c>
      <c r="D49" s="3" t="s">
        <v>1712</v>
      </c>
      <c r="E49" s="12"/>
      <c r="F49" s="12"/>
      <c r="G49" s="12"/>
      <c r="H49" s="12"/>
      <c r="I49" s="12"/>
      <c r="J49" s="12"/>
    </row>
    <row r="50">
      <c r="A50">
        <f>IFERROR(__xludf.DUMMYFUNCTION("""COMPUTED_VALUE"""),78.0)</f>
        <v>78</v>
      </c>
      <c r="B50" s="12"/>
      <c r="C50" s="3"/>
      <c r="D50" s="3"/>
      <c r="E50" s="3"/>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3"/>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3"/>
      <c r="F54" s="3"/>
      <c r="G54" s="12"/>
      <c r="H54" s="12"/>
      <c r="I54" s="12"/>
      <c r="J54" s="12"/>
    </row>
    <row r="55">
      <c r="A55">
        <f>IFERROR(__xludf.DUMMYFUNCTION("""COMPUTED_VALUE"""),87.0)</f>
        <v>87</v>
      </c>
      <c r="B55" s="12"/>
      <c r="C55" s="3"/>
      <c r="D55" s="3"/>
      <c r="E55" s="3"/>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t="str">
        <f>IFERROR(__xludf.DUMMYFUNCTION("""COMPUTED_VALUE"""),"How convenient it would be for me.")</f>
        <v>How convenient it would be for me.</v>
      </c>
      <c r="C59" s="3" t="s">
        <v>1698</v>
      </c>
      <c r="D59" s="3"/>
      <c r="E59" s="3"/>
      <c r="F59" s="3"/>
      <c r="G59" s="12"/>
      <c r="H59" s="12"/>
      <c r="I59" s="12"/>
      <c r="J59" s="12"/>
    </row>
    <row r="60">
      <c r="A60">
        <f>IFERROR(__xludf.DUMMYFUNCTION("""COMPUTED_VALUE"""),95.0)</f>
        <v>95</v>
      </c>
      <c r="B60" s="12" t="str">
        <f>IFERROR(__xludf.DUMMYFUNCTION("""COMPUTED_VALUE"""),"I had to decide if the roll of the die was alright for me.")</f>
        <v>I had to decide if the roll of the die was alright for me.</v>
      </c>
      <c r="C60" s="45" t="s">
        <v>1610</v>
      </c>
      <c r="D60" s="3"/>
      <c r="E60" s="3"/>
      <c r="F60" s="3"/>
      <c r="G60" s="3"/>
      <c r="H60" s="12"/>
      <c r="I60" s="12"/>
      <c r="J60" s="12"/>
    </row>
    <row r="61">
      <c r="A61">
        <f>IFERROR(__xludf.DUMMYFUNCTION("""COMPUTED_VALUE"""),97.0)</f>
        <v>97</v>
      </c>
      <c r="B61" s="12"/>
      <c r="C61" s="3"/>
      <c r="D61" s="3"/>
      <c r="E61" s="3"/>
      <c r="F61" s="3"/>
      <c r="G61" s="3"/>
      <c r="H61" s="12"/>
      <c r="I61" s="12"/>
      <c r="J61" s="12"/>
    </row>
    <row r="62">
      <c r="A62">
        <f>IFERROR(__xludf.DUMMYFUNCTION("""COMPUTED_VALUE"""),98.0)</f>
        <v>98</v>
      </c>
      <c r="B62" s="12"/>
      <c r="C62" s="3"/>
      <c r="E62" s="12"/>
      <c r="F62" s="12"/>
      <c r="G62" s="12"/>
      <c r="H62" s="12"/>
      <c r="I62" s="12"/>
      <c r="J62" s="12"/>
    </row>
    <row r="63">
      <c r="A63">
        <f>IFERROR(__xludf.DUMMYFUNCTION("""COMPUTED_VALUE"""),99.0)</f>
        <v>99</v>
      </c>
      <c r="B63" s="12" t="str">
        <f>IFERROR(__xludf.DUMMYFUNCTION("""COMPUTED_VALUE"""),"could have connected a different way")</f>
        <v>could have connected a different way</v>
      </c>
      <c r="C63" s="45" t="s">
        <v>1620</v>
      </c>
      <c r="D63" s="3"/>
      <c r="F63" s="3"/>
      <c r="G63" s="3"/>
      <c r="H63" s="12"/>
      <c r="I63" s="12"/>
      <c r="J63" s="12"/>
    </row>
    <row r="64">
      <c r="A64">
        <f>IFERROR(__xludf.DUMMYFUNCTION("""COMPUTED_VALUE"""),100.0)</f>
        <v>100</v>
      </c>
      <c r="B64" s="12"/>
      <c r="C64" s="3"/>
      <c r="D64" s="3"/>
      <c r="E64" s="3"/>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t="str">
        <f>IFERROR(__xludf.DUMMYFUNCTION("""COMPUTED_VALUE"""),"I took into account my personal info.")</f>
        <v>I took into account my personal info.</v>
      </c>
      <c r="C66" s="46" t="s">
        <v>1696</v>
      </c>
      <c r="D66" s="46"/>
      <c r="F66" s="12"/>
      <c r="G66" s="12"/>
      <c r="H66" s="12"/>
      <c r="I66" s="12"/>
      <c r="J66" s="12"/>
    </row>
    <row r="67">
      <c r="A67">
        <f>IFERROR(__xludf.DUMMYFUNCTION("""COMPUTED_VALUE"""),104.0)</f>
        <v>104</v>
      </c>
      <c r="B67" s="12" t="str">
        <f>IFERROR(__xludf.DUMMYFUNCTION("""COMPUTED_VALUE"""),"That the website is reputable and it is safe to sign in using my google account.")</f>
        <v>That the website is reputable and it is safe to sign in using my google account.</v>
      </c>
      <c r="C67" s="20" t="s">
        <v>1701</v>
      </c>
      <c r="D67" s="20" t="s">
        <v>1713</v>
      </c>
      <c r="E67" s="26"/>
      <c r="F67" s="26"/>
      <c r="G67" s="3"/>
      <c r="H67" s="3"/>
      <c r="J67" s="12"/>
    </row>
    <row r="68">
      <c r="A68">
        <f>IFERROR(__xludf.DUMMYFUNCTION("""COMPUTED_VALUE"""),105.0)</f>
        <v>105</v>
      </c>
      <c r="B68" s="12"/>
      <c r="C68" s="3"/>
      <c r="D68" s="3"/>
      <c r="E68" s="3"/>
      <c r="F68" s="3"/>
      <c r="G68" s="12"/>
      <c r="J68" s="12"/>
    </row>
    <row r="69">
      <c r="A69">
        <f>IFERROR(__xludf.DUMMYFUNCTION("""COMPUTED_VALUE"""),107.0)</f>
        <v>107</v>
      </c>
      <c r="B69" s="12"/>
      <c r="C69" s="3"/>
      <c r="D69" s="3"/>
      <c r="E69" s="3"/>
      <c r="F69" s="3"/>
      <c r="G69" s="3"/>
      <c r="J69" s="12"/>
    </row>
    <row r="70">
      <c r="A70">
        <f>IFERROR(__xludf.DUMMYFUNCTION("""COMPUTED_VALUE"""),108.0)</f>
        <v>108</v>
      </c>
      <c r="B70" s="12" t="str">
        <f>IFERROR(__xludf.DUMMYFUNCTION("""COMPUTED_VALUE"""),"I thought that it was important to keep up with my course schedule.")</f>
        <v>I thought that it was important to keep up with my course schedule.</v>
      </c>
      <c r="C70" s="3" t="s">
        <v>1714</v>
      </c>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t="str">
        <f>IFERROR(__xludf.DUMMYFUNCTION("""COMPUTED_VALUE"""),"Whether I really wanted them to have that info or not.")</f>
        <v>Whether I really wanted them to have that info or not.</v>
      </c>
      <c r="C72" t="s">
        <v>1711</v>
      </c>
      <c r="D72" t="s">
        <v>1712</v>
      </c>
      <c r="E72" s="3"/>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3"/>
      <c r="G74" s="26"/>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IFERROR(__xludf.DUMMYFUNCTION("""COMPUTED_VALUE"""),"I check the various options listed that gives various permission on my google account. I usually uncheck the ones dealing with contact info, pictures/media stuff.")</f>
        <v>I check the various options listed that gives various permission on my google account. I usually uncheck the ones dealing with contact info, pictures/media stuff.</v>
      </c>
      <c r="C76" s="28" t="s">
        <v>1703</v>
      </c>
      <c r="D76" s="28" t="s">
        <v>1715</v>
      </c>
      <c r="E76" s="28" t="s">
        <v>1716</v>
      </c>
      <c r="F76" s="12"/>
      <c r="G76" s="12"/>
      <c r="H76" s="12"/>
      <c r="I76" s="12"/>
      <c r="J76" s="12"/>
    </row>
    <row r="77">
      <c r="A77">
        <f>IFERROR(__xludf.DUMMYFUNCTION("""COMPUTED_VALUE"""),117.0)</f>
        <v>117</v>
      </c>
      <c r="B77" s="12" t="str">
        <f>IFERROR(__xludf.DUMMYFUNCTION("""COMPUTED_VALUE"""),"Is my debit card going to get stolen? What about my browsing history? which is worse?")</f>
        <v>Is my debit card going to get stolen? What about my browsing history? which is worse?</v>
      </c>
      <c r="C77" s="28" t="s">
        <v>65</v>
      </c>
      <c r="D77" s="26" t="s">
        <v>1717</v>
      </c>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t="str">
        <f>IFERROR(__xludf.DUMMYFUNCTION("""COMPUTED_VALUE"""),"I was concerned about security of my account and access to my personal information.")</f>
        <v>I was concerned about security of my account and access to my personal information.</v>
      </c>
      <c r="C79" s="62" t="s">
        <v>1696</v>
      </c>
      <c r="D79" s="3"/>
      <c r="E79" s="12"/>
      <c r="F79" s="12"/>
      <c r="G79" s="12"/>
      <c r="H79" s="12"/>
      <c r="I79" s="12"/>
      <c r="J79" s="12"/>
    </row>
    <row r="80">
      <c r="A80">
        <f>IFERROR(__xludf.DUMMYFUNCTION("""COMPUTED_VALUE"""),124.0)</f>
        <v>124</v>
      </c>
      <c r="B80" s="12" t="str">
        <f>IFERROR(__xludf.DUMMYFUNCTION("""COMPUTED_VALUE"""),"That is was easier")</f>
        <v>That is was easier</v>
      </c>
      <c r="C80" s="3" t="s">
        <v>1598</v>
      </c>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t="str">
        <f>IFERROR(__xludf.DUMMYFUNCTION("""COMPUTED_VALUE"""),"nothing")</f>
        <v>nothing</v>
      </c>
      <c r="C82" s="3" t="s">
        <v>188</v>
      </c>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t="str">
        <f>IFERROR(__xludf.DUMMYFUNCTION("""COMPUTED_VALUE"""),"I considered how relatively easy it would be")</f>
        <v>I considered how relatively easy it would be</v>
      </c>
      <c r="C85" s="3" t="s">
        <v>1598</v>
      </c>
      <c r="D85" s="3"/>
      <c r="E85" s="3"/>
      <c r="F85" s="12"/>
      <c r="G85" s="12"/>
      <c r="H85" s="12"/>
      <c r="I85" s="12"/>
      <c r="J85" s="12"/>
    </row>
    <row r="86">
      <c r="A86">
        <f>IFERROR(__xludf.DUMMYFUNCTION("""COMPUTED_VALUE"""),130.0)</f>
        <v>130</v>
      </c>
      <c r="B86" s="41" t="str">
        <f>IFERROR(__xludf.DUMMYFUNCTION("""COMPUTED_VALUE"""),"I considered whether or not I trusted the app I was giving access to my data/Google account.")</f>
        <v>I considered whether or not I trusted the app I was giving access to my data/Google account.</v>
      </c>
      <c r="C86" s="20" t="s">
        <v>1701</v>
      </c>
      <c r="D86" s="20" t="s">
        <v>1702</v>
      </c>
      <c r="E86" t="s">
        <v>1711</v>
      </c>
      <c r="F86" t="s">
        <v>1712</v>
      </c>
      <c r="G86" s="3"/>
      <c r="H86" s="12"/>
      <c r="I86" s="12"/>
      <c r="J86" s="12"/>
    </row>
    <row r="87">
      <c r="A87">
        <f>IFERROR(__xludf.DUMMYFUNCTION("""COMPUTED_VALUE"""),132.0)</f>
        <v>132</v>
      </c>
      <c r="B87" s="12" t="str">
        <f>IFERROR(__xludf.DUMMYFUNCTION("""COMPUTED_VALUE"""),"How long the company has been around and reputation.")</f>
        <v>How long the company has been around and reputation.</v>
      </c>
      <c r="C87" s="20" t="s">
        <v>1701</v>
      </c>
      <c r="D87" s="20" t="s">
        <v>1718</v>
      </c>
      <c r="E87" s="12"/>
      <c r="F87" s="12"/>
      <c r="G87" s="12"/>
      <c r="H87" s="12"/>
      <c r="I87" s="12"/>
      <c r="J87" s="12"/>
    </row>
    <row r="88">
      <c r="A88">
        <f>IFERROR(__xludf.DUMMYFUNCTION("""COMPUTED_VALUE"""),135.0)</f>
        <v>135</v>
      </c>
      <c r="B88" s="12" t="str">
        <f>IFERROR(__xludf.DUMMYFUNCTION("""COMPUTED_VALUE"""),"i considered the source its coming from")</f>
        <v>i considered the source its coming from</v>
      </c>
      <c r="C88" s="20" t="s">
        <v>1701</v>
      </c>
      <c r="D88" s="20" t="s">
        <v>1718</v>
      </c>
      <c r="E88" s="3"/>
      <c r="F88" s="3"/>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3"/>
      <c r="F90" s="3"/>
      <c r="G90" s="3"/>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28"/>
      <c r="E93" s="12"/>
      <c r="F93" s="12"/>
      <c r="G93" s="12"/>
      <c r="H93" s="12"/>
      <c r="I93" s="12"/>
      <c r="J93" s="12"/>
    </row>
    <row r="94">
      <c r="A94">
        <f>IFERROR(__xludf.DUMMYFUNCTION("""COMPUTED_VALUE"""),143.0)</f>
        <v>143</v>
      </c>
      <c r="B94" s="12" t="str">
        <f>IFERROR(__xludf.DUMMYFUNCTION("""COMPUTED_VALUE"""),"I wanted to be sure it wouldn't use any permissions I was uncomfortable with")</f>
        <v>I wanted to be sure it wouldn't use any permissions I was uncomfortable with</v>
      </c>
      <c r="C94" t="s">
        <v>1703</v>
      </c>
      <c r="E94" s="28"/>
      <c r="F94" s="3"/>
      <c r="G94" s="3"/>
      <c r="H94" s="12"/>
      <c r="I94" s="12"/>
      <c r="J94" s="12"/>
    </row>
    <row r="95">
      <c r="A95">
        <f>IFERROR(__xludf.DUMMYFUNCTION("""COMPUTED_VALUE"""),146.0)</f>
        <v>146</v>
      </c>
      <c r="B95" s="12"/>
      <c r="C95" s="3"/>
      <c r="D95" s="3"/>
      <c r="E95" s="3"/>
      <c r="F95" s="3"/>
      <c r="G95" s="3"/>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3"/>
      <c r="E99" s="28"/>
      <c r="F99" s="3"/>
      <c r="G99" s="12"/>
      <c r="H99" s="12"/>
      <c r="I99" s="12"/>
      <c r="J99" s="12"/>
    </row>
    <row r="100">
      <c r="A100">
        <f>IFERROR(__xludf.DUMMYFUNCTION("""COMPUTED_VALUE"""),151.0)</f>
        <v>151</v>
      </c>
      <c r="B100" s="12" t="str">
        <f>IFERROR(__xludf.DUMMYFUNCTION("""COMPUTED_VALUE"""),"I look at the list of permissiosn to make sure nothing is out of order or spooky")</f>
        <v>I look at the list of permissiosn to make sure nothing is out of order or spooky</v>
      </c>
      <c r="C100" t="s">
        <v>1703</v>
      </c>
      <c r="D100" t="s">
        <v>1704</v>
      </c>
      <c r="E100" s="12"/>
      <c r="F100" s="12"/>
      <c r="G100" s="12"/>
      <c r="H100" s="12"/>
      <c r="I100" s="12"/>
      <c r="J100" s="12"/>
    </row>
    <row r="101">
      <c r="A101">
        <f>IFERROR(__xludf.DUMMYFUNCTION("""COMPUTED_VALUE"""),152.0)</f>
        <v>152</v>
      </c>
      <c r="B101" s="12" t="str">
        <f>IFERROR(__xludf.DUMMYFUNCTION("""COMPUTED_VALUE"""),"In situations like these, I am thinking more critically towards privacy and what permissions I'm allowing the 3rd party to have")</f>
        <v>In situations like these, I am thinking more critically towards privacy and what permissions I'm allowing the 3rd party to have</v>
      </c>
      <c r="C101" s="3" t="s">
        <v>384</v>
      </c>
      <c r="D101" t="s">
        <v>1703</v>
      </c>
      <c r="E101" s="3"/>
      <c r="F101" s="12"/>
      <c r="G101" s="12"/>
      <c r="H101" s="12"/>
      <c r="I101" s="12"/>
      <c r="J101" s="12"/>
    </row>
    <row r="102">
      <c r="A102">
        <f>IFERROR(__xludf.DUMMYFUNCTION("""COMPUTED_VALUE"""),154.0)</f>
        <v>154</v>
      </c>
      <c r="B102" s="12" t="str">
        <f>IFERROR(__xludf.DUMMYFUNCTION("""COMPUTED_VALUE"""),"The ease of having already connected my drive to the google account.")</f>
        <v>The ease of having already connected my drive to the google account.</v>
      </c>
      <c r="C102" s="3" t="s">
        <v>1598</v>
      </c>
      <c r="D102" s="3" t="s">
        <v>1719</v>
      </c>
      <c r="E102" s="3"/>
      <c r="F102" s="3"/>
      <c r="G102" s="12"/>
      <c r="H102" s="12"/>
      <c r="I102" s="12"/>
      <c r="J102" s="12"/>
    </row>
    <row r="103">
      <c r="A103">
        <f>IFERROR(__xludf.DUMMYFUNCTION("""COMPUTED_VALUE"""),155.0)</f>
        <v>155</v>
      </c>
      <c r="B103" s="12"/>
      <c r="C103" s="3"/>
      <c r="D103" s="28"/>
      <c r="E103" s="3"/>
      <c r="F103" s="3"/>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t="str">
        <f>IFERROR(__xludf.DUMMYFUNCTION("""COMPUTED_VALUE"""),"If that third-party really needed access to that or not.")</f>
        <v>If that third-party really needed access to that or not.</v>
      </c>
      <c r="C106" t="s">
        <v>1703</v>
      </c>
      <c r="D106" s="20" t="s">
        <v>1720</v>
      </c>
      <c r="E106" s="12"/>
      <c r="F106" s="12"/>
      <c r="G106" s="12"/>
      <c r="H106" s="12"/>
      <c r="I106" s="12"/>
      <c r="J106" s="12"/>
    </row>
    <row r="107">
      <c r="A107">
        <f>IFERROR(__xludf.DUMMYFUNCTION("""COMPUTED_VALUE"""),159.0)</f>
        <v>159</v>
      </c>
      <c r="B107" s="12" t="str">
        <f>IFERROR(__xludf.DUMMYFUNCTION("""COMPUTED_VALUE"""),"I double-check what Google is accessing, but that's about it.")</f>
        <v>I double-check what Google is accessing, but that's about it.</v>
      </c>
      <c r="C107" t="s">
        <v>1703</v>
      </c>
      <c r="D107" s="20" t="s">
        <v>1721</v>
      </c>
      <c r="E107" s="3"/>
      <c r="F107" s="3"/>
      <c r="G107" s="12"/>
      <c r="H107" s="12"/>
      <c r="I107" s="12"/>
      <c r="J107" s="12"/>
    </row>
    <row r="108">
      <c r="A108">
        <f>IFERROR(__xludf.DUMMYFUNCTION("""COMPUTED_VALUE"""),160.0)</f>
        <v>160</v>
      </c>
      <c r="B108" s="12" t="str">
        <f>IFERROR(__xludf.DUMMYFUNCTION("""COMPUTED_VALUE"""),"Nothing I wished to use the app.")</f>
        <v>Nothing I wished to use the app.</v>
      </c>
      <c r="C108" s="3" t="s">
        <v>188</v>
      </c>
      <c r="D108" s="3"/>
      <c r="E108" s="3"/>
      <c r="F108" s="12"/>
      <c r="G108" s="12"/>
      <c r="H108" s="12"/>
      <c r="I108" s="12"/>
      <c r="J108" s="12"/>
    </row>
    <row r="109">
      <c r="A109">
        <f>IFERROR(__xludf.DUMMYFUNCTION("""COMPUTED_VALUE"""),162.0)</f>
        <v>162</v>
      </c>
      <c r="B109" s="12" t="str">
        <f>IFERROR(__xludf.DUMMYFUNCTION("""COMPUTED_VALUE"""),"If it was safe, did it appear secure and safe.")</f>
        <v>If it was safe, did it appear secure and safe.</v>
      </c>
      <c r="C109" s="3" t="s">
        <v>65</v>
      </c>
      <c r="D109" t="s">
        <v>1707</v>
      </c>
      <c r="E109" s="12"/>
      <c r="F109" s="12"/>
      <c r="G109" s="12"/>
      <c r="H109" s="12"/>
      <c r="I109" s="12"/>
      <c r="J109" s="12"/>
    </row>
    <row r="110">
      <c r="A110">
        <f>IFERROR(__xludf.DUMMYFUNCTION("""COMPUTED_VALUE"""),163.0)</f>
        <v>163</v>
      </c>
      <c r="B110" s="12" t="str">
        <f>IFERROR(__xludf.DUMMYFUNCTION("""COMPUTED_VALUE"""),"I didn't really consider much. I just wanted to be able to edit my PDF and download it for free.")</f>
        <v>I didn't really consider much. I just wanted to be able to edit my PDF and download it for free.</v>
      </c>
      <c r="C110" s="45" t="s">
        <v>1608</v>
      </c>
      <c r="D110" t="s">
        <v>1714</v>
      </c>
      <c r="E110" s="3"/>
      <c r="F110" s="12"/>
      <c r="G110" s="12"/>
      <c r="H110" s="12"/>
      <c r="I110" s="12"/>
      <c r="J110" s="12"/>
    </row>
    <row r="111">
      <c r="A111">
        <f>IFERROR(__xludf.DUMMYFUNCTION("""COMPUTED_VALUE"""),164.0)</f>
        <v>164</v>
      </c>
      <c r="B111" s="12" t="str">
        <f>IFERROR(__xludf.DUMMYFUNCTION("""COMPUTED_VALUE"""),"That my information could be stolen.")</f>
        <v>That my information could be stolen.</v>
      </c>
      <c r="C111" s="3" t="s">
        <v>65</v>
      </c>
      <c r="D111" t="s">
        <v>1717</v>
      </c>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t="str">
        <f>IFERROR(__xludf.DUMMYFUNCTION("""COMPUTED_VALUE"""),"whether this was needed")</f>
        <v>whether this was needed</v>
      </c>
      <c r="C117" t="s">
        <v>1714</v>
      </c>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t="str">
        <f>IFERROR(__xludf.DUMMYFUNCTION("""COMPUTED_VALUE"""),"I considered downloading a ZIP extractor on my desktop and unzipping the relevant folder, however it seemed much easier to just access it from Google Drive, as the folder was originally already online and I wanted to store the data in the cloud as well.")</f>
        <v>I considered downloading a ZIP extractor on my desktop and unzipping the relevant folder, however it seemed much easier to just access it from Google Drive, as the folder was originally already online and I wanted to store the data in the cloud as well.</v>
      </c>
      <c r="C119" t="s">
        <v>1698</v>
      </c>
      <c r="D119" t="s">
        <v>1714</v>
      </c>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t="str">
        <f>IFERROR(__xludf.DUMMYFUNCTION("""COMPUTED_VALUE"""),"What permissions were being granted and how much information I was conceding")</f>
        <v>What permissions were being granted and how much information I was conceding</v>
      </c>
      <c r="C124" t="s">
        <v>1703</v>
      </c>
      <c r="D124" s="20" t="s">
        <v>1722</v>
      </c>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t="str">
        <f>IFERROR(__xludf.DUMMYFUNCTION("""COMPUTED_VALUE"""),"I did think about the security features and if I would like Google to have access to other apps that contain personal information.")</f>
        <v>I did think about the security features and if I would like Google to have access to other apps that contain personal information.</v>
      </c>
      <c r="C127" s="3" t="s">
        <v>65</v>
      </c>
      <c r="D127" t="s">
        <v>1696</v>
      </c>
      <c r="E127" s="12"/>
      <c r="F127" s="12"/>
      <c r="G127" s="12"/>
      <c r="H127" s="12"/>
      <c r="I127" s="12"/>
      <c r="J127" s="12"/>
    </row>
    <row r="128">
      <c r="A128">
        <f>IFERROR(__xludf.DUMMYFUNCTION("""COMPUTED_VALUE"""),188.0)</f>
        <v>188</v>
      </c>
      <c r="B128" s="12" t="str">
        <f>IFERROR(__xludf.DUMMYFUNCTION("""COMPUTED_VALUE"""),"I did not consider anything, as I thought it was completely safe.")</f>
        <v>I did not consider anything, as I thought it was completely safe.</v>
      </c>
      <c r="C128" s="45" t="s">
        <v>1608</v>
      </c>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t="str">
        <f>IFERROR(__xludf.DUMMYFUNCTION("""COMPUTED_VALUE"""),"Would it steal my info")</f>
        <v>Would it steal my info</v>
      </c>
      <c r="C130" s="3" t="s">
        <v>65</v>
      </c>
      <c r="D130" t="s">
        <v>1717</v>
      </c>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t="str">
        <f>IFERROR(__xludf.DUMMYFUNCTION("""COMPUTED_VALUE"""),"if the app had the ability to modify other data on my account.")</f>
        <v>if the app had the ability to modify other data on my account.</v>
      </c>
      <c r="C132" t="s">
        <v>1703</v>
      </c>
      <c r="D132" s="20" t="s">
        <v>1723</v>
      </c>
      <c r="E132" s="12"/>
      <c r="F132" s="12"/>
      <c r="G132" s="12"/>
      <c r="H132" s="12"/>
      <c r="I132" s="12"/>
      <c r="J132" s="12"/>
    </row>
    <row r="133">
      <c r="A133">
        <f>IFERROR(__xludf.DUMMYFUNCTION("""COMPUTED_VALUE"""),195.0)</f>
        <v>195</v>
      </c>
      <c r="B133" s="12" t="str">
        <f>IFERROR(__xludf.DUMMYFUNCTION("""COMPUTED_VALUE"""),"whether or not it had access to other personal data")</f>
        <v>whether or not it had access to other personal data</v>
      </c>
      <c r="C133" t="s">
        <v>1703</v>
      </c>
      <c r="D133" t="s">
        <v>1722</v>
      </c>
      <c r="E133" s="12"/>
      <c r="F133" s="12"/>
      <c r="G133" s="12"/>
      <c r="H133" s="12"/>
      <c r="I133" s="12"/>
      <c r="J133" s="12"/>
    </row>
    <row r="134">
      <c r="A134">
        <f>IFERROR(__xludf.DUMMYFUNCTION("""COMPUTED_VALUE"""),198.0)</f>
        <v>198</v>
      </c>
      <c r="B134" s="12" t="str">
        <f>IFERROR(__xludf.DUMMYFUNCTION("""COMPUTED_VALUE"""),"if i should have logged in with facebook instead")</f>
        <v>if i should have logged in with facebook instead</v>
      </c>
      <c r="C134" s="45" t="s">
        <v>1620</v>
      </c>
      <c r="D134" s="45" t="s">
        <v>1621</v>
      </c>
      <c r="E134" s="3"/>
      <c r="F134" s="12"/>
      <c r="G134" s="12"/>
      <c r="H134" s="12"/>
      <c r="I134" s="12"/>
      <c r="J134" s="12"/>
    </row>
    <row r="135">
      <c r="A135">
        <f>IFERROR(__xludf.DUMMYFUNCTION("""COMPUTED_VALUE"""),199.0)</f>
        <v>199</v>
      </c>
      <c r="B135" s="12" t="str">
        <f>IFERROR(__xludf.DUMMYFUNCTION("""COMPUTED_VALUE"""),"Using another app")</f>
        <v>Using another app</v>
      </c>
      <c r="C135" s="45" t="s">
        <v>1620</v>
      </c>
      <c r="D135" s="3"/>
      <c r="E135" s="12"/>
      <c r="F135" s="12"/>
      <c r="G135" s="12"/>
      <c r="H135" s="12"/>
      <c r="I135" s="12"/>
      <c r="J135" s="12"/>
    </row>
    <row r="136">
      <c r="A136">
        <f>IFERROR(__xludf.DUMMYFUNCTION("""COMPUTED_VALUE"""),200.0)</f>
        <v>200</v>
      </c>
      <c r="B136" s="12" t="str">
        <f>IFERROR(__xludf.DUMMYFUNCTION("""COMPUTED_VALUE"""),"Making sure that I knew what I was agreeing to")</f>
        <v>Making sure that I knew what I was agreeing to</v>
      </c>
      <c r="C136" t="s">
        <v>1605</v>
      </c>
      <c r="D136" s="3"/>
      <c r="E136" s="3"/>
      <c r="F136" s="12"/>
      <c r="G136" s="12"/>
      <c r="H136" s="12"/>
      <c r="I136" s="12"/>
      <c r="J136" s="12"/>
    </row>
    <row r="137">
      <c r="A137">
        <f>IFERROR(__xludf.DUMMYFUNCTION("""COMPUTED_VALUE"""),201.0)</f>
        <v>201</v>
      </c>
      <c r="B137" s="12" t="str">
        <f>IFERROR(__xludf.DUMMYFUNCTION("""COMPUTED_VALUE"""),"How to expedite the sign on process.")</f>
        <v>How to expedite the sign on process.</v>
      </c>
      <c r="C137" t="s">
        <v>1598</v>
      </c>
      <c r="D137" s="20" t="s">
        <v>1724</v>
      </c>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t="str">
        <f>IFERROR(__xludf.DUMMYFUNCTION("""COMPUTED_VALUE"""),"Privacy and if the app uses anything for marketing data.")</f>
        <v>Privacy and if the app uses anything for marketing data.</v>
      </c>
      <c r="C139" t="s">
        <v>384</v>
      </c>
      <c r="D139" s="20" t="s">
        <v>1725</v>
      </c>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t="str">
        <f>IFERROR(__xludf.DUMMYFUNCTION("""COMPUTED_VALUE"""),"if my data could be leaked")</f>
        <v>if my data could be leaked</v>
      </c>
      <c r="C141" s="45" t="s">
        <v>65</v>
      </c>
      <c r="D141" s="20" t="s">
        <v>1726</v>
      </c>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t="str">
        <f>IFERROR(__xludf.DUMMYFUNCTION("""COMPUTED_VALUE"""),"I wasn't happy that I had to agree to that loss of privacy, but I really wanted to use the app in that moment and understood I was consenting to losing the privacy.")</f>
        <v>I wasn't happy that I had to agree to that loss of privacy, but I really wanted to use the app in that moment and understood I was consenting to losing the privacy.</v>
      </c>
      <c r="C143" t="s">
        <v>384</v>
      </c>
      <c r="D143" t="s">
        <v>1714</v>
      </c>
      <c r="E143" s="45" t="s">
        <v>1610</v>
      </c>
      <c r="F143" t="s">
        <v>1700</v>
      </c>
      <c r="G143" s="12"/>
      <c r="H143" s="12"/>
      <c r="I143" s="12"/>
      <c r="J143" s="12"/>
    </row>
    <row r="144">
      <c r="A144">
        <f>IFERROR(__xludf.DUMMYFUNCTION("""COMPUTED_VALUE"""),210.0)</f>
        <v>210</v>
      </c>
      <c r="B144" s="12" t="str">
        <f>IFERROR(__xludf.DUMMYFUNCTION("""COMPUTED_VALUE"""),"I considered whether it was safe, whether or not the service was important for me.")</f>
        <v>I considered whether it was safe, whether or not the service was important for me.</v>
      </c>
      <c r="C144" t="s">
        <v>1707</v>
      </c>
      <c r="D144" t="s">
        <v>1714</v>
      </c>
      <c r="E144" s="3"/>
      <c r="F144" s="3"/>
      <c r="G144" s="3"/>
      <c r="H144" s="12"/>
      <c r="I144" s="12"/>
      <c r="J144" s="12"/>
    </row>
    <row r="145">
      <c r="A145">
        <f>IFERROR(__xludf.DUMMYFUNCTION("""COMPUTED_VALUE"""),212.0)</f>
        <v>212</v>
      </c>
      <c r="B145" s="12" t="str">
        <f>IFERROR(__xludf.DUMMYFUNCTION("""COMPUTED_VALUE"""),"Nothing")</f>
        <v>Nothing</v>
      </c>
      <c r="C145" s="3" t="s">
        <v>188</v>
      </c>
      <c r="D145" s="3"/>
      <c r="E145" s="3"/>
      <c r="F145" s="12"/>
      <c r="G145" s="12"/>
      <c r="H145" s="12"/>
      <c r="I145" s="12"/>
      <c r="J145" s="12"/>
    </row>
    <row r="146">
      <c r="A146">
        <f>IFERROR(__xludf.DUMMYFUNCTION("""COMPUTED_VALUE"""),213.0)</f>
        <v>213</v>
      </c>
      <c r="B146" s="12" t="str">
        <f>IFERROR(__xludf.DUMMYFUNCTION("""COMPUTED_VALUE"""),"How easily the service could be hacked and if my information were to be compromised.")</f>
        <v>How easily the service could be hacked and if my information were to be compromised.</v>
      </c>
      <c r="C146" s="45" t="s">
        <v>65</v>
      </c>
      <c r="D146" s="46" t="s">
        <v>1727</v>
      </c>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t="str">
        <f>IFERROR(__xludf.DUMMYFUNCTION("""COMPUTED_VALUE"""),"The benefits of the third-party app balanced with the potential loss-of-privacy that is inherent to giving a third-party app access to my account")</f>
        <v>The benefits of the third-party app balanced with the potential loss-of-privacy that is inherent to giving a third-party app access to my account</v>
      </c>
      <c r="C151" t="s">
        <v>1714</v>
      </c>
      <c r="D151" t="s">
        <v>384</v>
      </c>
      <c r="E151" s="45" t="s">
        <v>1610</v>
      </c>
      <c r="F151" t="s">
        <v>1700</v>
      </c>
      <c r="H151" s="12"/>
      <c r="I151" s="12"/>
      <c r="J151" s="12"/>
    </row>
    <row r="152">
      <c r="A152">
        <f>IFERROR(__xludf.DUMMYFUNCTION("""COMPUTED_VALUE"""),221.0)</f>
        <v>221</v>
      </c>
      <c r="B152" s="12" t="str">
        <f>IFERROR(__xludf.DUMMYFUNCTION("""COMPUTED_VALUE"""),"How much money it would make me and security questions as well.")</f>
        <v>How much money it would make me and security questions as well.</v>
      </c>
      <c r="C152" s="45" t="s">
        <v>65</v>
      </c>
      <c r="D152" t="s">
        <v>1714</v>
      </c>
      <c r="E152" s="12"/>
      <c r="F152" s="12"/>
      <c r="H152" s="12"/>
      <c r="I152" s="12"/>
      <c r="J152" s="12"/>
    </row>
    <row r="153">
      <c r="A153">
        <f>IFERROR(__xludf.DUMMYFUNCTION("""COMPUTED_VALUE"""),222.0)</f>
        <v>222</v>
      </c>
      <c r="B153" s="12" t="str">
        <f>IFERROR(__xludf.DUMMYFUNCTION("""COMPUTED_VALUE"""),"Do I want my account associated with this?")</f>
        <v>Do I want my account associated with this?</v>
      </c>
      <c r="C153" t="s">
        <v>1696</v>
      </c>
      <c r="D153" s="20" t="s">
        <v>1728</v>
      </c>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t="str">
        <f>IFERROR(__xludf.DUMMYFUNCTION("""COMPUTED_VALUE"""),"Saftey")</f>
        <v>Saftey</v>
      </c>
      <c r="C156" t="s">
        <v>1707</v>
      </c>
      <c r="D156" s="12"/>
      <c r="E156" s="12"/>
      <c r="F156" s="12"/>
      <c r="G156" s="12"/>
      <c r="H156" s="12"/>
      <c r="I156" s="12"/>
      <c r="J156" s="12"/>
    </row>
    <row r="157">
      <c r="A157">
        <f>IFERROR(__xludf.DUMMYFUNCTION("""COMPUTED_VALUE"""),228.0)</f>
        <v>228</v>
      </c>
      <c r="B157" s="12" t="str">
        <f>IFERROR(__xludf.DUMMYFUNCTION("""COMPUTED_VALUE"""),"I wasn't sure if the app should have gained so much information about me.")</f>
        <v>I wasn't sure if the app should have gained so much information about me.</v>
      </c>
      <c r="C157" t="s">
        <v>1696</v>
      </c>
      <c r="D157" s="20" t="s">
        <v>1697</v>
      </c>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t="str">
        <f>IFERROR(__xludf.DUMMYFUNCTION("""COMPUTED_VALUE"""),"whether it was secure and could i trust it.")</f>
        <v>whether it was secure and could i trust it.</v>
      </c>
      <c r="C159" s="45" t="s">
        <v>65</v>
      </c>
      <c r="D159" s="20" t="s">
        <v>1701</v>
      </c>
      <c r="E159" s="20" t="s">
        <v>1702</v>
      </c>
      <c r="F159" s="12"/>
      <c r="G159" s="12"/>
      <c r="H159" s="12"/>
      <c r="I159" s="12"/>
      <c r="J159" s="12"/>
    </row>
    <row r="160">
      <c r="A160">
        <f>IFERROR(__xludf.DUMMYFUNCTION("""COMPUTED_VALUE"""),233.0)</f>
        <v>233</v>
      </c>
      <c r="B160" s="12" t="str">
        <f>IFERROR(__xludf.DUMMYFUNCTION("""COMPUTED_VALUE"""),"Nothing! Like before, I generally trust anything that leads to that google SSO page.")</f>
        <v>Nothing! Like before, I generally trust anything that leads to that google SSO page.</v>
      </c>
      <c r="C160" s="3" t="s">
        <v>1608</v>
      </c>
      <c r="D160" s="3" t="s">
        <v>1729</v>
      </c>
      <c r="E160" s="12"/>
      <c r="F160" s="12"/>
      <c r="G160" s="12"/>
      <c r="H160" s="12"/>
      <c r="I160" s="12"/>
      <c r="J160" s="12"/>
    </row>
    <row r="161">
      <c r="A161">
        <f>IFERROR(__xludf.DUMMYFUNCTION("""COMPUTED_VALUE"""),234.0)</f>
        <v>234</v>
      </c>
      <c r="B161" s="12" t="str">
        <f>IFERROR(__xludf.DUMMYFUNCTION("""COMPUTED_VALUE"""),"Again, I really was focused on website reliability. Even more so than for single sign-in. When it comes to access, I really want to make sure I know who I am giving the rights to and why they need it. If they're asking for more than seems reasonably neces"&amp;"sary, I'll just go somewhere else.")</f>
        <v>Again, I really was focused on website reliability. Even more so than for single sign-in. When it comes to access, I really want to make sure I know who I am giving the rights to and why they need it. If they're asking for more than seems reasonably necessary, I'll just go somewhere else.</v>
      </c>
      <c r="C161" s="20" t="s">
        <v>1701</v>
      </c>
      <c r="D161" s="20" t="s">
        <v>1713</v>
      </c>
      <c r="E161" t="s">
        <v>1703</v>
      </c>
      <c r="F161" t="s">
        <v>1720</v>
      </c>
      <c r="G161" s="12"/>
      <c r="H161" s="12"/>
      <c r="I161" s="12"/>
      <c r="J161" s="12"/>
    </row>
    <row r="162">
      <c r="A162">
        <f>IFERROR(__xludf.DUMMYFUNCTION("""COMPUTED_VALUE"""),235.0)</f>
        <v>235</v>
      </c>
      <c r="B162" s="12" t="str">
        <f>IFERROR(__xludf.DUMMYFUNCTION("""COMPUTED_VALUE"""),"privacy concerns")</f>
        <v>privacy concerns</v>
      </c>
      <c r="C162" t="s">
        <v>384</v>
      </c>
      <c r="D162" s="12"/>
      <c r="E162" s="12"/>
      <c r="F162" s="12"/>
      <c r="G162" s="12"/>
      <c r="H162" s="12"/>
      <c r="I162" s="12"/>
      <c r="J162" s="12"/>
    </row>
    <row r="163">
      <c r="A163">
        <f>IFERROR(__xludf.DUMMYFUNCTION("""COMPUTED_VALUE"""),236.0)</f>
        <v>236</v>
      </c>
      <c r="B163" s="12" t="str">
        <f>IFERROR(__xludf.DUMMYFUNCTION("""COMPUTED_VALUE"""),"Same as with the others, I don't allow it unless it's a well-known, trusted sight.")</f>
        <v>Same as with the others, I don't allow it unless it's a well-known, trusted sight.</v>
      </c>
      <c r="C163" s="20" t="s">
        <v>1701</v>
      </c>
      <c r="D163" s="20" t="s">
        <v>1713</v>
      </c>
      <c r="E163" s="12"/>
      <c r="F163" s="12"/>
      <c r="G163" s="12"/>
      <c r="H163" s="12"/>
      <c r="I163" s="12"/>
      <c r="J163" s="12"/>
    </row>
    <row r="164">
      <c r="A164">
        <f>IFERROR(__xludf.DUMMYFUNCTION("""COMPUTED_VALUE"""),237.0)</f>
        <v>237</v>
      </c>
      <c r="B164" s="12" t="str">
        <f>IFERROR(__xludf.DUMMYFUNCTION("""COMPUTED_VALUE"""),"I was a little concerned my data could be leaked, but ultimately still granted third-party access")</f>
        <v>I was a little concerned my data could be leaked, but ultimately still granted third-party access</v>
      </c>
      <c r="C164" s="45" t="s">
        <v>65</v>
      </c>
      <c r="D164" s="20" t="s">
        <v>1726</v>
      </c>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t="str">
        <f>IFERROR(__xludf.DUMMYFUNCTION("""COMPUTED_VALUE"""),"If I can find a 1st party app that can do what I need first.")</f>
        <v>If I can find a 1st party app that can do what I need first.</v>
      </c>
      <c r="C166" s="34" t="s">
        <v>1620</v>
      </c>
      <c r="D166" s="34"/>
      <c r="E166" s="12"/>
      <c r="F166" s="12"/>
      <c r="G166" s="12"/>
      <c r="H166" s="12"/>
      <c r="I166" s="12"/>
      <c r="J166" s="12"/>
    </row>
    <row r="167">
      <c r="A167">
        <f>IFERROR(__xludf.DUMMYFUNCTION("""COMPUTED_VALUE"""),241.0)</f>
        <v>241</v>
      </c>
      <c r="B167" s="12" t="str">
        <f>IFERROR(__xludf.DUMMYFUNCTION("""COMPUTED_VALUE"""),"doing it from scratch")</f>
        <v>doing it from scratch</v>
      </c>
      <c r="C167" s="34" t="s">
        <v>1620</v>
      </c>
      <c r="D167" s="12"/>
      <c r="E167" s="12"/>
      <c r="F167" s="12"/>
      <c r="G167" s="12"/>
      <c r="H167" s="12"/>
      <c r="I167" s="12"/>
      <c r="J167" s="12"/>
    </row>
    <row r="168">
      <c r="A168">
        <f>IFERROR(__xludf.DUMMYFUNCTION("""COMPUTED_VALUE"""),242.0)</f>
        <v>242</v>
      </c>
      <c r="B168" s="12" t="str">
        <f>IFERROR(__xludf.DUMMYFUNCTION("""COMPUTED_VALUE"""),"If my information was safe")</f>
        <v>If my information was safe</v>
      </c>
      <c r="C168" s="45" t="s">
        <v>65</v>
      </c>
      <c r="D168" s="34" t="s">
        <v>1600</v>
      </c>
      <c r="E168" s="12"/>
      <c r="F168" s="12"/>
      <c r="G168" s="12"/>
      <c r="H168" s="12"/>
      <c r="I168" s="12"/>
      <c r="J168" s="12"/>
    </row>
    <row r="169">
      <c r="A169">
        <f>IFERROR(__xludf.DUMMYFUNCTION("""COMPUTED_VALUE"""),245.0)</f>
        <v>245</v>
      </c>
      <c r="B169" s="12" t="str">
        <f>IFERROR(__xludf.DUMMYFUNCTION("""COMPUTED_VALUE"""),"I considered if the app really needed all of the permissions it requested.")</f>
        <v>I considered if the app really needed all of the permissions it requested.</v>
      </c>
      <c r="C169" t="s">
        <v>1703</v>
      </c>
      <c r="D169" t="s">
        <v>1720</v>
      </c>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t="str">
        <f>IFERROR(__xludf.DUMMYFUNCTION("""COMPUTED_VALUE"""),"if it would actually be helpful or not")</f>
        <v>if it would actually be helpful or not</v>
      </c>
      <c r="C175" t="s">
        <v>1714</v>
      </c>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t="str">
        <f>IFERROR(__xludf.DUMMYFUNCTION("""COMPUTED_VALUE"""),"if I felt okay with it having access")</f>
        <v>if I felt okay with it having access</v>
      </c>
      <c r="C179" s="20" t="s">
        <v>1711</v>
      </c>
      <c r="D179" t="s">
        <v>1712</v>
      </c>
      <c r="E179" s="12"/>
      <c r="F179" s="12"/>
      <c r="G179" s="12"/>
      <c r="H179" s="12"/>
      <c r="I179" s="12"/>
      <c r="J179" s="12"/>
    </row>
    <row r="180">
      <c r="A180">
        <f>IFERROR(__xludf.DUMMYFUNCTION("""COMPUTED_VALUE"""),259.0)</f>
        <v>259</v>
      </c>
      <c r="B180" s="12" t="str">
        <f>IFERROR(__xludf.DUMMYFUNCTION("""COMPUTED_VALUE"""),"I really didn't consider anything else. I knew I had to connect my Zoom account with my Google Account.")</f>
        <v>I really didn't consider anything else. I knew I had to connect my Zoom account with my Google Account.</v>
      </c>
      <c r="C180" t="s">
        <v>1714</v>
      </c>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t="str">
        <f>IFERROR(__xludf.DUMMYFUNCTION("""COMPUTED_VALUE"""),"If I would notice it more on the google calendar or the calendar on my phone.")</f>
        <v>If I would notice it more on the google calendar or the calendar on my phone.</v>
      </c>
      <c r="C183" s="3" t="s">
        <v>188</v>
      </c>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t="str">
        <f>IFERROR(__xludf.DUMMYFUNCTION("""COMPUTED_VALUE"""),"i usually dont care when it asks i just say yes")</f>
        <v>i usually dont care when it asks i just say yes</v>
      </c>
      <c r="C185" s="3" t="s">
        <v>1608</v>
      </c>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t="str">
        <f>IFERROR(__xludf.DUMMYFUNCTION("""COMPUTED_VALUE"""),"I didnt, since it was a part of android i just let it")</f>
        <v>I didnt, since it was a part of android i just let it</v>
      </c>
      <c r="C188" s="3" t="s">
        <v>1608</v>
      </c>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t="str">
        <f>IFERROR(__xludf.DUMMYFUNCTION("""COMPUTED_VALUE"""),"I didn't consider anything.")</f>
        <v>I didn't consider anything.</v>
      </c>
      <c r="C190" s="3" t="s">
        <v>188</v>
      </c>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t="str">
        <f>IFERROR(__xludf.DUMMYFUNCTION("""COMPUTED_VALUE"""),"Nothing")</f>
        <v>Nothing</v>
      </c>
      <c r="C192" s="3" t="s">
        <v>188</v>
      </c>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t="str">
        <f>IFERROR(__xludf.DUMMYFUNCTION("""COMPUTED_VALUE"""),"If this info was necessary for the app to have")</f>
        <v>If this info was necessary for the app to have</v>
      </c>
      <c r="C194" t="s">
        <v>1703</v>
      </c>
      <c r="D194" t="s">
        <v>1720</v>
      </c>
      <c r="E194" s="12"/>
      <c r="F194" s="12"/>
      <c r="G194" s="12"/>
      <c r="H194" s="12"/>
      <c r="I194" s="12"/>
      <c r="J194" s="12"/>
    </row>
    <row r="195">
      <c r="A195">
        <f>IFERROR(__xludf.DUMMYFUNCTION("""COMPUTED_VALUE"""),279.0)</f>
        <v>279</v>
      </c>
      <c r="B195" s="12" t="str">
        <f>IFERROR(__xludf.DUMMYFUNCTION("""COMPUTED_VALUE"""),"Privacy and data sharing")</f>
        <v>Privacy and data sharing</v>
      </c>
      <c r="C195" t="s">
        <v>384</v>
      </c>
      <c r="D195" t="s">
        <v>1696</v>
      </c>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t="str">
        <f>IFERROR(__xludf.DUMMYFUNCTION("""COMPUTED_VALUE"""),"Whether I wanted to let the site gain access to my email account")</f>
        <v>Whether I wanted to let the site gain access to my email account</v>
      </c>
      <c r="C197" t="s">
        <v>1696</v>
      </c>
      <c r="D197" s="20" t="s">
        <v>1730</v>
      </c>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t="str">
        <f>IFERROR(__xludf.DUMMYFUNCTION("""COMPUTED_VALUE"""),"My privacy and payment info")</f>
        <v>My privacy and payment info</v>
      </c>
      <c r="C200" t="s">
        <v>384</v>
      </c>
      <c r="D200" s="12"/>
      <c r="E200" s="12"/>
      <c r="F200" s="12"/>
      <c r="G200" s="12"/>
      <c r="H200" s="12"/>
      <c r="I200" s="12"/>
      <c r="J200" s="12"/>
    </row>
    <row r="201">
      <c r="A201">
        <f>IFERROR(__xludf.DUMMYFUNCTION("""COMPUTED_VALUE"""),292.0)</f>
        <v>292</v>
      </c>
      <c r="B201" s="12" t="str">
        <f>IFERROR(__xludf.DUMMYFUNCTION("""COMPUTED_VALUE"""),"How easy it was to revoke access")</f>
        <v>How easy it was to revoke access</v>
      </c>
      <c r="C201" s="3" t="s">
        <v>1598</v>
      </c>
      <c r="D201" s="3" t="s">
        <v>1731</v>
      </c>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t="str">
        <f>IFERROR(__xludf.DUMMYFUNCTION("""COMPUTED_VALUE"""),"I typically just allow access without thinking about it, to be honest.")</f>
        <v>I typically just allow access without thinking about it, to be honest.</v>
      </c>
      <c r="C203" s="3" t="s">
        <v>1608</v>
      </c>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t="str">
        <f>IFERROR(__xludf.DUMMYFUNCTION("""COMPUTED_VALUE"""),"Amount of spam I may receive. Convenience of registration.")</f>
        <v>Amount of spam I may receive. Convenience of registration.</v>
      </c>
      <c r="C206" t="s">
        <v>1706</v>
      </c>
      <c r="D206" t="s">
        <v>1698</v>
      </c>
      <c r="E206" t="s">
        <v>1699</v>
      </c>
      <c r="F206" s="12"/>
      <c r="G206" s="12"/>
      <c r="H206" s="12"/>
      <c r="I206" s="12"/>
      <c r="J206" s="12"/>
    </row>
    <row r="207">
      <c r="A207">
        <f>IFERROR(__xludf.DUMMYFUNCTION("""COMPUTED_VALUE"""),300.0)</f>
        <v>300</v>
      </c>
      <c r="B207" s="12" t="str">
        <f>IFERROR(__xludf.DUMMYFUNCTION("""COMPUTED_VALUE"""),"I guess just making sure they weren't getting any personal information")</f>
        <v>I guess just making sure they weren't getting any personal information</v>
      </c>
      <c r="C207" t="s">
        <v>1696</v>
      </c>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t="str">
        <f>IFERROR(__xludf.DUMMYFUNCTION("""COMPUTED_VALUE"""),"I mostly just considered how convenient it would be to just grant access.")</f>
        <v>I mostly just considered how convenient it would be to just grant access.</v>
      </c>
      <c r="C209" t="s">
        <v>1698</v>
      </c>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t="str">
        <f>IFERROR(__xludf.DUMMYFUNCTION("""COMPUTED_VALUE"""),"Account was made with the Google sign-in, so the account is linked to in.")</f>
        <v>Account was made with the Google sign-in, so the account is linked to in.</v>
      </c>
      <c r="C211" t="s">
        <v>1708</v>
      </c>
      <c r="D211" s="20" t="s">
        <v>1709</v>
      </c>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t="str">
        <f>IFERROR(__xludf.DUMMYFUNCTION("""COMPUTED_VALUE"""),"Whether the website was secure")</f>
        <v>Whether the website was secure</v>
      </c>
      <c r="C213" t="s">
        <v>65</v>
      </c>
      <c r="D213" s="20" t="s">
        <v>1732</v>
      </c>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t="str">
        <f>IFERROR(__xludf.DUMMYFUNCTION("""COMPUTED_VALUE"""),"Is it safe to let this app take my information?")</f>
        <v>Is it safe to let this app take my information?</v>
      </c>
      <c r="C215" t="s">
        <v>1707</v>
      </c>
      <c r="D215" t="s">
        <v>1696</v>
      </c>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t="str">
        <f>IFERROR(__xludf.DUMMYFUNCTION("""COMPUTED_VALUE"""),"How much information and what kind of information it was recieving")</f>
        <v>How much information and what kind of information it was recieving</v>
      </c>
      <c r="C219" t="s">
        <v>1605</v>
      </c>
      <c r="D219" t="s">
        <v>1622</v>
      </c>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t="str">
        <f>IFERROR(__xludf.DUMMYFUNCTION("""COMPUTED_VALUE"""),"I reviewed the permissions to make sure it made sense and did not ask for any sensors or information on the device it shouldn't need.")</f>
        <v>I reviewed the permissions to make sure it made sense and did not ask for any sensors or information on the device it shouldn't need.</v>
      </c>
      <c r="C221" t="s">
        <v>1703</v>
      </c>
      <c r="D221" t="s">
        <v>1720</v>
      </c>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t="str">
        <f>IFERROR(__xludf.DUMMYFUNCTION("""COMPUTED_VALUE"""),"Do I really want to do this was really the main thing I thought about. Did I really want to share my information with the site, otherwise I couldn't view any more places.")</f>
        <v>Do I really want to do this was really the main thing I thought about. Did I really want to share my information with the site, otherwise I couldn't view any more places.</v>
      </c>
      <c r="C223" t="s">
        <v>1696</v>
      </c>
      <c r="D223" s="20" t="s">
        <v>1733</v>
      </c>
      <c r="E223" s="12"/>
      <c r="F223" s="12"/>
      <c r="G223" s="12"/>
      <c r="H223" s="12"/>
      <c r="I223" s="12"/>
      <c r="J223" s="12"/>
    </row>
    <row r="224">
      <c r="A224">
        <f>IFERROR(__xludf.DUMMYFUNCTION("""COMPUTED_VALUE"""),319.0)</f>
        <v>319</v>
      </c>
      <c r="B224" s="12" t="str">
        <f>IFERROR(__xludf.DUMMYFUNCTION("""COMPUTED_VALUE"""),"Mostly privacy concerns and worried about leaks.")</f>
        <v>Mostly privacy concerns and worried about leaks.</v>
      </c>
      <c r="C224" s="3" t="s">
        <v>384</v>
      </c>
      <c r="D224" s="3" t="s">
        <v>65</v>
      </c>
      <c r="E224" s="20" t="s">
        <v>1726</v>
      </c>
      <c r="F224" s="12"/>
      <c r="G224" s="12"/>
      <c r="H224" s="12"/>
      <c r="I224" s="12"/>
      <c r="J224" s="12"/>
    </row>
    <row r="225">
      <c r="A225">
        <f>IFERROR(__xludf.DUMMYFUNCTION("""COMPUTED_VALUE"""),321.0)</f>
        <v>321</v>
      </c>
      <c r="B225" s="12" t="str">
        <f>IFERROR(__xludf.DUMMYFUNCTION("""COMPUTED_VALUE"""),"Nothing")</f>
        <v>Nothing</v>
      </c>
      <c r="C225" s="3" t="s">
        <v>188</v>
      </c>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t="str">
        <f>IFERROR(__xludf.DUMMYFUNCTION("""COMPUTED_VALUE"""),"I was mostly interested in what the app wanted access to. My recollection was that it wasn't anything that caused me any serious concern.")</f>
        <v>I was mostly interested in what the app wanted access to. My recollection was that it wasn't anything that caused me any serious concern.</v>
      </c>
      <c r="C228" t="s">
        <v>1703</v>
      </c>
      <c r="D228" t="s">
        <v>1721</v>
      </c>
      <c r="E228" s="3" t="s">
        <v>1608</v>
      </c>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t="str">
        <f>IFERROR(__xludf.DUMMYFUNCTION("""COMPUTED_VALUE"""),"I considered if it might be harmful to grant access to certain parts of my Google Account that didn't seem necessary to me.")</f>
        <v>I considered if it might be harmful to grant access to certain parts of my Google Account that didn't seem necessary to me.</v>
      </c>
      <c r="C230" t="s">
        <v>1703</v>
      </c>
      <c r="D230" t="s">
        <v>1720</v>
      </c>
      <c r="E230" s="12"/>
      <c r="F230" s="12"/>
      <c r="G230" s="12"/>
      <c r="H230" s="12"/>
      <c r="I230" s="12"/>
      <c r="J230" s="12"/>
    </row>
    <row r="231">
      <c r="A231">
        <f>IFERROR(__xludf.DUMMYFUNCTION("""COMPUTED_VALUE"""),328.0)</f>
        <v>328</v>
      </c>
      <c r="B231" s="12" t="str">
        <f>IFERROR(__xludf.DUMMYFUNCTION("""COMPUTED_VALUE"""),"I didn't consider much, but I would consider how many permissions it was requesting access to just in case they try to get more than they need.")</f>
        <v>I didn't consider much, but I would consider how many permissions it was requesting access to just in case they try to get more than they need.</v>
      </c>
      <c r="C231" t="s">
        <v>1703</v>
      </c>
      <c r="D231" t="s">
        <v>1720</v>
      </c>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t="str">
        <f>IFERROR(__xludf.DUMMYFUNCTION("""COMPUTED_VALUE"""),"I considered whether I needed Google to make changes to my account for me or whether I wanted to do it on my own")</f>
        <v>I considered whether I needed Google to make changes to my account for me or whether I wanted to do it on my own</v>
      </c>
      <c r="C236" s="34" t="s">
        <v>1620</v>
      </c>
      <c r="D236" s="12"/>
      <c r="E236" s="12"/>
      <c r="F236" s="12"/>
      <c r="G236" s="12"/>
      <c r="H236" s="12"/>
      <c r="I236" s="12"/>
      <c r="J236" s="12"/>
    </row>
    <row r="237">
      <c r="A237">
        <f>IFERROR(__xludf.DUMMYFUNCTION("""COMPUTED_VALUE"""),335.0)</f>
        <v>335</v>
      </c>
      <c r="B237" s="12" t="str">
        <f>IFERROR(__xludf.DUMMYFUNCTION("""COMPUTED_VALUE"""),"Should I give them this data versus the ease of it knowing where I am")</f>
        <v>Should I give them this data versus the ease of it knowing where I am</v>
      </c>
      <c r="C237" t="s">
        <v>1696</v>
      </c>
      <c r="D237" s="20" t="s">
        <v>1733</v>
      </c>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t="str">
        <f>IFERROR(__xludf.DUMMYFUNCTION("""COMPUTED_VALUE"""),"How much information they would be able to access on my phone and make changes to.")</f>
        <v>How much information they would be able to access on my phone and make changes to.</v>
      </c>
      <c r="C240" t="s">
        <v>1703</v>
      </c>
      <c r="D240" t="s">
        <v>1721</v>
      </c>
      <c r="E240" t="s">
        <v>1723</v>
      </c>
      <c r="F240" s="12"/>
      <c r="G240" s="12"/>
      <c r="H240" s="12"/>
      <c r="I240" s="12"/>
      <c r="J240" s="12"/>
    </row>
    <row r="241">
      <c r="A241">
        <f>IFERROR(__xludf.DUMMYFUNCTION("""COMPUTED_VALUE"""),339.0)</f>
        <v>339</v>
      </c>
      <c r="B241" s="12" t="str">
        <f>IFERROR(__xludf.DUMMYFUNCTION("""COMPUTED_VALUE"""),"I considered if they were going to steal my data")</f>
        <v>I considered if they were going to steal my data</v>
      </c>
      <c r="C241" s="3" t="s">
        <v>65</v>
      </c>
      <c r="D241" t="s">
        <v>1727</v>
      </c>
      <c r="E241" s="12"/>
      <c r="F241" s="12"/>
      <c r="G241" s="12"/>
      <c r="H241" s="12"/>
      <c r="I241" s="12"/>
      <c r="J241" s="12"/>
    </row>
    <row r="242">
      <c r="A242">
        <f>IFERROR(__xludf.DUMMYFUNCTION("""COMPUTED_VALUE"""),340.0)</f>
        <v>340</v>
      </c>
      <c r="B242" s="12" t="str">
        <f>IFERROR(__xludf.DUMMYFUNCTION("""COMPUTED_VALUE"""),"What pieces of information I was giving to the app")</f>
        <v>What pieces of information I was giving to the app</v>
      </c>
      <c r="C242" t="s">
        <v>1696</v>
      </c>
      <c r="D242" s="20" t="s">
        <v>1733</v>
      </c>
      <c r="E242" s="12"/>
      <c r="F242" s="12"/>
      <c r="G242" s="12"/>
      <c r="H242" s="12"/>
      <c r="I242" s="12"/>
      <c r="J242" s="12"/>
    </row>
    <row r="243">
      <c r="A243">
        <f>IFERROR(__xludf.DUMMYFUNCTION("""COMPUTED_VALUE"""),341.0)</f>
        <v>341</v>
      </c>
      <c r="B243" s="12" t="str">
        <f>IFERROR(__xludf.DUMMYFUNCTION("""COMPUTED_VALUE"""),"Nothing. It was all okay.")</f>
        <v>Nothing. It was all okay.</v>
      </c>
      <c r="C243" s="3" t="s">
        <v>188</v>
      </c>
      <c r="D243" s="12"/>
      <c r="E243" s="12"/>
      <c r="F243" s="12"/>
      <c r="G243" s="12"/>
      <c r="H243" s="12"/>
      <c r="I243" s="12"/>
      <c r="J243" s="12"/>
    </row>
    <row r="244">
      <c r="A244">
        <f>IFERROR(__xludf.DUMMYFUNCTION("""COMPUTED_VALUE"""),342.0)</f>
        <v>342</v>
      </c>
      <c r="B244" s="12" t="str">
        <f>IFERROR(__xludf.DUMMYFUNCTION("""COMPUTED_VALUE"""),"nothing")</f>
        <v>nothing</v>
      </c>
      <c r="C244" s="3" t="s">
        <v>188</v>
      </c>
      <c r="D244" s="12"/>
      <c r="E244" s="12"/>
      <c r="F244" s="12"/>
      <c r="G244" s="12"/>
      <c r="H244" s="12"/>
      <c r="I244" s="12"/>
      <c r="J244" s="12"/>
    </row>
    <row r="245">
      <c r="A245">
        <f>IFERROR(__xludf.DUMMYFUNCTION("""COMPUTED_VALUE"""),345.0)</f>
        <v>345</v>
      </c>
      <c r="B245" s="12" t="str">
        <f>IFERROR(__xludf.DUMMYFUNCTION("""COMPUTED_VALUE"""),"I was wondering if Google enforced certain guidelines.")</f>
        <v>I was wondering if Google enforced certain guidelines.</v>
      </c>
      <c r="C245" s="3" t="s">
        <v>1605</v>
      </c>
      <c r="D245" s="3" t="s">
        <v>1734</v>
      </c>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IFERROR(__xludf.DUMMYFUNCTION("""COMPUTED_VALUE"""),"My privacy of course, but I felt that it was trustworthy enough and went for it.")</f>
        <v>My privacy of course, but I felt that it was trustworthy enough and went for it.</v>
      </c>
      <c r="C247" s="3" t="s">
        <v>384</v>
      </c>
      <c r="D247" t="s">
        <v>1701</v>
      </c>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t="str">
        <f>IFERROR(__xludf.DUMMYFUNCTION("""COMPUTED_VALUE"""),"What the weather was going to be like that weekend.")</f>
        <v>What the weather was going to be like that weekend.</v>
      </c>
      <c r="C249" s="3" t="s">
        <v>188</v>
      </c>
      <c r="D249" s="12"/>
      <c r="E249" s="12"/>
      <c r="F249" s="12"/>
      <c r="G249" s="12"/>
      <c r="H249" s="12"/>
      <c r="I249" s="12"/>
      <c r="J249" s="12"/>
    </row>
    <row r="250">
      <c r="A250">
        <f>IFERROR(__xludf.DUMMYFUNCTION("""COMPUTED_VALUE"""),354.0)</f>
        <v>354</v>
      </c>
      <c r="B250" s="12" t="str">
        <f>IFERROR(__xludf.DUMMYFUNCTION("""COMPUTED_VALUE"""),"If I had anything that could truly be compromised on my google account")</f>
        <v>If I had anything that could truly be compromised on my google account</v>
      </c>
      <c r="C250" s="20" t="s">
        <v>1696</v>
      </c>
      <c r="D250" s="20" t="s">
        <v>1735</v>
      </c>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t="str">
        <f>IFERROR(__xludf.DUMMYFUNCTION("""COMPUTED_VALUE"""),"definately read through the permissions, lots of dubious apps use information it does not need to collect and sell information")</f>
        <v>definately read through the permissions, lots of dubious apps use information it does not need to collect and sell information</v>
      </c>
      <c r="C252" s="20" t="s">
        <v>1703</v>
      </c>
      <c r="D252" s="12"/>
      <c r="E252" s="12"/>
      <c r="F252" s="12"/>
      <c r="G252" s="12"/>
      <c r="H252" s="12"/>
      <c r="I252" s="12"/>
      <c r="J252" s="12"/>
    </row>
    <row r="253">
      <c r="A253">
        <f>IFERROR(__xludf.DUMMYFUNCTION("""COMPUTED_VALUE"""),358.0)</f>
        <v>358</v>
      </c>
      <c r="B253" s="12" t="str">
        <f>IFERROR(__xludf.DUMMYFUNCTION("""COMPUTED_VALUE"""),"I considered whether I thought google would let zoom take advantage of me or not.")</f>
        <v>I considered whether I thought google would let zoom take advantage of me or not.</v>
      </c>
      <c r="C253" s="20" t="s">
        <v>1708</v>
      </c>
      <c r="D253" t="s">
        <v>1709</v>
      </c>
      <c r="E253" s="12"/>
      <c r="F253" s="12"/>
      <c r="G253" s="12"/>
      <c r="H253" s="12"/>
      <c r="I253" s="12"/>
      <c r="J253" s="12"/>
    </row>
    <row r="254">
      <c r="A254">
        <f>IFERROR(__xludf.DUMMYFUNCTION("""COMPUTED_VALUE"""),360.0)</f>
        <v>360</v>
      </c>
      <c r="B254" s="12" t="str">
        <f>IFERROR(__xludf.DUMMYFUNCTION("""COMPUTED_VALUE"""),"Whether it was strictly necessary to give the app access, or whether I could use the app effectively without granting access.")</f>
        <v>Whether it was strictly necessary to give the app access, or whether I could use the app effectively without granting access.</v>
      </c>
      <c r="C254" s="20" t="s">
        <v>1703</v>
      </c>
      <c r="D254" t="s">
        <v>1720</v>
      </c>
      <c r="E254" s="12"/>
      <c r="F254" s="12"/>
      <c r="G254" s="12"/>
      <c r="H254" s="12"/>
      <c r="I254" s="12"/>
      <c r="J254" s="12"/>
    </row>
    <row r="255">
      <c r="A255">
        <f>IFERROR(__xludf.DUMMYFUNCTION("""COMPUTED_VALUE"""),361.0)</f>
        <v>361</v>
      </c>
      <c r="B255" s="12" t="str">
        <f>IFERROR(__xludf.DUMMYFUNCTION("""COMPUTED_VALUE"""),"If they can see what I do on my google account")</f>
        <v>If they can see what I do on my google account</v>
      </c>
      <c r="C255" s="20" t="s">
        <v>1696</v>
      </c>
      <c r="D255" t="s">
        <v>1728</v>
      </c>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t="str">
        <f>IFERROR(__xludf.DUMMYFUNCTION("""COMPUTED_VALUE"""),"I always scroll through all permissions and think about whether or not the app would actually need them to function.")</f>
        <v>I always scroll through all permissions and think about whether or not the app would actually need them to function.</v>
      </c>
      <c r="C258" s="20" t="s">
        <v>1703</v>
      </c>
      <c r="D258" t="s">
        <v>1720</v>
      </c>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t="str">
        <f>IFERROR(__xludf.DUMMYFUNCTION("""COMPUTED_VALUE"""),"I did not consider much information security-wise.")</f>
        <v>I did not consider much information security-wise.</v>
      </c>
      <c r="C262" s="3" t="s">
        <v>188</v>
      </c>
      <c r="D262" s="12"/>
      <c r="E262" s="12"/>
      <c r="F262" s="12"/>
      <c r="G262" s="12"/>
      <c r="H262" s="12"/>
      <c r="I262" s="12"/>
      <c r="J262" s="12"/>
    </row>
    <row r="263">
      <c r="A263">
        <f>IFERROR(__xludf.DUMMYFUNCTION("""COMPUTED_VALUE"""),372.0)</f>
        <v>372</v>
      </c>
      <c r="B263" s="12" t="str">
        <f>IFERROR(__xludf.DUMMYFUNCTION("""COMPUTED_VALUE"""),"I was wary of allowing this information to be given to them.")</f>
        <v>I was wary of allowing this information to be given to them.</v>
      </c>
      <c r="C263" s="20" t="s">
        <v>1696</v>
      </c>
      <c r="D263" t="s">
        <v>1733</v>
      </c>
      <c r="E263" s="12"/>
      <c r="F263" s="12"/>
      <c r="G263" s="12"/>
      <c r="H263" s="12"/>
      <c r="I263" s="12"/>
      <c r="J263" s="12"/>
    </row>
    <row r="264">
      <c r="A264">
        <f>IFERROR(__xludf.DUMMYFUNCTION("""COMPUTED_VALUE"""),373.0)</f>
        <v>373</v>
      </c>
      <c r="B264" s="12" t="str">
        <f>IFERROR(__xludf.DUMMYFUNCTION("""COMPUTED_VALUE"""),"Nothing much, companies already have my info.")</f>
        <v>Nothing much, companies already have my info.</v>
      </c>
      <c r="C264" s="3" t="s">
        <v>188</v>
      </c>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t="str">
        <f>IFERROR(__xludf.DUMMYFUNCTION("""COMPUTED_VALUE"""),"I considered if the information that is required from the app is taking advantage of my information or not.")</f>
        <v>I considered if the information that is required from the app is taking advantage of my information or not.</v>
      </c>
      <c r="C267" s="20" t="s">
        <v>1696</v>
      </c>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t="str">
        <f>IFERROR(__xludf.DUMMYFUNCTION("""COMPUTED_VALUE"""),"The private data that the app wanted to access, such as my location, reading my personal messages, accessing my contacts, that data is very private and I don't think it should be read.")</f>
        <v>The private data that the app wanted to access, such as my location, reading my personal messages, accessing my contacts, that data is very private and I don't think it should be read.</v>
      </c>
      <c r="C270" s="20" t="s">
        <v>1696</v>
      </c>
      <c r="D270" t="s">
        <v>1735</v>
      </c>
      <c r="E270" s="12"/>
      <c r="F270" s="12"/>
      <c r="G270" s="12"/>
      <c r="H270" s="12"/>
      <c r="I270" s="12"/>
      <c r="J270" s="12"/>
    </row>
    <row r="271">
      <c r="A271">
        <f>IFERROR(__xludf.DUMMYFUNCTION("""COMPUTED_VALUE"""),383.0)</f>
        <v>383</v>
      </c>
      <c r="B271" s="12" t="str">
        <f>IFERROR(__xludf.DUMMYFUNCTION("""COMPUTED_VALUE"""),"not much")</f>
        <v>not much</v>
      </c>
      <c r="C271" s="3" t="s">
        <v>188</v>
      </c>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t="str">
        <f>IFERROR(__xludf.DUMMYFUNCTION("""COMPUTED_VALUE"""),"I consider whether the website is trustworthy and whether the access they're requesting actually makes sense (e.g. if an app asks for access to important/secure data that it doesn't actually need in order to work)")</f>
        <v>I consider whether the website is trustworthy and whether the access they're requesting actually makes sense (e.g. if an app asks for access to important/secure data that it doesn't actually need in order to work)</v>
      </c>
      <c r="C276" s="20" t="s">
        <v>1701</v>
      </c>
      <c r="D276" s="20" t="s">
        <v>1713</v>
      </c>
      <c r="E276" s="20" t="s">
        <v>1703</v>
      </c>
      <c r="F276" s="20" t="s">
        <v>1720</v>
      </c>
      <c r="G276" s="12"/>
      <c r="H276" s="12"/>
      <c r="I276" s="12"/>
      <c r="J276" s="12"/>
    </row>
    <row r="277">
      <c r="A277">
        <f>IFERROR(__xludf.DUMMYFUNCTION("""COMPUTED_VALUE"""),389.0)</f>
        <v>389</v>
      </c>
      <c r="B277" s="12" t="str">
        <f>IFERROR(__xludf.DUMMYFUNCTION("""COMPUTED_VALUE"""),"That it was okay since Google was allowing it")</f>
        <v>That it was okay since Google was allowing it</v>
      </c>
      <c r="C277" s="20" t="s">
        <v>1708</v>
      </c>
      <c r="D277" t="s">
        <v>1709</v>
      </c>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t="str">
        <f>IFERROR(__xludf.DUMMYFUNCTION("""COMPUTED_VALUE"""),"using an alternate email")</f>
        <v>using an alternate email</v>
      </c>
      <c r="C280" s="3" t="s">
        <v>1736</v>
      </c>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t="str">
        <f>IFERROR(__xludf.DUMMYFUNCTION("""COMPUTED_VALUE"""),"I'm always worried about my privacy anytime a app asks me for that information")</f>
        <v>I'm always worried about my privacy anytime a app asks me for that information</v>
      </c>
      <c r="C282" s="3" t="s">
        <v>384</v>
      </c>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t="str">
        <f>IFERROR(__xludf.DUMMYFUNCTION("""COMPUTED_VALUE"""),"I also considered security implications of this and whether it would lead to things I didn't want to happen to my account.")</f>
        <v>I also considered security implications of this and whether it would lead to things I didn't want to happen to my account.</v>
      </c>
      <c r="C284" s="3" t="s">
        <v>65</v>
      </c>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t="str">
        <f>IFERROR(__xludf.DUMMYFUNCTION("""COMPUTED_VALUE"""),"I considered whether the website is trustworthy or not.")</f>
        <v>I considered whether the website is trustworthy or not.</v>
      </c>
      <c r="C293" s="20" t="s">
        <v>1701</v>
      </c>
      <c r="D293" s="20" t="s">
        <v>1713</v>
      </c>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IFERROR(__xludf.DUMMYFUNCTION("""COMPUTED_VALUE"""),"Again it must be okay since it partnered with Google")</f>
        <v>Again it must be okay since it partnered with Google</v>
      </c>
      <c r="C296" s="20" t="s">
        <v>1708</v>
      </c>
      <c r="D296" t="s">
        <v>1709</v>
      </c>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IFERROR(__xludf.DUMMYFUNCTION("""COMPUTED_VALUE"""),"What kind of information was being shared; would it be easier to just create an account with the third-party app.")</f>
        <v>What kind of information was being shared; would it be easier to just create an account with the third-party app.</v>
      </c>
      <c r="C299" s="34" t="s">
        <v>1610</v>
      </c>
      <c r="D299" s="34" t="s">
        <v>1611</v>
      </c>
      <c r="E299" s="34" t="s">
        <v>1620</v>
      </c>
      <c r="F299" s="12"/>
      <c r="G299" s="12"/>
      <c r="H299" s="12"/>
      <c r="I299" s="12"/>
      <c r="J299" s="12"/>
    </row>
    <row r="300">
      <c r="A300">
        <f>IFERROR(__xludf.DUMMYFUNCTION("""COMPUTED_VALUE"""),416.0)</f>
        <v>416</v>
      </c>
      <c r="B300" s="12" t="str">
        <f>IFERROR(__xludf.DUMMYFUNCTION("""COMPUTED_VALUE"""),"Privacy issues, security of whatever entity Iwas granting access to")</f>
        <v>Privacy issues, security of whatever entity Iwas granting access to</v>
      </c>
      <c r="C300" s="3" t="s">
        <v>384</v>
      </c>
      <c r="D300" s="3" t="s">
        <v>65</v>
      </c>
      <c r="E300" s="20" t="s">
        <v>1703</v>
      </c>
      <c r="F300" t="s">
        <v>1721</v>
      </c>
      <c r="G300" s="12"/>
      <c r="H300" s="12"/>
      <c r="I300" s="12"/>
      <c r="J300" s="12"/>
    </row>
    <row r="301">
      <c r="A301">
        <f>IFERROR(__xludf.DUMMYFUNCTION("""COMPUTED_VALUE"""),417.0)</f>
        <v>417</v>
      </c>
      <c r="B301" s="12" t="str">
        <f>IFERROR(__xludf.DUMMYFUNCTION("""COMPUTED_VALUE"""),"security")</f>
        <v>security</v>
      </c>
      <c r="C301" s="3" t="s">
        <v>65</v>
      </c>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t="str">
        <f>IFERROR(__xludf.DUMMYFUNCTION("""COMPUTED_VALUE"""),"I didn't consider anything. jQuery35101615608822469108_1618671446698????")</f>
        <v>I didn't consider anything. jQuery35101615608822469108_1618671446698????</v>
      </c>
      <c r="C304" s="3" t="s">
        <v>188</v>
      </c>
      <c r="D304" s="12"/>
      <c r="E304" s="12"/>
      <c r="F304" s="12"/>
      <c r="G304" s="12"/>
      <c r="H304" s="12"/>
      <c r="I304" s="12"/>
      <c r="J304" s="12"/>
    </row>
    <row r="305">
      <c r="A305">
        <f>IFERROR(__xludf.DUMMYFUNCTION("""COMPUTED_VALUE"""),422.0)</f>
        <v>422</v>
      </c>
      <c r="B305" s="12" t="str">
        <f>IFERROR(__xludf.DUMMYFUNCTION("""COMPUTED_VALUE"""),"privacy concerns")</f>
        <v>privacy concerns</v>
      </c>
      <c r="C305" s="3" t="s">
        <v>384</v>
      </c>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IFERROR(__xludf.DUMMYFUNCTION("""COMPUTED_VALUE"""),"Would they steal my info")</f>
        <v>Would they steal my info</v>
      </c>
      <c r="C307" s="3" t="s">
        <v>65</v>
      </c>
      <c r="D307" s="3" t="s">
        <v>1727</v>
      </c>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t="str">
        <f>IFERROR(__xludf.DUMMYFUNCTION("""COMPUTED_VALUE"""),"nothing")</f>
        <v>nothing</v>
      </c>
      <c r="C309" s="3" t="s">
        <v>188</v>
      </c>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IFERROR(__xludf.DUMMYFUNCTION("""COMPUTED_VALUE"""),"if they would misuse my info")</f>
        <v>if they would misuse my info</v>
      </c>
      <c r="C311" s="3" t="s">
        <v>65</v>
      </c>
      <c r="D311" s="3" t="s">
        <v>1727</v>
      </c>
      <c r="E311" s="12"/>
      <c r="F311" s="12"/>
      <c r="G311" s="12"/>
      <c r="H311" s="12"/>
      <c r="I311" s="12"/>
      <c r="J311" s="12"/>
    </row>
    <row r="312">
      <c r="A312">
        <f>IFERROR(__xludf.DUMMYFUNCTION("""COMPUTED_VALUE"""),432.0)</f>
        <v>432</v>
      </c>
      <c r="B312" s="12" t="str">
        <f>IFERROR(__xludf.DUMMYFUNCTION("""COMPUTED_VALUE"""),"I didn't have a choice, really...I was instructed to do so by my employer, who wanted access to my work calender, availability, and evidence of meetings held.")</f>
        <v>I didn't have a choice, really...I was instructed to do so by my employer, who wanted access to my work calender, availability, and evidence of meetings held.</v>
      </c>
      <c r="C312" s="3" t="s">
        <v>1714</v>
      </c>
      <c r="D312" s="12"/>
      <c r="E312" s="12"/>
      <c r="F312" s="12"/>
      <c r="G312" s="12"/>
      <c r="H312" s="12"/>
      <c r="I312" s="12"/>
      <c r="J312" s="12"/>
    </row>
    <row r="313">
      <c r="A313">
        <f>IFERROR(__xludf.DUMMYFUNCTION("""COMPUTED_VALUE"""),433.0)</f>
        <v>433</v>
      </c>
      <c r="B313" s="12" t="str">
        <f>IFERROR(__xludf.DUMMYFUNCTION("""COMPUTED_VALUE"""),"I always consider if the types of access the apps need are related to the app or not.")</f>
        <v>I always consider if the types of access the apps need are related to the app or not.</v>
      </c>
      <c r="C313" s="20" t="s">
        <v>1703</v>
      </c>
      <c r="D313" t="s">
        <v>1720</v>
      </c>
      <c r="E313" s="12"/>
      <c r="F313" s="12"/>
      <c r="G313" s="12"/>
      <c r="H313" s="12"/>
      <c r="I313" s="12"/>
      <c r="J313" s="12"/>
    </row>
    <row r="314">
      <c r="A314">
        <f>IFERROR(__xludf.DUMMYFUNCTION("""COMPUTED_VALUE"""),434.0)</f>
        <v>434</v>
      </c>
      <c r="B314" s="12" t="str">
        <f>IFERROR(__xludf.DUMMYFUNCTION("""COMPUTED_VALUE"""),"I thought about if I had any concerns with the third party app having access to my account and information.")</f>
        <v>I thought about if I had any concerns with the third party app having access to my account and information.</v>
      </c>
      <c r="C314" t="s">
        <v>1696</v>
      </c>
      <c r="D314" t="s">
        <v>1728</v>
      </c>
      <c r="E314" s="12"/>
      <c r="F314" s="12"/>
      <c r="G314" s="12"/>
      <c r="H314" s="12"/>
      <c r="I314" s="12"/>
      <c r="J314" s="12"/>
    </row>
    <row r="315">
      <c r="A315">
        <f>IFERROR(__xludf.DUMMYFUNCTION("""COMPUTED_VALUE"""),435.0)</f>
        <v>435</v>
      </c>
      <c r="B315" s="12" t="str">
        <f>IFERROR(__xludf.DUMMYFUNCTION("""COMPUTED_VALUE"""),"I didn't consider much")</f>
        <v>I didn't consider much</v>
      </c>
      <c r="C315" s="3" t="s">
        <v>188</v>
      </c>
      <c r="D315" s="12"/>
      <c r="E315" s="12"/>
      <c r="F315" s="12"/>
      <c r="G315" s="12"/>
      <c r="H315" s="12"/>
      <c r="I315" s="12"/>
      <c r="J315" s="12"/>
    </row>
    <row r="316">
      <c r="A316">
        <f>IFERROR(__xludf.DUMMYFUNCTION("""COMPUTED_VALUE"""),436.0)</f>
        <v>436</v>
      </c>
      <c r="B316" s="12" t="str">
        <f>IFERROR(__xludf.DUMMYFUNCTION("""COMPUTED_VALUE"""),"I didn't consider anything, I just said yes")</f>
        <v>I didn't consider anything, I just said yes</v>
      </c>
      <c r="C316" s="3" t="s">
        <v>188</v>
      </c>
      <c r="D316" s="12"/>
      <c r="E316" s="12"/>
      <c r="F316" s="12"/>
      <c r="G316" s="12"/>
      <c r="H316" s="12"/>
      <c r="I316" s="12"/>
      <c r="J316" s="12"/>
    </row>
    <row r="317">
      <c r="A317">
        <f>IFERROR(__xludf.DUMMYFUNCTION("""COMPUTED_VALUE"""),437.0)</f>
        <v>437</v>
      </c>
      <c r="B317" s="12" t="str">
        <f>IFERROR(__xludf.DUMMYFUNCTION("""COMPUTED_VALUE"""),"I had to consider what it would see and look at as a result of connecting it.")</f>
        <v>I had to consider what it would see and look at as a result of connecting it.</v>
      </c>
      <c r="C317" t="s">
        <v>1605</v>
      </c>
      <c r="D317" t="s">
        <v>1622</v>
      </c>
      <c r="E317" s="12"/>
      <c r="F317" s="12"/>
      <c r="G317" s="12"/>
      <c r="H317" s="12"/>
      <c r="I317" s="12"/>
      <c r="J317" s="12"/>
    </row>
    <row r="318">
      <c r="A318">
        <f>IFERROR(__xludf.DUMMYFUNCTION("""COMPUTED_VALUE"""),439.0)</f>
        <v>439</v>
      </c>
      <c r="B318" s="12" t="str">
        <f>IFERROR(__xludf.DUMMYFUNCTION("""COMPUTED_VALUE"""),"Convenience as well as what the app collected and stored played a role in my decision.")</f>
        <v>Convenience as well as what the app collected and stored played a role in my decision.</v>
      </c>
      <c r="C318" t="s">
        <v>1698</v>
      </c>
      <c r="D318" s="34" t="s">
        <v>1610</v>
      </c>
      <c r="E318" s="34" t="s">
        <v>1611</v>
      </c>
      <c r="F318" s="12"/>
      <c r="G318" s="12"/>
      <c r="H318" s="12"/>
      <c r="I318" s="12"/>
      <c r="J318" s="12"/>
    </row>
    <row r="319">
      <c r="A319">
        <f>IFERROR(__xludf.DUMMYFUNCTION("""COMPUTED_VALUE"""),440.0)</f>
        <v>440</v>
      </c>
      <c r="B319" s="12" t="str">
        <f>IFERROR(__xludf.DUMMYFUNCTION("""COMPUTED_VALUE"""),"The specific permissions that the app wanted to use")</f>
        <v>The specific permissions that the app wanted to use</v>
      </c>
      <c r="C319" s="20" t="s">
        <v>1703</v>
      </c>
      <c r="D319" s="12"/>
      <c r="E319" s="12"/>
      <c r="F319" s="12"/>
      <c r="G319" s="12"/>
      <c r="H319" s="12"/>
      <c r="I319" s="12"/>
      <c r="J319" s="12"/>
    </row>
    <row r="320">
      <c r="A320">
        <f>IFERROR(__xludf.DUMMYFUNCTION("""COMPUTED_VALUE"""),442.0)</f>
        <v>442</v>
      </c>
      <c r="B320" s="12" t="str">
        <f>IFERROR(__xludf.DUMMYFUNCTION("""COMPUTED_VALUE"""),"I considered if there was sensitive information I would not want shared.")</f>
        <v>I considered if there was sensitive information I would not want shared.</v>
      </c>
      <c r="C320" t="s">
        <v>1696</v>
      </c>
      <c r="D320" t="s">
        <v>1735</v>
      </c>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t="str">
        <f>IFERROR(__xludf.DUMMYFUNCTION("""COMPUTED_VALUE"""),"I considered whether I could see myself needing to do something which would require google to have access to something, and if now, I would deny that access.")</f>
        <v>I considered whether I could see myself needing to do something which would require google to have access to something, and if now, I would deny that access.</v>
      </c>
      <c r="C322" t="s">
        <v>1605</v>
      </c>
      <c r="D322" t="s">
        <v>1622</v>
      </c>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t="str">
        <f>IFERROR(__xludf.DUMMYFUNCTION("""COMPUTED_VALUE"""),"If it was a trustworthy website and what would the app access include.")</f>
        <v>If it was a trustworthy website and what would the app access include.</v>
      </c>
      <c r="C326" t="s">
        <v>1701</v>
      </c>
      <c r="D326" s="20" t="s">
        <v>1713</v>
      </c>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t="str">
        <f>IFERROR(__xludf.DUMMYFUNCTION("""COMPUTED_VALUE"""),"concerns of my privacy")</f>
        <v>concerns of my privacy</v>
      </c>
      <c r="C329" s="3" t="s">
        <v>384</v>
      </c>
      <c r="D329" s="12"/>
      <c r="E329" s="12"/>
      <c r="F329" s="12"/>
      <c r="G329" s="12"/>
      <c r="H329" s="12"/>
      <c r="I329" s="12"/>
      <c r="J329" s="12"/>
    </row>
    <row r="330">
      <c r="A330">
        <f>IFERROR(__xludf.DUMMYFUNCTION("""COMPUTED_VALUE"""),458.0)</f>
        <v>458</v>
      </c>
      <c r="B330" s="12" t="str">
        <f>IFERROR(__xludf.DUMMYFUNCTION("""COMPUTED_VALUE"""),"I checked to see what access and information the app would gain")</f>
        <v>I checked to see what access and information the app would gain</v>
      </c>
      <c r="C330" s="20" t="s">
        <v>1703</v>
      </c>
      <c r="D330" t="s">
        <v>1721</v>
      </c>
      <c r="E330" t="s">
        <v>1722</v>
      </c>
      <c r="F330" s="12"/>
      <c r="G330" s="12"/>
      <c r="H330" s="12"/>
      <c r="I330" s="12"/>
      <c r="J330" s="12"/>
    </row>
    <row r="331">
      <c r="A331">
        <f>IFERROR(__xludf.DUMMYFUNCTION("""COMPUTED_VALUE"""),459.0)</f>
        <v>459</v>
      </c>
      <c r="B331" s="12" t="str">
        <f>IFERROR(__xludf.DUMMYFUNCTION("""COMPUTED_VALUE"""),"That Google has a death-grip on my life")</f>
        <v>That Google has a death-grip on my life</v>
      </c>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t="str">
        <f>IFERROR(__xludf.DUMMYFUNCTION("""COMPUTED_VALUE"""),"Safety, but I always check what I am allowing access to.")</f>
        <v>Safety, but I always check what I am allowing access to.</v>
      </c>
      <c r="C333" t="s">
        <v>1707</v>
      </c>
      <c r="D333" s="20" t="s">
        <v>1703</v>
      </c>
      <c r="E333" t="s">
        <v>1721</v>
      </c>
      <c r="F333" s="12"/>
      <c r="G333" s="12"/>
      <c r="H333" s="12"/>
      <c r="I333" s="12"/>
      <c r="J333" s="12"/>
    </row>
    <row r="334">
      <c r="A334">
        <f>IFERROR(__xludf.DUMMYFUNCTION("""COMPUTED_VALUE"""),463.0)</f>
        <v>463</v>
      </c>
      <c r="B334" s="12" t="str">
        <f>IFERROR(__xludf.DUMMYFUNCTION("""COMPUTED_VALUE"""),"If they are a reputable company or not.")</f>
        <v>If they are a reputable company or not.</v>
      </c>
      <c r="C334" t="s">
        <v>1701</v>
      </c>
      <c r="D334" t="s">
        <v>1718</v>
      </c>
      <c r="E334" s="12"/>
      <c r="F334" s="12"/>
      <c r="G334" s="12"/>
      <c r="H334" s="12"/>
      <c r="I334" s="12"/>
      <c r="J334" s="12"/>
    </row>
    <row r="335">
      <c r="A335">
        <f>IFERROR(__xludf.DUMMYFUNCTION("""COMPUTED_VALUE"""),464.0)</f>
        <v>464</v>
      </c>
      <c r="B335" s="12" t="str">
        <f>IFERROR(__xludf.DUMMYFUNCTION("""COMPUTED_VALUE"""),"If the service was legitimate.")</f>
        <v>If the service was legitimate.</v>
      </c>
      <c r="C335" t="s">
        <v>1701</v>
      </c>
      <c r="D335" t="s">
        <v>1702</v>
      </c>
      <c r="E335" s="12"/>
      <c r="F335" s="12"/>
      <c r="G335" s="12"/>
      <c r="H335" s="12"/>
      <c r="I335" s="12"/>
      <c r="J335" s="12"/>
    </row>
    <row r="336">
      <c r="A336">
        <f>IFERROR(__xludf.DUMMYFUNCTION("""COMPUTED_VALUE"""),465.0)</f>
        <v>465</v>
      </c>
      <c r="B336" s="12" t="str">
        <f>IFERROR(__xludf.DUMMYFUNCTION("""COMPUTED_VALUE"""),"nothing")</f>
        <v>nothing</v>
      </c>
      <c r="C336" s="3" t="s">
        <v>188</v>
      </c>
      <c r="D336" s="12"/>
      <c r="E336" s="12"/>
      <c r="F336" s="12"/>
      <c r="G336" s="12"/>
      <c r="H336" s="12"/>
      <c r="I336" s="12"/>
      <c r="J336" s="12"/>
    </row>
    <row r="337">
      <c r="A337">
        <f>IFERROR(__xludf.DUMMYFUNCTION("""COMPUTED_VALUE"""),466.0)</f>
        <v>466</v>
      </c>
      <c r="B337" s="12" t="str">
        <f>IFERROR(__xludf.DUMMYFUNCTION("""COMPUTED_VALUE"""),"no extra thoughts")</f>
        <v>no extra thoughts</v>
      </c>
      <c r="C337" s="3" t="s">
        <v>188</v>
      </c>
      <c r="D337" s="12"/>
      <c r="E337" s="12"/>
      <c r="F337" s="12"/>
      <c r="G337" s="12"/>
      <c r="H337" s="12"/>
      <c r="I337" s="12"/>
      <c r="J337" s="12"/>
    </row>
    <row r="338">
      <c r="A338">
        <f>IFERROR(__xludf.DUMMYFUNCTION("""COMPUTED_VALUE"""),468.0)</f>
        <v>468</v>
      </c>
      <c r="B338" s="12" t="str">
        <f>IFERROR(__xludf.DUMMYFUNCTION("""COMPUTED_VALUE"""),"The worth of the content I would be exposed to and the risk of information lost to untrustworthy developers.")</f>
        <v>The worth of the content I would be exposed to and the risk of information lost to untrustworthy developers.</v>
      </c>
      <c r="C338" s="20" t="s">
        <v>65</v>
      </c>
      <c r="D338" s="20" t="s">
        <v>1726</v>
      </c>
      <c r="E338" s="12"/>
      <c r="F338" s="12"/>
      <c r="G338" s="12"/>
      <c r="H338" s="12"/>
      <c r="I338" s="12"/>
      <c r="J338" s="12"/>
    </row>
    <row r="339">
      <c r="A339">
        <f>IFERROR(__xludf.DUMMYFUNCTION("""COMPUTED_VALUE"""),469.0)</f>
        <v>469</v>
      </c>
      <c r="B339" s="12" t="str">
        <f>IFERROR(__xludf.DUMMYFUNCTION("""COMPUTED_VALUE"""),"Whether the permissions they were asking for were too much.")</f>
        <v>Whether the permissions they were asking for were too much.</v>
      </c>
      <c r="C339" s="20" t="s">
        <v>1703</v>
      </c>
      <c r="D339" t="s">
        <v>1720</v>
      </c>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t="str">
        <f>IFERROR(__xludf.DUMMYFUNCTION("""COMPUTED_VALUE"""),"privacy")</f>
        <v>privacy</v>
      </c>
      <c r="C342" s="3" t="s">
        <v>384</v>
      </c>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t="str">
        <f>IFERROR(__xludf.DUMMYFUNCTION("""COMPUTED_VALUE"""),"I considered my privacy and security but again because honey is mainstream I trust it.")</f>
        <v>I considered my privacy and security but again because honey is mainstream I trust it.</v>
      </c>
      <c r="C344" s="3" t="s">
        <v>384</v>
      </c>
      <c r="D344" s="20" t="s">
        <v>65</v>
      </c>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t="str">
        <f>IFERROR(__xludf.DUMMYFUNCTION("""COMPUTED_VALUE"""),"I considered what information and access will be allowed through my Google account.")</f>
        <v>I considered what information and access will be allowed through my Google account.</v>
      </c>
      <c r="C346" s="20" t="s">
        <v>1703</v>
      </c>
      <c r="D346" t="s">
        <v>1721</v>
      </c>
      <c r="E346" t="s">
        <v>1722</v>
      </c>
      <c r="F346" s="12"/>
      <c r="G346" s="12"/>
      <c r="H346" s="12"/>
      <c r="I346" s="12"/>
      <c r="J346" s="12"/>
    </row>
    <row r="347">
      <c r="A347">
        <f>IFERROR(__xludf.DUMMYFUNCTION("""COMPUTED_VALUE"""),480.0)</f>
        <v>480</v>
      </c>
      <c r="B347" s="12" t="str">
        <f>IFERROR(__xludf.DUMMYFUNCTION("""COMPUTED_VALUE"""),"I'd rather an app have access to my email than my Facebook, and I hate having to remember tons of different passwords.")</f>
        <v>I'd rather an app have access to my email than my Facebook, and I hate having to remember tons of different passwords.</v>
      </c>
      <c r="C347" s="20" t="s">
        <v>1598</v>
      </c>
      <c r="D347" t="s">
        <v>1724</v>
      </c>
      <c r="E347" s="12"/>
      <c r="F347" s="12"/>
      <c r="G347" s="12"/>
      <c r="H347" s="12"/>
      <c r="I347" s="12"/>
      <c r="J347" s="12"/>
    </row>
    <row r="348">
      <c r="A348">
        <f>IFERROR(__xludf.DUMMYFUNCTION("""COMPUTED_VALUE"""),483.0)</f>
        <v>483</v>
      </c>
      <c r="B348" s="12" t="str">
        <f>IFERROR(__xludf.DUMMYFUNCTION("""COMPUTED_VALUE"""),"I didn't think much about it or worry about the permissions at all")</f>
        <v>I didn't think much about it or worry about the permissions at all</v>
      </c>
      <c r="C348" s="3" t="s">
        <v>188</v>
      </c>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t="str">
        <f>IFERROR(__xludf.DUMMYFUNCTION("""COMPUTED_VALUE"""),"everyone else on the committee was using the app")</f>
        <v>everyone else on the committee was using the app</v>
      </c>
      <c r="C352" t="s">
        <v>1708</v>
      </c>
      <c r="D352" s="12"/>
      <c r="E352" s="12"/>
      <c r="F352" s="12"/>
      <c r="G352" s="12"/>
      <c r="H352" s="12"/>
      <c r="I352" s="12"/>
      <c r="J352" s="12"/>
    </row>
    <row r="353">
      <c r="A353">
        <f>IFERROR(__xludf.DUMMYFUNCTION("""COMPUTED_VALUE"""),488.0)</f>
        <v>488</v>
      </c>
      <c r="B353" s="12" t="str">
        <f>IFERROR(__xludf.DUMMYFUNCTION("""COMPUTED_VALUE"""),"Using traditional forms of calendars (print) or having a different account separate from Google.")</f>
        <v>Using traditional forms of calendars (print) or having a different account separate from Google.</v>
      </c>
      <c r="C353" s="34" t="s">
        <v>1620</v>
      </c>
      <c r="D353" s="12"/>
      <c r="E353" s="12"/>
      <c r="F353" s="12"/>
      <c r="G353" s="12"/>
      <c r="H353" s="12"/>
      <c r="I353" s="12"/>
      <c r="J353" s="12"/>
    </row>
    <row r="354">
      <c r="A354">
        <f>IFERROR(__xludf.DUMMYFUNCTION("""COMPUTED_VALUE"""),489.0)</f>
        <v>489</v>
      </c>
      <c r="B354" s="12" t="str">
        <f>IFERROR(__xludf.DUMMYFUNCTION("""COMPUTED_VALUE"""),"I considered whether they truly needed access to some areas of my Google account. I would not allow it if the game or app made posts without my permission. Other than that, I do not think it mattered if it accesses some of my data, as long as it is not my"&amp;" password.")</f>
        <v>I considered whether they truly needed access to some areas of my Google account. I would not allow it if the game or app made posts without my permission. Other than that, I do not think it mattered if it accesses some of my data, as long as it is not my password.</v>
      </c>
      <c r="C354" s="20" t="s">
        <v>1703</v>
      </c>
      <c r="D354" t="s">
        <v>1721</v>
      </c>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t="str">
        <f>IFERROR(__xludf.DUMMYFUNCTION("""COMPUTED_VALUE"""),"Whether or not the site had the potential for hackers/data breaches from giving them all that permission.")</f>
        <v>Whether or not the site had the potential for hackers/data breaches from giving them all that permission.</v>
      </c>
      <c r="C356" s="20" t="s">
        <v>1703</v>
      </c>
      <c r="D356" s="20" t="s">
        <v>65</v>
      </c>
      <c r="E356" t="s">
        <v>1727</v>
      </c>
      <c r="F356" s="12"/>
      <c r="G356" s="12"/>
      <c r="H356" s="12"/>
      <c r="I356" s="12"/>
      <c r="J356" s="12"/>
    </row>
    <row r="357">
      <c r="A357">
        <f>IFERROR(__xludf.DUMMYFUNCTION("""COMPUTED_VALUE"""),493.0)</f>
        <v>493</v>
      </c>
      <c r="B357" s="12" t="str">
        <f>IFERROR(__xludf.DUMMYFUNCTION("""COMPUTED_VALUE"""),"Using my Facebook account")</f>
        <v>Using my Facebook account</v>
      </c>
      <c r="C357" s="34" t="s">
        <v>1620</v>
      </c>
      <c r="D357" s="34" t="s">
        <v>1621</v>
      </c>
      <c r="E357" s="12"/>
      <c r="F357" s="12"/>
      <c r="G357" s="12"/>
      <c r="H357" s="12"/>
      <c r="I357" s="12"/>
      <c r="J357" s="12"/>
    </row>
    <row r="358">
      <c r="A358">
        <f>IFERROR(__xludf.DUMMYFUNCTION("""COMPUTED_VALUE"""),496.0)</f>
        <v>496</v>
      </c>
      <c r="B358" s="12" t="str">
        <f>IFERROR(__xludf.DUMMYFUNCTION("""COMPUTED_VALUE"""),"I considered using the stock calendar app, but decided my solution was a better fit.")</f>
        <v>I considered using the stock calendar app, but decided my solution was a better fit.</v>
      </c>
      <c r="C358" s="34" t="s">
        <v>1620</v>
      </c>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t="str">
        <f>IFERROR(__xludf.DUMMYFUNCTION("""COMPUTED_VALUE"""),"I didn't think about much because I knew I didn't have much info on my calendar anyways, so I just allowed access.")</f>
        <v>I didn't think about much because I knew I didn't have much info on my calendar anyways, so I just allowed access.</v>
      </c>
      <c r="C360" t="s">
        <v>1608</v>
      </c>
      <c r="D360" s="12"/>
      <c r="E360" s="12"/>
      <c r="F360" s="12"/>
      <c r="G360" s="12"/>
      <c r="H360" s="12"/>
      <c r="I360" s="12"/>
      <c r="J360" s="12"/>
    </row>
    <row r="361">
      <c r="A361">
        <f>IFERROR(__xludf.DUMMYFUNCTION("""COMPUTED_VALUE"""),499.0)</f>
        <v>499</v>
      </c>
      <c r="B361" s="12" t="str">
        <f>IFERROR(__xludf.DUMMYFUNCTION("""COMPUTED_VALUE"""),"What capabilities I was giving the third-party")</f>
        <v>What capabilities I was giving the third-party</v>
      </c>
      <c r="C361" t="s">
        <v>1703</v>
      </c>
      <c r="D361" s="12"/>
      <c r="E361" s="12"/>
      <c r="F361" s="12"/>
      <c r="G361" s="12"/>
      <c r="H361" s="12"/>
      <c r="I361" s="12"/>
      <c r="J361" s="12"/>
    </row>
    <row r="362">
      <c r="A362">
        <f>IFERROR(__xludf.DUMMYFUNCTION("""COMPUTED_VALUE"""),501.0)</f>
        <v>501</v>
      </c>
      <c r="B362" s="12" t="str">
        <f>IFERROR(__xludf.DUMMYFUNCTION("""COMPUTED_VALUE"""),"What information Google will allow them to see.")</f>
        <v>What information Google will allow them to see.</v>
      </c>
      <c r="C362" t="s">
        <v>1703</v>
      </c>
      <c r="D362" t="s">
        <v>1722</v>
      </c>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t="str">
        <f>IFERROR(__xludf.DUMMYFUNCTION("""COMPUTED_VALUE"""),"I considered the convenience of having my data synced versus the risk of allowing my information to be accessed by another app.")</f>
        <v>I considered the convenience of having my data synced versus the risk of allowing my information to be accessed by another app.</v>
      </c>
      <c r="C367" t="s">
        <v>1610</v>
      </c>
      <c r="D367" t="s">
        <v>1700</v>
      </c>
      <c r="E367" t="s">
        <v>1698</v>
      </c>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t="str">
        <f>IFERROR(__xludf.DUMMYFUNCTION("""COMPUTED_VALUE"""),"do I have anything in my account I care enough about to not share with this company?")</f>
        <v>do I have anything in my account I care enough about to not share with this company?</v>
      </c>
      <c r="C369" s="3" t="s">
        <v>1608</v>
      </c>
      <c r="D369" s="12"/>
      <c r="E369" s="12"/>
      <c r="F369" s="12"/>
      <c r="G369" s="12"/>
      <c r="H369" s="12"/>
      <c r="I369" s="12"/>
      <c r="J369" s="12"/>
    </row>
    <row r="370">
      <c r="A370">
        <f>IFERROR(__xludf.DUMMYFUNCTION("""COMPUTED_VALUE"""),510.0)</f>
        <v>510</v>
      </c>
      <c r="B370" s="12" t="str">
        <f>IFERROR(__xludf.DUMMYFUNCTION("""COMPUTED_VALUE"""),"same as before... security and privacy")</f>
        <v>same as before... security and privacy</v>
      </c>
      <c r="C370" s="3" t="s">
        <v>65</v>
      </c>
      <c r="D370" s="3" t="s">
        <v>384</v>
      </c>
      <c r="E370" s="12"/>
      <c r="F370" s="12"/>
      <c r="G370" s="12"/>
      <c r="H370" s="12"/>
      <c r="I370" s="12"/>
      <c r="J370" s="12"/>
    </row>
    <row r="371">
      <c r="A371">
        <f>IFERROR(__xludf.DUMMYFUNCTION("""COMPUTED_VALUE"""),511.0)</f>
        <v>511</v>
      </c>
      <c r="B371" s="12" t="str">
        <f>IFERROR(__xludf.DUMMYFUNCTION("""COMPUTED_VALUE"""),"nothing")</f>
        <v>nothing</v>
      </c>
      <c r="C371" s="3" t="s">
        <v>188</v>
      </c>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t="str">
        <f>IFERROR(__xludf.DUMMYFUNCTION("""COMPUTED_VALUE"""),"not a lot")</f>
        <v>not a lot</v>
      </c>
      <c r="C373" s="3" t="s">
        <v>188</v>
      </c>
      <c r="D373" s="12"/>
      <c r="E373" s="12"/>
      <c r="F373" s="12"/>
      <c r="G373" s="12"/>
      <c r="H373" s="12"/>
      <c r="I373" s="12"/>
      <c r="J373" s="12"/>
    </row>
    <row r="374">
      <c r="A374">
        <f>IFERROR(__xludf.DUMMYFUNCTION("""COMPUTED_VALUE"""),514.0)</f>
        <v>514</v>
      </c>
      <c r="B374" s="12" t="str">
        <f>IFERROR(__xludf.DUMMYFUNCTION("""COMPUTED_VALUE"""),"I considered the risk of giving this service access to my account.")</f>
        <v>I considered the risk of giving this service access to my account.</v>
      </c>
      <c r="C374" t="s">
        <v>1707</v>
      </c>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t="str">
        <f>IFERROR(__xludf.DUMMYFUNCTION("""COMPUTED_VALUE"""),"I didn't consider anything")</f>
        <v>I didn't consider anything</v>
      </c>
      <c r="C377" s="3" t="s">
        <v>188</v>
      </c>
      <c r="D377" s="12"/>
      <c r="E377" s="12"/>
      <c r="F377" s="12"/>
      <c r="G377" s="12"/>
      <c r="H377" s="12"/>
      <c r="I377" s="12"/>
      <c r="J377" s="12"/>
    </row>
    <row r="378">
      <c r="A378">
        <f>IFERROR(__xludf.DUMMYFUNCTION("""COMPUTED_VALUE"""),518.0)</f>
        <v>518</v>
      </c>
      <c r="B378" s="12" t="str">
        <f>IFERROR(__xludf.DUMMYFUNCTION("""COMPUTED_VALUE"""),"N/A")</f>
        <v>N/A</v>
      </c>
      <c r="C378" s="3" t="s">
        <v>188</v>
      </c>
      <c r="D378" s="12"/>
      <c r="E378" s="12"/>
      <c r="F378" s="12"/>
      <c r="G378" s="12"/>
      <c r="H378" s="12"/>
      <c r="I378" s="12"/>
      <c r="J378" s="12"/>
    </row>
    <row r="379">
      <c r="A379">
        <f>IFERROR(__xludf.DUMMYFUNCTION("""COMPUTED_VALUE"""),519.0)</f>
        <v>519</v>
      </c>
      <c r="B379" s="12" t="str">
        <f>IFERROR(__xludf.DUMMYFUNCTION("""COMPUTED_VALUE"""),"The risks of granting account permissions vs. the convenience of creating a new account and password")</f>
        <v>The risks of granting account permissions vs. the convenience of creating a new account and password</v>
      </c>
      <c r="C379" t="s">
        <v>1698</v>
      </c>
      <c r="D379" t="s">
        <v>1699</v>
      </c>
      <c r="E379" t="s">
        <v>1703</v>
      </c>
      <c r="F379" t="s">
        <v>1610</v>
      </c>
      <c r="G379" s="12"/>
      <c r="H379" s="12"/>
      <c r="I379" s="12"/>
      <c r="J379" s="12"/>
    </row>
    <row r="380">
      <c r="A380">
        <f>IFERROR(__xludf.DUMMYFUNCTION("""COMPUTED_VALUE"""),521.0)</f>
        <v>521</v>
      </c>
      <c r="B380" s="12" t="str">
        <f>IFERROR(__xludf.DUMMYFUNCTION("""COMPUTED_VALUE"""),"I considered the convenience.")</f>
        <v>I considered the convenience.</v>
      </c>
      <c r="C380" t="s">
        <v>1698</v>
      </c>
      <c r="D380" s="12"/>
      <c r="E380" s="12"/>
      <c r="F380" s="12"/>
      <c r="G380" s="12"/>
      <c r="H380" s="12"/>
      <c r="I380" s="12"/>
      <c r="J380" s="12"/>
    </row>
    <row r="381">
      <c r="A381">
        <f>IFERROR(__xludf.DUMMYFUNCTION("""COMPUTED_VALUE"""),522.0)</f>
        <v>522</v>
      </c>
      <c r="B381" s="12" t="str">
        <f>IFERROR(__xludf.DUMMYFUNCTION("""COMPUTED_VALUE"""),"I considered whether my privacy would be violated, but thought the risk necessary.")</f>
        <v>I considered whether my privacy would be violated, but thought the risk necessary.</v>
      </c>
      <c r="C381" s="3" t="s">
        <v>384</v>
      </c>
      <c r="D381" t="s">
        <v>1610</v>
      </c>
      <c r="E381" t="s">
        <v>1700</v>
      </c>
      <c r="F381" s="12"/>
      <c r="G381" s="12"/>
      <c r="H381" s="12"/>
      <c r="I381" s="12"/>
      <c r="J381" s="12"/>
    </row>
    <row r="382">
      <c r="A382">
        <f>IFERROR(__xludf.DUMMYFUNCTION("""COMPUTED_VALUE"""),523.0)</f>
        <v>523</v>
      </c>
      <c r="B382" s="12" t="str">
        <f>IFERROR(__xludf.DUMMYFUNCTION("""COMPUTED_VALUE"""),"If it is safe.")</f>
        <v>If it is safe.</v>
      </c>
      <c r="C382" t="s">
        <v>1707</v>
      </c>
      <c r="D382" s="12"/>
      <c r="E382" s="12"/>
      <c r="F382" s="12"/>
      <c r="G382" s="12"/>
      <c r="H382" s="12"/>
      <c r="I382" s="12"/>
      <c r="J382" s="12"/>
    </row>
    <row r="383">
      <c r="A383">
        <f>IFERROR(__xludf.DUMMYFUNCTION("""COMPUTED_VALUE"""),527.0)</f>
        <v>527</v>
      </c>
      <c r="B383" s="12" t="str">
        <f>IFERROR(__xludf.DUMMYFUNCTION("""COMPUTED_VALUE"""),"I considered how often I would use the service before signing in with my Google account.")</f>
        <v>I considered how often I would use the service before signing in with my Google account.</v>
      </c>
      <c r="C383" t="s">
        <v>1714</v>
      </c>
      <c r="D383" s="12"/>
      <c r="E383" s="12"/>
      <c r="F383" s="12"/>
      <c r="G383" s="12"/>
      <c r="H383" s="12"/>
      <c r="I383" s="12"/>
      <c r="J383" s="12"/>
    </row>
    <row r="384">
      <c r="A384">
        <f>IFERROR(__xludf.DUMMYFUNCTION("""COMPUTED_VALUE"""),528.0)</f>
        <v>528</v>
      </c>
      <c r="B384" s="12" t="str">
        <f>IFERROR(__xludf.DUMMYFUNCTION("""COMPUTED_VALUE"""),"creating a new account on the service")</f>
        <v>creating a new account on the service</v>
      </c>
      <c r="C384" t="s">
        <v>1698</v>
      </c>
      <c r="D384" t="s">
        <v>1699</v>
      </c>
      <c r="E384" s="12"/>
      <c r="F384" s="12"/>
      <c r="G384" s="12"/>
      <c r="H384" s="12"/>
      <c r="I384" s="12"/>
      <c r="J384" s="12"/>
    </row>
    <row r="385">
      <c r="A385">
        <f>IFERROR(__xludf.DUMMYFUNCTION("""COMPUTED_VALUE"""),529.0)</f>
        <v>529</v>
      </c>
      <c r="B385" s="12" t="str">
        <f>IFERROR(__xludf.DUMMYFUNCTION("""COMPUTED_VALUE"""),"The kinds of data they would see and whether this data would potentially be sold, whether it was ""worth"" it to allow access to the app for the extra services it would provide")</f>
        <v>The kinds of data they would see and whether this data would potentially be sold, whether it was "worth" it to allow access to the app for the extra services it would provide</v>
      </c>
      <c r="C385" t="s">
        <v>1703</v>
      </c>
      <c r="D385" t="s">
        <v>1722</v>
      </c>
      <c r="E385" t="s">
        <v>1610</v>
      </c>
      <c r="F385" t="s">
        <v>1700</v>
      </c>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t="str">
        <f>IFERROR(__xludf.DUMMYFUNCTION("""COMPUTED_VALUE"""),"I considered the benefits of letting the game have access I was getting bonus points for it.")</f>
        <v>I considered the benefits of letting the game have access I was getting bonus points for it.</v>
      </c>
      <c r="C388" t="s">
        <v>1714</v>
      </c>
      <c r="D388" s="12"/>
      <c r="E388" s="12"/>
      <c r="F388" s="12"/>
      <c r="G388" s="12"/>
      <c r="H388" s="12"/>
      <c r="I388" s="12"/>
      <c r="J388" s="12"/>
    </row>
    <row r="389">
      <c r="A389">
        <f>IFERROR(__xludf.DUMMYFUNCTION("""COMPUTED_VALUE"""),536.0)</f>
        <v>536</v>
      </c>
      <c r="B389" s="12" t="str">
        <f>IFERROR(__xludf.DUMMYFUNCTION("""COMPUTED_VALUE"""),"Why would they need access to my gmail account")</f>
        <v>Why would they need access to my gmail account</v>
      </c>
      <c r="C389" t="s">
        <v>1703</v>
      </c>
      <c r="D389" t="s">
        <v>1720</v>
      </c>
      <c r="E389" s="12"/>
      <c r="F389" s="12"/>
      <c r="G389" s="12"/>
      <c r="H389" s="12"/>
      <c r="I389" s="12"/>
      <c r="J389" s="12"/>
    </row>
    <row r="390">
      <c r="A390">
        <f>IFERROR(__xludf.DUMMYFUNCTION("""COMPUTED_VALUE"""),537.0)</f>
        <v>537</v>
      </c>
      <c r="B390" s="12" t="str">
        <f>IFERROR(__xludf.DUMMYFUNCTION("""COMPUTED_VALUE"""),"I considered if allowing the third-party app access would be worth my time.")</f>
        <v>I considered if allowing the third-party app access would be worth my time.</v>
      </c>
      <c r="C390" t="s">
        <v>1714</v>
      </c>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t="str">
        <f>IFERROR(__xludf.DUMMYFUNCTION("""COMPUTED_VALUE"""),"nothing, privacy doesnt exist")</f>
        <v>nothing, privacy doesnt exist</v>
      </c>
      <c r="C395" s="3" t="s">
        <v>188</v>
      </c>
      <c r="D395" s="12"/>
      <c r="E395" s="12"/>
      <c r="F395" s="12"/>
      <c r="G395" s="12"/>
      <c r="H395" s="12"/>
      <c r="I395" s="12"/>
      <c r="J395" s="12"/>
    </row>
    <row r="396">
      <c r="A396">
        <f>IFERROR(__xludf.DUMMYFUNCTION("""COMPUTED_VALUE"""),544.0)</f>
        <v>544</v>
      </c>
      <c r="B396" s="12" t="str">
        <f>IFERROR(__xludf.DUMMYFUNCTION("""COMPUTED_VALUE"""),"Do I trust their security")</f>
        <v>Do I trust their security</v>
      </c>
      <c r="C396" s="34" t="s">
        <v>65</v>
      </c>
      <c r="D396" t="s">
        <v>1701</v>
      </c>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t="str">
        <f>IFERROR(__xludf.DUMMYFUNCTION("""COMPUTED_VALUE"""),"Nothing. I don't really have any google contacts")</f>
        <v>Nothing. I don't really have any google contacts</v>
      </c>
      <c r="C401" s="3" t="s">
        <v>188</v>
      </c>
      <c r="D401" s="12"/>
      <c r="E401" s="12"/>
      <c r="F401" s="12"/>
      <c r="G401" s="12"/>
      <c r="H401" s="12"/>
      <c r="I401" s="12"/>
      <c r="J401" s="12"/>
    </row>
    <row r="402">
      <c r="A402">
        <f>IFERROR(__xludf.DUMMYFUNCTION("""COMPUTED_VALUE"""),552.0)</f>
        <v>552</v>
      </c>
      <c r="B402" s="12" t="str">
        <f>IFERROR(__xludf.DUMMYFUNCTION("""COMPUTED_VALUE"""),"I don't trust this")</f>
        <v>I don't trust this</v>
      </c>
      <c r="C402" t="s">
        <v>1701</v>
      </c>
      <c r="D402" s="12"/>
      <c r="E402" s="12"/>
      <c r="F402" s="12"/>
      <c r="G402" s="12"/>
      <c r="H402" s="12"/>
      <c r="I402" s="12"/>
      <c r="J402" s="12"/>
    </row>
    <row r="403">
      <c r="A403">
        <f>IFERROR(__xludf.DUMMYFUNCTION("""COMPUTED_VALUE"""),553.0)</f>
        <v>553</v>
      </c>
      <c r="B403" s="12" t="str">
        <f>IFERROR(__xludf.DUMMYFUNCTION("""COMPUTED_VALUE"""),"I consider whether others would have access to information about me which I wanted it kept secret.")</f>
        <v>I consider whether others would have access to information about me which I wanted it kept secret.</v>
      </c>
      <c r="C403" s="20" t="s">
        <v>1696</v>
      </c>
      <c r="D403" t="s">
        <v>1735</v>
      </c>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t="str">
        <f>IFERROR(__xludf.DUMMYFUNCTION("""COMPUTED_VALUE"""),"Is this trust worthy?")</f>
        <v>Is this trust worthy?</v>
      </c>
      <c r="C407" t="s">
        <v>1701</v>
      </c>
      <c r="D407" s="12"/>
      <c r="E407" s="12"/>
      <c r="F407" s="12"/>
      <c r="G407" s="12"/>
      <c r="H407" s="12"/>
      <c r="I407" s="12"/>
      <c r="J407" s="12"/>
    </row>
    <row r="408">
      <c r="A408">
        <f>IFERROR(__xludf.DUMMYFUNCTION("""COMPUTED_VALUE"""),558.0)</f>
        <v>558</v>
      </c>
      <c r="B408" s="12" t="str">
        <f>IFERROR(__xludf.DUMMYFUNCTION("""COMPUTED_VALUE"""),"Did not think much about out. I dont keep my personal information in emails. I write it in a book")</f>
        <v>Did not think much about out. I dont keep my personal information in emails. I write it in a book</v>
      </c>
      <c r="C408" s="3" t="s">
        <v>1608</v>
      </c>
      <c r="D408" s="12"/>
      <c r="E408" s="12"/>
      <c r="F408" s="12"/>
      <c r="G408" s="12"/>
      <c r="H408" s="12"/>
      <c r="I408" s="12"/>
      <c r="J408" s="12"/>
    </row>
    <row r="409">
      <c r="A409">
        <f>IFERROR(__xludf.DUMMYFUNCTION("""COMPUTED_VALUE"""),559.0)</f>
        <v>559</v>
      </c>
      <c r="B409" s="12" t="str">
        <f>IFERROR(__xludf.DUMMYFUNCTION("""COMPUTED_VALUE"""),"I'm more restrictive about giving outside apps access to my Google. I think much more about the quality and privacy of the website and how much access it's requesting.")</f>
        <v>I'm more restrictive about giving outside apps access to my Google. I think much more about the quality and privacy of the website and how much access it's requesting.</v>
      </c>
      <c r="C409" s="3" t="s">
        <v>384</v>
      </c>
      <c r="D409" s="20" t="s">
        <v>1701</v>
      </c>
      <c r="E409" s="20" t="s">
        <v>1713</v>
      </c>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t="str">
        <f>IFERROR(__xludf.DUMMYFUNCTION("""COMPUTED_VALUE"""),"I considered how much of my primary account information would be available. I would never allow this for unknown 3rd party sites.")</f>
        <v>I considered how much of my primary account information would be available. I would never allow this for unknown 3rd party sites.</v>
      </c>
      <c r="C411" t="s">
        <v>1703</v>
      </c>
      <c r="D411" t="s">
        <v>1722</v>
      </c>
      <c r="E411" s="12"/>
      <c r="F411" s="12"/>
      <c r="G411" s="12"/>
      <c r="H411" s="12"/>
      <c r="I411" s="12"/>
      <c r="J411" s="12"/>
    </row>
    <row r="412">
      <c r="A412">
        <f>IFERROR(__xludf.DUMMYFUNCTION("""COMPUTED_VALUE"""),564.0)</f>
        <v>564</v>
      </c>
      <c r="B412" s="12" t="str">
        <f>IFERROR(__xludf.DUMMYFUNCTION("""COMPUTED_VALUE"""),"I considered my privacy and security.")</f>
        <v>I considered my privacy and security.</v>
      </c>
      <c r="C412" s="3" t="s">
        <v>384</v>
      </c>
      <c r="D412" t="s">
        <v>65</v>
      </c>
      <c r="E412" s="12"/>
      <c r="F412" s="12"/>
      <c r="G412" s="12"/>
      <c r="H412" s="12"/>
      <c r="I412" s="12"/>
      <c r="J412" s="12"/>
    </row>
    <row r="413">
      <c r="A413">
        <f>IFERROR(__xludf.DUMMYFUNCTION("""COMPUTED_VALUE"""),566.0)</f>
        <v>566</v>
      </c>
      <c r="B413" s="12" t="str">
        <f>IFERROR(__xludf.DUMMYFUNCTION("""COMPUTED_VALUE"""),"How easy it would be to unsubscribe from the lists, how long the service would have access to my calendar when I delete lists or deactivate my account, what other aspects of my account could the service gain access to without my knowledge.")</f>
        <v>How easy it would be to unsubscribe from the lists, how long the service would have access to my calendar when I delete lists or deactivate my account, what other aspects of my account could the service gain access to without my knowledge.</v>
      </c>
      <c r="C413" t="s">
        <v>1703</v>
      </c>
      <c r="D413" t="s">
        <v>1722</v>
      </c>
      <c r="E413" s="20" t="s">
        <v>1598</v>
      </c>
      <c r="F413" t="s">
        <v>1731</v>
      </c>
      <c r="G413" s="12"/>
      <c r="H413" s="12"/>
      <c r="I413" s="12"/>
      <c r="J413" s="12"/>
    </row>
    <row r="414">
      <c r="A414">
        <f>IFERROR(__xludf.DUMMYFUNCTION("""COMPUTED_VALUE"""),569.0)</f>
        <v>569</v>
      </c>
      <c r="B414" s="12" t="str">
        <f>IFERROR(__xludf.DUMMYFUNCTION("""COMPUTED_VALUE"""),"I reviewed everything to ensure it was all necessary.")</f>
        <v>I reviewed everything to ensure it was all necessary.</v>
      </c>
      <c r="C414" s="20" t="s">
        <v>1703</v>
      </c>
      <c r="D414" t="s">
        <v>1720</v>
      </c>
      <c r="E414" s="12"/>
      <c r="F414" s="12"/>
      <c r="G414" s="12"/>
      <c r="H414" s="12"/>
      <c r="I414" s="12"/>
      <c r="J414" s="12"/>
    </row>
    <row r="415">
      <c r="A415">
        <f>IFERROR(__xludf.DUMMYFUNCTION("""COMPUTED_VALUE"""),570.0)</f>
        <v>570</v>
      </c>
      <c r="B415" s="12" t="str">
        <f>IFERROR(__xludf.DUMMYFUNCTION("""COMPUTED_VALUE"""),"If my privacy would be compromised.")</f>
        <v>If my privacy would be compromised.</v>
      </c>
      <c r="C415" s="3" t="s">
        <v>384</v>
      </c>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t="str">
        <f>IFERROR(__xludf.DUMMYFUNCTION("""COMPUTED_VALUE"""),"Nothing really")</f>
        <v>Nothing really</v>
      </c>
      <c r="C418" s="3" t="s">
        <v>188</v>
      </c>
      <c r="D418" s="12"/>
      <c r="E418" s="12"/>
      <c r="F418" s="12"/>
      <c r="G418" s="12"/>
      <c r="H418" s="12"/>
      <c r="I418" s="12"/>
      <c r="J418" s="12"/>
    </row>
    <row r="419">
      <c r="A419">
        <f>IFERROR(__xludf.DUMMYFUNCTION("""COMPUTED_VALUE"""),580.0)</f>
        <v>580</v>
      </c>
      <c r="B419" s="12" t="str">
        <f>IFERROR(__xludf.DUMMYFUNCTION("""COMPUTED_VALUE"""),"The reputability of the app and the permissions requested.")</f>
        <v>The reputability of the app and the permissions requested.</v>
      </c>
      <c r="C419" s="20" t="s">
        <v>1701</v>
      </c>
      <c r="D419" t="s">
        <v>1702</v>
      </c>
      <c r="E419" s="20" t="s">
        <v>1703</v>
      </c>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t="str">
        <f>IFERROR(__xludf.DUMMYFUNCTION("""COMPUTED_VALUE"""),"Whether or not that app was legitimate.")</f>
        <v>Whether or not that app was legitimate.</v>
      </c>
      <c r="C421" s="20" t="s">
        <v>1701</v>
      </c>
      <c r="D421" t="s">
        <v>1702</v>
      </c>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t="str">
        <f>IFERROR(__xludf.DUMMYFUNCTION("""COMPUTED_VALUE"""),"Nothing really. I typically use really trusted software so don't have a concern sharing these permissions.")</f>
        <v>Nothing really. I typically use really trusted software so don't have a concern sharing these permissions.</v>
      </c>
      <c r="C424" s="3" t="s">
        <v>188</v>
      </c>
      <c r="D424" s="20" t="s">
        <v>1701</v>
      </c>
      <c r="E424" t="s">
        <v>1702</v>
      </c>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t="str">
        <f>IFERROR(__xludf.DUMMYFUNCTION("""COMPUTED_VALUE"""),"I was concerned about the safety of my info.")</f>
        <v>I was concerned about the safety of my info.</v>
      </c>
      <c r="C426" s="3" t="s">
        <v>65</v>
      </c>
      <c r="D426" t="s">
        <v>1600</v>
      </c>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t="str">
        <f>IFERROR(__xludf.DUMMYFUNCTION("""COMPUTED_VALUE"""),"If the site was reputable")</f>
        <v>If the site was reputable</v>
      </c>
      <c r="C428" s="20" t="s">
        <v>1701</v>
      </c>
      <c r="D428" s="20" t="s">
        <v>1713</v>
      </c>
      <c r="E428" s="12"/>
      <c r="F428" s="12"/>
      <c r="G428" s="12"/>
      <c r="H428" s="12"/>
      <c r="I428" s="12"/>
      <c r="J428" s="12"/>
    </row>
    <row r="429">
      <c r="A429">
        <f>IFERROR(__xludf.DUMMYFUNCTION("""COMPUTED_VALUE"""),593.0)</f>
        <v>593</v>
      </c>
      <c r="B429" s="12" t="str">
        <f>IFERROR(__xludf.DUMMYFUNCTION("""COMPUTED_VALUE"""),"Just the ease of use and how i rather use the google than facebook or apple")</f>
        <v>Just the ease of use and how i rather use the google than facebook or apple</v>
      </c>
      <c r="C429" s="20" t="s">
        <v>1598</v>
      </c>
      <c r="D429" s="20" t="s">
        <v>1708</v>
      </c>
      <c r="E429" t="s">
        <v>1709</v>
      </c>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IFERROR(__xludf.DUMMYFUNCTION("""COMPUTED_VALUE"""),"Nothing")</f>
        <v>Nothing</v>
      </c>
      <c r="C431" s="3" t="s">
        <v>188</v>
      </c>
      <c r="D431" s="12"/>
      <c r="E431" s="12"/>
      <c r="F431" s="12"/>
      <c r="G431" s="12"/>
      <c r="H431" s="12"/>
      <c r="I431" s="12"/>
      <c r="J431" s="12"/>
    </row>
    <row r="432">
      <c r="A432">
        <f>IFERROR(__xludf.DUMMYFUNCTION("""COMPUTED_VALUE"""),598.0)</f>
        <v>598</v>
      </c>
      <c r="B432" s="12" t="str">
        <f>IFERROR(__xludf.DUMMYFUNCTION("""COMPUTED_VALUE"""),"I considered that this was probably risky, but I don't store any private information in my email and use a different email for passwords most of the time so it seemed like it was probably okay. I still worry about it a little bit though.")</f>
        <v>I considered that this was probably risky, but I don't store any private information in my email and use a different email for passwords most of the time so it seemed like it was probably okay. I still worry about it a little bit though.</v>
      </c>
      <c r="C432" s="20" t="s">
        <v>1696</v>
      </c>
      <c r="D432" t="s">
        <v>1730</v>
      </c>
      <c r="E432" s="12"/>
      <c r="F432" s="12"/>
      <c r="G432" s="12"/>
      <c r="H432" s="12"/>
      <c r="I432" s="12"/>
      <c r="J432" s="12"/>
    </row>
    <row r="433">
      <c r="A433">
        <f>IFERROR(__xludf.DUMMYFUNCTION("""COMPUTED_VALUE"""),600.0)</f>
        <v>600</v>
      </c>
      <c r="B433" s="12" t="str">
        <f>IFERROR(__xludf.DUMMYFUNCTION("""COMPUTED_VALUE"""),"I don't recall.")</f>
        <v>I don't recall.</v>
      </c>
      <c r="C433" s="3" t="s">
        <v>1607</v>
      </c>
      <c r="D433" s="12"/>
      <c r="E433" s="12"/>
      <c r="F433" s="12"/>
      <c r="G433" s="12"/>
      <c r="H433" s="12"/>
      <c r="I433" s="12"/>
      <c r="J433" s="12"/>
    </row>
    <row r="434">
      <c r="B434" s="12"/>
      <c r="C434" s="3" t="s">
        <v>65</v>
      </c>
      <c r="D434" s="12"/>
      <c r="E434" s="12"/>
      <c r="F434" s="12"/>
      <c r="G434" s="12"/>
      <c r="H434" s="12"/>
      <c r="I434" s="12"/>
      <c r="J434" s="12"/>
    </row>
    <row r="435">
      <c r="B435" s="12"/>
      <c r="C435" t="s">
        <v>1610</v>
      </c>
      <c r="D435" t="s">
        <v>1700</v>
      </c>
      <c r="E435" s="20" t="s">
        <v>1701</v>
      </c>
      <c r="F435" t="s">
        <v>1702</v>
      </c>
      <c r="G435" s="12"/>
      <c r="H435" s="12"/>
      <c r="I435" s="12"/>
      <c r="J435" s="12"/>
    </row>
    <row r="436">
      <c r="B436" s="12"/>
      <c r="C436" s="20" t="s">
        <v>1598</v>
      </c>
      <c r="D436" t="s">
        <v>1724</v>
      </c>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60.43"/>
    <col customWidth="1" min="5" max="5" width="30.86"/>
  </cols>
  <sheetData>
    <row r="1">
      <c r="A1" s="16" t="s">
        <v>1596</v>
      </c>
      <c r="B1" s="34"/>
      <c r="C1" s="34"/>
      <c r="D1" s="34"/>
      <c r="E1" s="16" t="s">
        <v>1597</v>
      </c>
      <c r="F1" s="34"/>
    </row>
    <row r="2">
      <c r="A2" s="34" t="str">
        <f>IFERROR(__xludf.DUMMYFUNCTION("QUERY({'S12 (primary)'!C2:C1000;'S12 (primary)'!D2:D1000;'S12 (primary)'!E2:E1000;'S12 (primary)'!F2:F1000;'S12 (primary)'!G2:G1000;'S12 (primary)'!H2:H1000;'S12 (primary)'!I2:I1000;'S12 (primary)'!J2:J1000;'S12 (primary)'!K2:K1000}, ""select Col1, count("&amp;"Col1) where Col1 is not null group by Col1 order by Col1 asc"")"),"")</f>
        <v/>
      </c>
      <c r="B2" s="34" t="str">
        <f>IFERROR(__xludf.DUMMYFUNCTION("""COMPUTED_VALUE"""),"count ")</f>
        <v>count </v>
      </c>
      <c r="C2" s="34"/>
      <c r="D2" s="34"/>
      <c r="E2" s="34" t="str">
        <f>IFERROR(__xludf.DUMMYFUNCTION("QUERY({'S12 (primary)'!C2:C1000;'S12 (primary)'!D2:D1000;'S12 (primary)'!E2:E1000;'S12 (primary)'!F2:F1000;'S12 (primary)'!G2:G1000;'S12 (primary)'!H2:H1000;'S12 (primary)'!I2:I1000;'S12 (primary)'!J2:J1000;'S12 (primary)'!K2:K1000}, ""select Col1, count("&amp;"Col1) where Col1 is not null and not Col1 contains '-&gt;' group by Col1 order by count(Col1) desc"")"),"")</f>
        <v/>
      </c>
      <c r="F2" s="34" t="str">
        <f>IFERROR(__xludf.DUMMYFUNCTION("""COMPUTED_VALUE"""),"count ")</f>
        <v>count </v>
      </c>
    </row>
    <row r="3">
      <c r="A3" t="str">
        <f>IFERROR(__xludf.DUMMYFUNCTION("""COMPUTED_VALUE"""),"comfort_with_app_or_service")</f>
        <v>comfort_with_app_or_service</v>
      </c>
      <c r="B3">
        <f>IFERROR(__xludf.DUMMYFUNCTION("""COMPUTED_VALUE"""),4.0)</f>
        <v>4</v>
      </c>
      <c r="E3" t="str">
        <f>IFERROR(__xludf.DUMMYFUNCTION("""COMPUTED_VALUE"""),"permissions")</f>
        <v>permissions</v>
      </c>
      <c r="F3">
        <f>IFERROR(__xludf.DUMMYFUNCTION("""COMPUTED_VALUE"""),42.0)</f>
        <v>42</v>
      </c>
    </row>
    <row r="4">
      <c r="A4" t="str">
        <f>IFERROR(__xludf.DUMMYFUNCTION("""COMPUTED_VALUE"""),"comfort_with_app_or_service-&gt;access_to_information")</f>
        <v>comfort_with_app_or_service-&gt;access_to_information</v>
      </c>
      <c r="B4">
        <f>IFERROR(__xludf.DUMMYFUNCTION("""COMPUTED_VALUE"""),4.0)</f>
        <v>4</v>
      </c>
      <c r="E4" t="str">
        <f>IFERROR(__xludf.DUMMYFUNCTION("""COMPUTED_VALUE"""),"security")</f>
        <v>security</v>
      </c>
      <c r="F4">
        <f>IFERROR(__xludf.DUMMYFUNCTION("""COMPUTED_VALUE"""),33.0)</f>
        <v>33</v>
      </c>
    </row>
    <row r="5">
      <c r="A5" t="str">
        <f>IFERROR(__xludf.DUMMYFUNCTION("""COMPUTED_VALUE"""),"convenience")</f>
        <v>convenience</v>
      </c>
      <c r="B5">
        <f>IFERROR(__xludf.DUMMYFUNCTION("""COMPUTED_VALUE"""),11.0)</f>
        <v>11</v>
      </c>
      <c r="E5" t="str">
        <f>IFERROR(__xludf.DUMMYFUNCTION("""COMPUTED_VALUE"""),"nothing")</f>
        <v>nothing</v>
      </c>
      <c r="F5">
        <f>IFERROR(__xludf.DUMMYFUNCTION("""COMPUTED_VALUE"""),31.0)</f>
        <v>31</v>
      </c>
    </row>
    <row r="6">
      <c r="A6" t="str">
        <f>IFERROR(__xludf.DUMMYFUNCTION("""COMPUTED_VALUE"""),"convenience-&gt;account_creation")</f>
        <v>convenience-&gt;account_creation</v>
      </c>
      <c r="B6">
        <f>IFERROR(__xludf.DUMMYFUNCTION("""COMPUTED_VALUE"""),4.0)</f>
        <v>4</v>
      </c>
      <c r="E6" t="str">
        <f>IFERROR(__xludf.DUMMYFUNCTION("""COMPUTED_VALUE"""),"is_trusted")</f>
        <v>is_trusted</v>
      </c>
      <c r="F6">
        <f>IFERROR(__xludf.DUMMYFUNCTION("""COMPUTED_VALUE"""),24.0)</f>
        <v>24</v>
      </c>
    </row>
    <row r="7">
      <c r="A7" t="str">
        <f>IFERROR(__xludf.DUMMYFUNCTION("""COMPUTED_VALUE"""),"ease_of_use")</f>
        <v>ease_of_use</v>
      </c>
      <c r="B7">
        <f>IFERROR(__xludf.DUMMYFUNCTION("""COMPUTED_VALUE"""),10.0)</f>
        <v>10</v>
      </c>
      <c r="E7" t="str">
        <f>IFERROR(__xludf.DUMMYFUNCTION("""COMPUTED_VALUE"""),"personal_information")</f>
        <v>personal_information</v>
      </c>
      <c r="F7">
        <f>IFERROR(__xludf.DUMMYFUNCTION("""COMPUTED_VALUE"""),22.0)</f>
        <v>22</v>
      </c>
    </row>
    <row r="8">
      <c r="A8" t="str">
        <f>IFERROR(__xludf.DUMMYFUNCTION("""COMPUTED_VALUE"""),"ease_of_use-&gt;access_removal")</f>
        <v>ease_of_use-&gt;access_removal</v>
      </c>
      <c r="B8">
        <f>IFERROR(__xludf.DUMMYFUNCTION("""COMPUTED_VALUE"""),2.0)</f>
        <v>2</v>
      </c>
      <c r="E8" t="str">
        <f>IFERROR(__xludf.DUMMYFUNCTION("""COMPUTED_VALUE"""),"privacy")</f>
        <v>privacy</v>
      </c>
      <c r="F8">
        <f>IFERROR(__xludf.DUMMYFUNCTION("""COMPUTED_VALUE"""),22.0)</f>
        <v>22</v>
      </c>
    </row>
    <row r="9">
      <c r="A9" t="str">
        <f>IFERROR(__xludf.DUMMYFUNCTION("""COMPUTED_VALUE"""),"ease_of_use-&gt;already_connected")</f>
        <v>ease_of_use-&gt;already_connected</v>
      </c>
      <c r="B9">
        <f>IFERROR(__xludf.DUMMYFUNCTION("""COMPUTED_VALUE"""),1.0)</f>
        <v>1</v>
      </c>
      <c r="E9" t="str">
        <f>IFERROR(__xludf.DUMMYFUNCTION("""COMPUTED_VALUE"""),"is_app_useful")</f>
        <v>is_app_useful</v>
      </c>
      <c r="F9">
        <f>IFERROR(__xludf.DUMMYFUNCTION("""COMPUTED_VALUE"""),14.0)</f>
        <v>14</v>
      </c>
    </row>
    <row r="10">
      <c r="A10" t="str">
        <f>IFERROR(__xludf.DUMMYFUNCTION("""COMPUTED_VALUE"""),"ease_of_use-&gt;fills_in_information")</f>
        <v>ease_of_use-&gt;fills_in_information</v>
      </c>
      <c r="B10">
        <f>IFERROR(__xludf.DUMMYFUNCTION("""COMPUTED_VALUE"""),1.0)</f>
        <v>1</v>
      </c>
      <c r="E10" t="str">
        <f>IFERROR(__xludf.DUMMYFUNCTION("""COMPUTED_VALUE"""),"unconcerned")</f>
        <v>unconcerned</v>
      </c>
      <c r="F10">
        <f>IFERROR(__xludf.DUMMYFUNCTION("""COMPUTED_VALUE"""),13.0)</f>
        <v>13</v>
      </c>
    </row>
    <row r="11">
      <c r="A11" t="str">
        <f>IFERROR(__xludf.DUMMYFUNCTION("""COMPUTED_VALUE"""),"ease_of_use-&gt;sign_in_process")</f>
        <v>ease_of_use-&gt;sign_in_process</v>
      </c>
      <c r="B11">
        <f>IFERROR(__xludf.DUMMYFUNCTION("""COMPUTED_VALUE"""),3.0)</f>
        <v>3</v>
      </c>
      <c r="E11" t="str">
        <f>IFERROR(__xludf.DUMMYFUNCTION("""COMPUTED_VALUE"""),"convenience")</f>
        <v>convenience</v>
      </c>
      <c r="F11">
        <f>IFERROR(__xludf.DUMMYFUNCTION("""COMPUTED_VALUE"""),11.0)</f>
        <v>11</v>
      </c>
    </row>
    <row r="12">
      <c r="A12" t="str">
        <f>IFERROR(__xludf.DUMMYFUNCTION("""COMPUTED_VALUE"""),"is_app_useful")</f>
        <v>is_app_useful</v>
      </c>
      <c r="B12">
        <f>IFERROR(__xludf.DUMMYFUNCTION("""COMPUTED_VALUE"""),14.0)</f>
        <v>14</v>
      </c>
      <c r="E12" t="str">
        <f>IFERROR(__xludf.DUMMYFUNCTION("""COMPUTED_VALUE"""),"tradeoff")</f>
        <v>tradeoff</v>
      </c>
      <c r="F12">
        <f>IFERROR(__xludf.DUMMYFUNCTION("""COMPUTED_VALUE"""),11.0)</f>
        <v>11</v>
      </c>
    </row>
    <row r="13">
      <c r="A13" t="str">
        <f>IFERROR(__xludf.DUMMYFUNCTION("""COMPUTED_VALUE"""),"is_trusted")</f>
        <v>is_trusted</v>
      </c>
      <c r="B13">
        <f>IFERROR(__xludf.DUMMYFUNCTION("""COMPUTED_VALUE"""),24.0)</f>
        <v>24</v>
      </c>
      <c r="E13" t="str">
        <f>IFERROR(__xludf.DUMMYFUNCTION("""COMPUTED_VALUE"""),"ease_of_use")</f>
        <v>ease_of_use</v>
      </c>
      <c r="F13">
        <f>IFERROR(__xludf.DUMMYFUNCTION("""COMPUTED_VALUE"""),10.0)</f>
        <v>10</v>
      </c>
    </row>
    <row r="14">
      <c r="A14" t="str">
        <f>IFERROR(__xludf.DUMMYFUNCTION("""COMPUTED_VALUE"""),"is_trusted-&gt;app")</f>
        <v>is_trusted-&gt;app</v>
      </c>
      <c r="B14">
        <f>IFERROR(__xludf.DUMMYFUNCTION("""COMPUTED_VALUE"""),9.0)</f>
        <v>9</v>
      </c>
      <c r="E14" t="str">
        <f>IFERROR(__xludf.DUMMYFUNCTION("""COMPUTED_VALUE"""),"other_options")</f>
        <v>other_options</v>
      </c>
      <c r="F14">
        <f>IFERROR(__xludf.DUMMYFUNCTION("""COMPUTED_VALUE"""),10.0)</f>
        <v>10</v>
      </c>
    </row>
    <row r="15">
      <c r="A15" t="str">
        <f>IFERROR(__xludf.DUMMYFUNCTION("""COMPUTED_VALUE"""),"is_trusted-&gt;company")</f>
        <v>is_trusted-&gt;company</v>
      </c>
      <c r="B15">
        <f>IFERROR(__xludf.DUMMYFUNCTION("""COMPUTED_VALUE"""),3.0)</f>
        <v>3</v>
      </c>
      <c r="E15" t="str">
        <f>IFERROR(__xludf.DUMMYFUNCTION("""COMPUTED_VALUE"""),"safety_of_app")</f>
        <v>safety_of_app</v>
      </c>
      <c r="F15">
        <f>IFERROR(__xludf.DUMMYFUNCTION("""COMPUTED_VALUE"""),8.0)</f>
        <v>8</v>
      </c>
    </row>
    <row r="16">
      <c r="A16" t="str">
        <f>IFERROR(__xludf.DUMMYFUNCTION("""COMPUTED_VALUE"""),"is_trusted-&gt;website")</f>
        <v>is_trusted-&gt;website</v>
      </c>
      <c r="B16">
        <f>IFERROR(__xludf.DUMMYFUNCTION("""COMPUTED_VALUE"""),8.0)</f>
        <v>8</v>
      </c>
      <c r="E16" t="str">
        <f>IFERROR(__xludf.DUMMYFUNCTION("""COMPUTED_VALUE"""),"transfer_of_trust")</f>
        <v>transfer_of_trust</v>
      </c>
      <c r="F16">
        <f>IFERROR(__xludf.DUMMYFUNCTION("""COMPUTED_VALUE"""),7.0)</f>
        <v>7</v>
      </c>
    </row>
    <row r="17">
      <c r="A17" t="str">
        <f>IFERROR(__xludf.DUMMYFUNCTION("""COMPUTED_VALUE"""),"nothing")</f>
        <v>nothing</v>
      </c>
      <c r="B17">
        <f>IFERROR(__xludf.DUMMYFUNCTION("""COMPUTED_VALUE"""),31.0)</f>
        <v>31</v>
      </c>
      <c r="E17" t="str">
        <f>IFERROR(__xludf.DUMMYFUNCTION("""COMPUTED_VALUE"""),"unknowns")</f>
        <v>unknowns</v>
      </c>
      <c r="F17">
        <f>IFERROR(__xludf.DUMMYFUNCTION("""COMPUTED_VALUE"""),6.0)</f>
        <v>6</v>
      </c>
    </row>
    <row r="18">
      <c r="A18" t="str">
        <f>IFERROR(__xludf.DUMMYFUNCTION("""COMPUTED_VALUE"""),"other_options")</f>
        <v>other_options</v>
      </c>
      <c r="B18">
        <f>IFERROR(__xludf.DUMMYFUNCTION("""COMPUTED_VALUE"""),10.0)</f>
        <v>10</v>
      </c>
      <c r="E18" t="str">
        <f>IFERROR(__xludf.DUMMYFUNCTION("""COMPUTED_VALUE"""),"comfort_with_app_or_service")</f>
        <v>comfort_with_app_or_service</v>
      </c>
      <c r="F18">
        <f>IFERROR(__xludf.DUMMYFUNCTION("""COMPUTED_VALUE"""),4.0)</f>
        <v>4</v>
      </c>
    </row>
    <row r="19">
      <c r="A19" t="str">
        <f>IFERROR(__xludf.DUMMYFUNCTION("""COMPUTED_VALUE"""),"other_options-&gt;facebook")</f>
        <v>other_options-&gt;facebook</v>
      </c>
      <c r="B19">
        <f>IFERROR(__xludf.DUMMYFUNCTION("""COMPUTED_VALUE"""),2.0)</f>
        <v>2</v>
      </c>
      <c r="E19" t="str">
        <f>IFERROR(__xludf.DUMMYFUNCTION("""COMPUTED_VALUE"""),"unsure")</f>
        <v>unsure</v>
      </c>
      <c r="F19">
        <f>IFERROR(__xludf.DUMMYFUNCTION("""COMPUTED_VALUE"""),2.0)</f>
        <v>2</v>
      </c>
    </row>
    <row r="20">
      <c r="A20" t="str">
        <f>IFERROR(__xludf.DUMMYFUNCTION("""COMPUTED_VALUE"""),"permissions")</f>
        <v>permissions</v>
      </c>
      <c r="B20">
        <f>IFERROR(__xludf.DUMMYFUNCTION("""COMPUTED_VALUE"""),42.0)</f>
        <v>42</v>
      </c>
      <c r="E20" t="str">
        <f>IFERROR(__xludf.DUMMYFUNCTION("""COMPUTED_VALUE"""),"unwanted_emails")</f>
        <v>unwanted_emails</v>
      </c>
      <c r="F20">
        <f>IFERROR(__xludf.DUMMYFUNCTION("""COMPUTED_VALUE"""),2.0)</f>
        <v>2</v>
      </c>
    </row>
    <row r="21">
      <c r="A21" t="str">
        <f>IFERROR(__xludf.DUMMYFUNCTION("""COMPUTED_VALUE"""),"permissions-&gt;access")</f>
        <v>permissions-&gt;access</v>
      </c>
      <c r="B21">
        <f>IFERROR(__xludf.DUMMYFUNCTION("""COMPUTED_VALUE"""),8.0)</f>
        <v>8</v>
      </c>
      <c r="E21" t="str">
        <f>IFERROR(__xludf.DUMMYFUNCTION("""COMPUTED_VALUE"""),"using_an_alternate_account")</f>
        <v>using_an_alternate_account</v>
      </c>
      <c r="F21">
        <f>IFERROR(__xludf.DUMMYFUNCTION("""COMPUTED_VALUE"""),1.0)</f>
        <v>1</v>
      </c>
    </row>
    <row r="22">
      <c r="A22" t="str">
        <f>IFERROR(__xludf.DUMMYFUNCTION("""COMPUTED_VALUE"""),"permissions-&gt;alternate_app_with_fewer")</f>
        <v>permissions-&gt;alternate_app_with_fewer</v>
      </c>
      <c r="B22">
        <f>IFERROR(__xludf.DUMMYFUNCTION("""COMPUTED_VALUE"""),1.0)</f>
        <v>1</v>
      </c>
    </row>
    <row r="23">
      <c r="A23" t="str">
        <f>IFERROR(__xludf.DUMMYFUNCTION("""COMPUTED_VALUE"""),"permissions-&gt;contact_info")</f>
        <v>permissions-&gt;contact_info</v>
      </c>
      <c r="B23">
        <f>IFERROR(__xludf.DUMMYFUNCTION("""COMPUTED_VALUE"""),1.0)</f>
        <v>1</v>
      </c>
    </row>
    <row r="24">
      <c r="A24" t="str">
        <f>IFERROR(__xludf.DUMMYFUNCTION("""COMPUTED_VALUE"""),"permissions-&gt;correct")</f>
        <v>permissions-&gt;correct</v>
      </c>
      <c r="B24">
        <f>IFERROR(__xludf.DUMMYFUNCTION("""COMPUTED_VALUE"""),3.0)</f>
        <v>3</v>
      </c>
    </row>
    <row r="25">
      <c r="A25" t="str">
        <f>IFERROR(__xludf.DUMMYFUNCTION("""COMPUTED_VALUE"""),"permissions-&gt;media")</f>
        <v>permissions-&gt;media</v>
      </c>
      <c r="B25">
        <f>IFERROR(__xludf.DUMMYFUNCTION("""COMPUTED_VALUE"""),1.0)</f>
        <v>1</v>
      </c>
    </row>
    <row r="26">
      <c r="A26" t="str">
        <f>IFERROR(__xludf.DUMMYFUNCTION("""COMPUTED_VALUE"""),"permissions-&gt;modify_data")</f>
        <v>permissions-&gt;modify_data</v>
      </c>
      <c r="B26">
        <f>IFERROR(__xludf.DUMMYFUNCTION("""COMPUTED_VALUE"""),2.0)</f>
        <v>2</v>
      </c>
    </row>
    <row r="27">
      <c r="A27" t="str">
        <f>IFERROR(__xludf.DUMMYFUNCTION("""COMPUTED_VALUE"""),"permissions-&gt;necessary")</f>
        <v>permissions-&gt;necessary</v>
      </c>
      <c r="B27">
        <f>IFERROR(__xludf.DUMMYFUNCTION("""COMPUTED_VALUE"""),14.0)</f>
        <v>14</v>
      </c>
    </row>
    <row r="28">
      <c r="A28" t="str">
        <f>IFERROR(__xludf.DUMMYFUNCTION("""COMPUTED_VALUE"""),"permissions-&gt;what_information_accessible")</f>
        <v>permissions-&gt;what_information_accessible</v>
      </c>
      <c r="B28">
        <f>IFERROR(__xludf.DUMMYFUNCTION("""COMPUTED_VALUE"""),8.0)</f>
        <v>8</v>
      </c>
    </row>
    <row r="29">
      <c r="A29" t="str">
        <f>IFERROR(__xludf.DUMMYFUNCTION("""COMPUTED_VALUE"""),"personal_information")</f>
        <v>personal_information</v>
      </c>
      <c r="B29">
        <f>IFERROR(__xludf.DUMMYFUNCTION("""COMPUTED_VALUE"""),22.0)</f>
        <v>22</v>
      </c>
    </row>
    <row r="30">
      <c r="A30" t="str">
        <f>IFERROR(__xludf.DUMMYFUNCTION("""COMPUTED_VALUE"""),"personal_information-&gt;account")</f>
        <v>personal_information-&gt;account</v>
      </c>
      <c r="B30">
        <f>IFERROR(__xludf.DUMMYFUNCTION("""COMPUTED_VALUE"""),3.0)</f>
        <v>3</v>
      </c>
    </row>
    <row r="31">
      <c r="A31" t="str">
        <f>IFERROR(__xludf.DUMMYFUNCTION("""COMPUTED_VALUE"""),"personal_information-&gt;amount_collected")</f>
        <v>personal_information-&gt;amount_collected</v>
      </c>
      <c r="B31">
        <f>IFERROR(__xludf.DUMMYFUNCTION("""COMPUTED_VALUE"""),2.0)</f>
        <v>2</v>
      </c>
    </row>
    <row r="32">
      <c r="A32" t="str">
        <f>IFERROR(__xludf.DUMMYFUNCTION("""COMPUTED_VALUE"""),"personal_information-&gt;email")</f>
        <v>personal_information-&gt;email</v>
      </c>
      <c r="B32">
        <f>IFERROR(__xludf.DUMMYFUNCTION("""COMPUTED_VALUE"""),2.0)</f>
        <v>2</v>
      </c>
    </row>
    <row r="33">
      <c r="A33" t="str">
        <f>IFERROR(__xludf.DUMMYFUNCTION("""COMPUTED_VALUE"""),"personal_information-&gt;sensitive")</f>
        <v>personal_information-&gt;sensitive</v>
      </c>
      <c r="B33">
        <f>IFERROR(__xludf.DUMMYFUNCTION("""COMPUTED_VALUE"""),4.0)</f>
        <v>4</v>
      </c>
    </row>
    <row r="34">
      <c r="A34" t="str">
        <f>IFERROR(__xludf.DUMMYFUNCTION("""COMPUTED_VALUE"""),"personal_information-&gt;sharing")</f>
        <v>personal_information-&gt;sharing</v>
      </c>
      <c r="B34">
        <f>IFERROR(__xludf.DUMMYFUNCTION("""COMPUTED_VALUE"""),4.0)</f>
        <v>4</v>
      </c>
    </row>
    <row r="35">
      <c r="A35" t="str">
        <f>IFERROR(__xludf.DUMMYFUNCTION("""COMPUTED_VALUE"""),"privacy")</f>
        <v>privacy</v>
      </c>
      <c r="B35">
        <f>IFERROR(__xludf.DUMMYFUNCTION("""COMPUTED_VALUE"""),22.0)</f>
        <v>22</v>
      </c>
    </row>
    <row r="36">
      <c r="A36" t="str">
        <f>IFERROR(__xludf.DUMMYFUNCTION("""COMPUTED_VALUE"""),"privacy-&gt;data_used_for_advertising")</f>
        <v>privacy-&gt;data_used_for_advertising</v>
      </c>
      <c r="B36">
        <f>IFERROR(__xludf.DUMMYFUNCTION("""COMPUTED_VALUE"""),1.0)</f>
        <v>1</v>
      </c>
    </row>
    <row r="37">
      <c r="A37" t="str">
        <f>IFERROR(__xludf.DUMMYFUNCTION("""COMPUTED_VALUE"""),"safety_of_app")</f>
        <v>safety_of_app</v>
      </c>
      <c r="B37">
        <f>IFERROR(__xludf.DUMMYFUNCTION("""COMPUTED_VALUE"""),8.0)</f>
        <v>8</v>
      </c>
    </row>
    <row r="38">
      <c r="A38" t="str">
        <f>IFERROR(__xludf.DUMMYFUNCTION("""COMPUTED_VALUE"""),"security")</f>
        <v>security</v>
      </c>
      <c r="B38">
        <f>IFERROR(__xludf.DUMMYFUNCTION("""COMPUTED_VALUE"""),33.0)</f>
        <v>33</v>
      </c>
    </row>
    <row r="39">
      <c r="A39" t="str">
        <f>IFERROR(__xludf.DUMMYFUNCTION("""COMPUTED_VALUE"""),"security-&gt;app_owner")</f>
        <v>security-&gt;app_owner</v>
      </c>
      <c r="B39">
        <f>IFERROR(__xludf.DUMMYFUNCTION("""COMPUTED_VALUE"""),1.0)</f>
        <v>1</v>
      </c>
    </row>
    <row r="40">
      <c r="A40" t="str">
        <f>IFERROR(__xludf.DUMMYFUNCTION("""COMPUTED_VALUE"""),"security-&gt;information")</f>
        <v>security-&gt;information</v>
      </c>
      <c r="B40">
        <f>IFERROR(__xludf.DUMMYFUNCTION("""COMPUTED_VALUE"""),5.0)</f>
        <v>5</v>
      </c>
    </row>
    <row r="41">
      <c r="A41" t="str">
        <f>IFERROR(__xludf.DUMMYFUNCTION("""COMPUTED_VALUE"""),"security-&gt;information_leak")</f>
        <v>security-&gt;information_leak</v>
      </c>
      <c r="B41">
        <f>IFERROR(__xludf.DUMMYFUNCTION("""COMPUTED_VALUE"""),4.0)</f>
        <v>4</v>
      </c>
    </row>
    <row r="42">
      <c r="A42" t="str">
        <f>IFERROR(__xludf.DUMMYFUNCTION("""COMPUTED_VALUE"""),"security-&gt;information_theft")</f>
        <v>security-&gt;information_theft</v>
      </c>
      <c r="B42">
        <f>IFERROR(__xludf.DUMMYFUNCTION("""COMPUTED_VALUE"""),3.0)</f>
        <v>3</v>
      </c>
    </row>
    <row r="43">
      <c r="A43" t="str">
        <f>IFERROR(__xludf.DUMMYFUNCTION("""COMPUTED_VALUE"""),"security-&gt;misuse")</f>
        <v>security-&gt;misuse</v>
      </c>
      <c r="B43">
        <f>IFERROR(__xludf.DUMMYFUNCTION("""COMPUTED_VALUE"""),5.0)</f>
        <v>5</v>
      </c>
    </row>
    <row r="44">
      <c r="A44" t="str">
        <f>IFERROR(__xludf.DUMMYFUNCTION("""COMPUTED_VALUE"""),"security-&gt;website")</f>
        <v>security-&gt;website</v>
      </c>
      <c r="B44">
        <f>IFERROR(__xludf.DUMMYFUNCTION("""COMPUTED_VALUE"""),1.0)</f>
        <v>1</v>
      </c>
    </row>
    <row r="45">
      <c r="A45" t="str">
        <f>IFERROR(__xludf.DUMMYFUNCTION("""COMPUTED_VALUE"""),"tradeoff")</f>
        <v>tradeoff</v>
      </c>
      <c r="B45">
        <f>IFERROR(__xludf.DUMMYFUNCTION("""COMPUTED_VALUE"""),11.0)</f>
        <v>11</v>
      </c>
    </row>
    <row r="46">
      <c r="A46" t="str">
        <f>IFERROR(__xludf.DUMMYFUNCTION("""COMPUTED_VALUE"""),"tradeoff-&gt;sharing_information")</f>
        <v>tradeoff-&gt;sharing_information</v>
      </c>
      <c r="B46">
        <f>IFERROR(__xludf.DUMMYFUNCTION("""COMPUTED_VALUE"""),2.0)</f>
        <v>2</v>
      </c>
    </row>
    <row r="47">
      <c r="A47" t="str">
        <f>IFERROR(__xludf.DUMMYFUNCTION("""COMPUTED_VALUE"""),"tradeoff-&gt;useful")</f>
        <v>tradeoff-&gt;useful</v>
      </c>
      <c r="B47">
        <f>IFERROR(__xludf.DUMMYFUNCTION("""COMPUTED_VALUE"""),7.0)</f>
        <v>7</v>
      </c>
    </row>
    <row r="48">
      <c r="A48" t="str">
        <f>IFERROR(__xludf.DUMMYFUNCTION("""COMPUTED_VALUE"""),"transfer_of_trust")</f>
        <v>transfer_of_trust</v>
      </c>
      <c r="B48">
        <f>IFERROR(__xludf.DUMMYFUNCTION("""COMPUTED_VALUE"""),7.0)</f>
        <v>7</v>
      </c>
    </row>
    <row r="49">
      <c r="A49" t="str">
        <f>IFERROR(__xludf.DUMMYFUNCTION("""COMPUTED_VALUE"""),"transfer_of_trust-&gt;from_google")</f>
        <v>transfer_of_trust-&gt;from_google</v>
      </c>
      <c r="B49">
        <f>IFERROR(__xludf.DUMMYFUNCTION("""COMPUTED_VALUE"""),6.0)</f>
        <v>6</v>
      </c>
    </row>
    <row r="50">
      <c r="A50" t="str">
        <f>IFERROR(__xludf.DUMMYFUNCTION("""COMPUTED_VALUE"""),"unconcerned")</f>
        <v>unconcerned</v>
      </c>
      <c r="B50">
        <f>IFERROR(__xludf.DUMMYFUNCTION("""COMPUTED_VALUE"""),13.0)</f>
        <v>13</v>
      </c>
    </row>
    <row r="51">
      <c r="A51" t="str">
        <f>IFERROR(__xludf.DUMMYFUNCTION("""COMPUTED_VALUE"""),"unconcerned-&gt;trust_google")</f>
        <v>unconcerned-&gt;trust_google</v>
      </c>
      <c r="B51">
        <f>IFERROR(__xludf.DUMMYFUNCTION("""COMPUTED_VALUE"""),1.0)</f>
        <v>1</v>
      </c>
    </row>
    <row r="52">
      <c r="A52" t="str">
        <f>IFERROR(__xludf.DUMMYFUNCTION("""COMPUTED_VALUE"""),"unknowns")</f>
        <v>unknowns</v>
      </c>
      <c r="B52">
        <f>IFERROR(__xludf.DUMMYFUNCTION("""COMPUTED_VALUE"""),6.0)</f>
        <v>6</v>
      </c>
    </row>
    <row r="53">
      <c r="A53" t="str">
        <f>IFERROR(__xludf.DUMMYFUNCTION("""COMPUTED_VALUE"""),"unknowns-&gt;email_access")</f>
        <v>unknowns-&gt;email_access</v>
      </c>
      <c r="B53">
        <f>IFERROR(__xludf.DUMMYFUNCTION("""COMPUTED_VALUE"""),1.0)</f>
        <v>1</v>
      </c>
    </row>
    <row r="54">
      <c r="A54" t="str">
        <f>IFERROR(__xludf.DUMMYFUNCTION("""COMPUTED_VALUE"""),"unknowns-&gt;google_guideline_enforcement")</f>
        <v>unknowns-&gt;google_guideline_enforcement</v>
      </c>
      <c r="B54">
        <f>IFERROR(__xludf.DUMMYFUNCTION("""COMPUTED_VALUE"""),1.0)</f>
        <v>1</v>
      </c>
    </row>
    <row r="55">
      <c r="A55" t="str">
        <f>IFERROR(__xludf.DUMMYFUNCTION("""COMPUTED_VALUE"""),"unknowns-&gt;information_access")</f>
        <v>unknowns-&gt;information_access</v>
      </c>
      <c r="B55">
        <f>IFERROR(__xludf.DUMMYFUNCTION("""COMPUTED_VALUE"""),4.0)</f>
        <v>4</v>
      </c>
    </row>
    <row r="56">
      <c r="A56" t="str">
        <f>IFERROR(__xludf.DUMMYFUNCTION("""COMPUTED_VALUE"""),"unsure")</f>
        <v>unsure</v>
      </c>
      <c r="B56">
        <f>IFERROR(__xludf.DUMMYFUNCTION("""COMPUTED_VALUE"""),2.0)</f>
        <v>2</v>
      </c>
    </row>
    <row r="57">
      <c r="A57" t="str">
        <f>IFERROR(__xludf.DUMMYFUNCTION("""COMPUTED_VALUE"""),"unwanted_emails")</f>
        <v>unwanted_emails</v>
      </c>
      <c r="B57">
        <f>IFERROR(__xludf.DUMMYFUNCTION("""COMPUTED_VALUE"""),2.0)</f>
        <v>2</v>
      </c>
    </row>
    <row r="58">
      <c r="A58" t="str">
        <f>IFERROR(__xludf.DUMMYFUNCTION("""COMPUTED_VALUE"""),"using_an_alternate_account")</f>
        <v>using_an_alternate_account</v>
      </c>
      <c r="B58">
        <f>IFERROR(__xludf.DUMMYFUNCTION("""COMPUTED_VALUE"""),1.0)</f>
        <v>1</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A,F"")"),"Response ID")</f>
        <v>Response ID</v>
      </c>
      <c r="B1" s="17" t="str">
        <f>IFERROR(__xludf.DUMMYFUNCTION("""COMPUTED_VALUE"""),"google_recall_app_yes_consider")</f>
        <v>google_recall_app_yes_consider</v>
      </c>
      <c r="C1" s="17" t="s">
        <v>1399</v>
      </c>
      <c r="D1" s="17" t="s">
        <v>1400</v>
      </c>
      <c r="E1" s="17" t="s">
        <v>1401</v>
      </c>
      <c r="F1" s="17" t="s">
        <v>1402</v>
      </c>
      <c r="G1" s="17" t="s">
        <v>1403</v>
      </c>
      <c r="H1" s="17" t="s">
        <v>1404</v>
      </c>
      <c r="I1" s="17" t="s">
        <v>1405</v>
      </c>
      <c r="J1" s="17" t="s">
        <v>1406</v>
      </c>
    </row>
    <row r="2">
      <c r="A2" s="48">
        <f>IFERROR(__xludf.DUMMYFUNCTION("""COMPUTED_VALUE"""),1.0)</f>
        <v>1</v>
      </c>
      <c r="B2" s="19"/>
      <c r="C2" s="45"/>
      <c r="D2" s="45"/>
      <c r="E2" s="3"/>
      <c r="F2" s="3"/>
      <c r="G2" s="3"/>
      <c r="H2" s="12"/>
      <c r="I2" s="12"/>
      <c r="J2" s="12"/>
    </row>
    <row r="3">
      <c r="A3" s="48">
        <f>IFERROR(__xludf.DUMMYFUNCTION("""COMPUTED_VALUE"""),2.0)</f>
        <v>2</v>
      </c>
      <c r="B3" s="19"/>
      <c r="C3" s="45"/>
      <c r="D3" s="45"/>
      <c r="E3" s="45"/>
      <c r="F3" s="45"/>
      <c r="G3" s="12"/>
      <c r="H3" s="12"/>
      <c r="I3" s="12"/>
      <c r="J3" s="12"/>
    </row>
    <row r="4">
      <c r="A4" s="48">
        <f>IFERROR(__xludf.DUMMYFUNCTION("""COMPUTED_VALUE"""),3.0)</f>
        <v>3</v>
      </c>
      <c r="B4" s="19"/>
      <c r="C4" s="3"/>
      <c r="D4" s="3"/>
      <c r="E4" s="3"/>
      <c r="F4" s="3"/>
      <c r="G4" s="3"/>
      <c r="H4" s="12"/>
      <c r="I4" s="12"/>
      <c r="J4" s="12"/>
    </row>
    <row r="5">
      <c r="A5" s="48">
        <f>IFERROR(__xludf.DUMMYFUNCTION("""COMPUTED_VALUE"""),4.0)</f>
        <v>4</v>
      </c>
      <c r="B5" s="19" t="str">
        <f>IFERROR(__xludf.DUMMYFUNCTION("""COMPUTED_VALUE"""),"I considered how much information they could gather from me")</f>
        <v>I considered how much information they could gather from me</v>
      </c>
      <c r="C5" t="s">
        <v>1696</v>
      </c>
      <c r="D5" t="s">
        <v>1697</v>
      </c>
      <c r="E5" s="45"/>
      <c r="F5" s="3"/>
      <c r="G5" s="3"/>
      <c r="H5" s="12"/>
      <c r="I5" s="12"/>
      <c r="J5" s="12"/>
    </row>
    <row r="6">
      <c r="A6" s="48">
        <f>IFERROR(__xludf.DUMMYFUNCTION("""COMPUTED_VALUE"""),5.0)</f>
        <v>5</v>
      </c>
      <c r="B6" s="19" t="str">
        <f>IFERROR(__xludf.DUMMYFUNCTION("""COMPUTED_VALUE"""),"How inconvenient it would be to register for an account if I didn't grant access.")</f>
        <v>How inconvenient it would be to register for an account if I didn't grant access.</v>
      </c>
      <c r="C6" t="s">
        <v>1698</v>
      </c>
      <c r="D6" t="s">
        <v>1699</v>
      </c>
      <c r="E6" s="12"/>
      <c r="F6" s="12"/>
      <c r="G6" s="12"/>
      <c r="H6" s="12"/>
      <c r="I6" s="12"/>
      <c r="J6" s="12"/>
    </row>
    <row r="7">
      <c r="A7" s="48">
        <f>IFERROR(__xludf.DUMMYFUNCTION("""COMPUTED_VALUE"""),10.0)</f>
        <v>10</v>
      </c>
      <c r="B7" s="19" t="str">
        <f>IFERROR(__xludf.DUMMYFUNCTION("""COMPUTED_VALUE"""),"I considered the legitimacy of the app, and the likelihood that it would be useful to allow it third-party access to my Google account.")</f>
        <v>I considered the legitimacy of the app, and the likelihood that it would be useful to allow it third-party access to my Google account.</v>
      </c>
      <c r="C7" t="s">
        <v>1701</v>
      </c>
      <c r="D7" t="s">
        <v>1702</v>
      </c>
      <c r="E7" t="s">
        <v>1714</v>
      </c>
      <c r="F7" s="3"/>
      <c r="G7" s="3"/>
      <c r="H7" s="3"/>
      <c r="I7" s="12"/>
      <c r="J7" s="12"/>
    </row>
    <row r="8">
      <c r="A8" s="48">
        <f>IFERROR(__xludf.DUMMYFUNCTION("""COMPUTED_VALUE"""),12.0)</f>
        <v>12</v>
      </c>
      <c r="B8" s="19"/>
      <c r="C8" s="45"/>
      <c r="D8" s="3"/>
      <c r="E8" s="12"/>
      <c r="F8" s="12"/>
      <c r="G8" s="12"/>
      <c r="H8" s="12"/>
      <c r="I8" s="12"/>
      <c r="J8" s="12"/>
    </row>
    <row r="9">
      <c r="A9" s="48">
        <f>IFERROR(__xludf.DUMMYFUNCTION("""COMPUTED_VALUE"""),13.0)</f>
        <v>13</v>
      </c>
      <c r="B9" s="19"/>
      <c r="C9" s="45"/>
      <c r="D9" s="3"/>
      <c r="E9" s="3"/>
      <c r="F9" s="3"/>
      <c r="G9" s="3"/>
      <c r="H9" s="12"/>
      <c r="I9" s="12"/>
      <c r="J9" s="12"/>
    </row>
    <row r="10">
      <c r="A10" s="48">
        <f>IFERROR(__xludf.DUMMYFUNCTION("""COMPUTED_VALUE"""),14.0)</f>
        <v>14</v>
      </c>
      <c r="B10" s="19" t="str">
        <f>IFERROR(__xludf.DUMMYFUNCTION("""COMPUTED_VALUE"""),"if the permissions are coorrect")</f>
        <v>if the permissions are coorrect</v>
      </c>
      <c r="C10" t="s">
        <v>1703</v>
      </c>
      <c r="D10" t="s">
        <v>1704</v>
      </c>
      <c r="E10" s="3"/>
      <c r="G10" s="12"/>
      <c r="H10" s="12"/>
      <c r="I10" s="12"/>
      <c r="J10" s="12"/>
    </row>
    <row r="11">
      <c r="A11" s="48">
        <f>IFERROR(__xludf.DUMMYFUNCTION("""COMPUTED_VALUE"""),16.0)</f>
        <v>16</v>
      </c>
      <c r="B11" s="19" t="str">
        <f>IFERROR(__xludf.DUMMYFUNCTION("""COMPUTED_VALUE"""),"Unsure")</f>
        <v>Unsure</v>
      </c>
      <c r="C11" t="s">
        <v>1607</v>
      </c>
      <c r="D11" s="3"/>
      <c r="E11" s="12"/>
      <c r="F11" s="12"/>
      <c r="G11" s="12"/>
      <c r="H11" s="12"/>
      <c r="I11" s="12"/>
      <c r="J11" s="12"/>
    </row>
    <row r="12">
      <c r="A12" s="48">
        <f>IFERROR(__xludf.DUMMYFUNCTION("""COMPUTED_VALUE"""),19.0)</f>
        <v>19</v>
      </c>
      <c r="B12" s="19"/>
      <c r="C12" s="3"/>
      <c r="D12" s="45"/>
      <c r="E12" s="12"/>
      <c r="F12" s="12"/>
      <c r="G12" s="12"/>
      <c r="H12" s="12"/>
      <c r="I12" s="12"/>
      <c r="J12" s="12"/>
    </row>
    <row r="13">
      <c r="A13" s="48">
        <f>IFERROR(__xludf.DUMMYFUNCTION("""COMPUTED_VALUE"""),21.0)</f>
        <v>21</v>
      </c>
      <c r="B13" s="19" t="str">
        <f>IFERROR(__xludf.DUMMYFUNCTION("""COMPUTED_VALUE"""),"nothing again")</f>
        <v>nothing again</v>
      </c>
      <c r="C13" t="s">
        <v>188</v>
      </c>
      <c r="D13" s="45"/>
      <c r="E13" s="12"/>
      <c r="F13" s="12"/>
      <c r="G13" s="12"/>
      <c r="H13" s="12"/>
      <c r="I13" s="12"/>
      <c r="J13" s="12"/>
    </row>
    <row r="14">
      <c r="A14" s="48">
        <f>IFERROR(__xludf.DUMMYFUNCTION("""COMPUTED_VALUE"""),22.0)</f>
        <v>22</v>
      </c>
      <c r="B14" s="19" t="str">
        <f>IFERROR(__xludf.DUMMYFUNCTION("""COMPUTED_VALUE"""),"security")</f>
        <v>security</v>
      </c>
      <c r="C14" t="s">
        <v>65</v>
      </c>
      <c r="D14" s="3"/>
      <c r="E14" s="3"/>
      <c r="F14" s="3"/>
      <c r="G14" s="12"/>
      <c r="H14" s="12"/>
      <c r="I14" s="12"/>
      <c r="J14" s="12"/>
    </row>
    <row r="15">
      <c r="A15" s="48">
        <f>IFERROR(__xludf.DUMMYFUNCTION("""COMPUTED_VALUE"""),24.0)</f>
        <v>24</v>
      </c>
      <c r="B15" s="19" t="str">
        <f>IFERROR(__xludf.DUMMYFUNCTION("""COMPUTED_VALUE"""),"Nothing. Just that it was sop")</f>
        <v>Nothing. Just that it was sop</v>
      </c>
      <c r="C15" t="s">
        <v>188</v>
      </c>
      <c r="D15" s="3"/>
      <c r="E15" s="3"/>
      <c r="F15" s="12"/>
      <c r="G15" s="12"/>
      <c r="H15" s="12"/>
      <c r="I15" s="12"/>
      <c r="J15" s="12"/>
    </row>
    <row r="16">
      <c r="A16" s="48">
        <f>IFERROR(__xludf.DUMMYFUNCTION("""COMPUTED_VALUE"""),25.0)</f>
        <v>25</v>
      </c>
      <c r="B16" s="19" t="str">
        <f>IFERROR(__xludf.DUMMYFUNCTION("""COMPUTED_VALUE"""),"How easy it was to add the event to my calendar and translate the time zone.")</f>
        <v>How easy it was to add the event to my calendar and translate the time zone.</v>
      </c>
      <c r="C16" t="s">
        <v>1598</v>
      </c>
      <c r="D16" s="3"/>
      <c r="E16" s="3"/>
      <c r="F16" s="12"/>
      <c r="G16" s="12"/>
      <c r="H16" s="12"/>
      <c r="I16" s="12"/>
      <c r="J16" s="12"/>
    </row>
    <row r="17">
      <c r="A17" s="48">
        <f>IFERROR(__xludf.DUMMYFUNCTION("""COMPUTED_VALUE"""),26.0)</f>
        <v>26</v>
      </c>
      <c r="B17" s="19"/>
      <c r="C17" s="45"/>
      <c r="D17" s="26"/>
      <c r="E17" s="26"/>
      <c r="F17" s="12"/>
      <c r="G17" s="12"/>
      <c r="H17" s="12"/>
      <c r="I17" s="12"/>
      <c r="J17" s="12"/>
    </row>
    <row r="18">
      <c r="A18" s="48">
        <f>IFERROR(__xludf.DUMMYFUNCTION("""COMPUTED_VALUE"""),28.0)</f>
        <v>28</v>
      </c>
      <c r="B18" s="19" t="str">
        <f>IFERROR(__xludf.DUMMYFUNCTION("""COMPUTED_VALUE"""),"Security and the organizations history for protecting customer data.")</f>
        <v>Security and the organizations history for protecting customer data.</v>
      </c>
      <c r="C18" t="s">
        <v>65</v>
      </c>
      <c r="D18" t="s">
        <v>1701</v>
      </c>
      <c r="E18" t="s">
        <v>1718</v>
      </c>
      <c r="F18" s="12"/>
      <c r="G18" s="12"/>
      <c r="H18" s="12"/>
      <c r="I18" s="12"/>
      <c r="J18" s="12"/>
    </row>
    <row r="19">
      <c r="A19" s="48">
        <f>IFERROR(__xludf.DUMMYFUNCTION("""COMPUTED_VALUE"""),29.0)</f>
        <v>29</v>
      </c>
      <c r="B19" s="19" t="str">
        <f>IFERROR(__xludf.DUMMYFUNCTION("""COMPUTED_VALUE"""),"simply making sure i was not going to receive a host of unwanted emails!")</f>
        <v>simply making sure i was not going to receive a host of unwanted emails!</v>
      </c>
      <c r="C19" t="s">
        <v>1706</v>
      </c>
      <c r="D19" s="3"/>
      <c r="E19" s="3"/>
      <c r="F19" s="12"/>
      <c r="G19" s="12"/>
      <c r="H19" s="12"/>
      <c r="I19" s="12"/>
      <c r="J19" s="12"/>
    </row>
    <row r="20">
      <c r="A20" s="48">
        <f>IFERROR(__xludf.DUMMYFUNCTION("""COMPUTED_VALUE"""),30.0)</f>
        <v>30</v>
      </c>
      <c r="B20" s="19" t="str">
        <f>IFERROR(__xludf.DUMMYFUNCTION("""COMPUTED_VALUE"""),"If it could see too much or possibly if it could gain access to my personal emails.")</f>
        <v>If it could see too much or possibly if it could gain access to my personal emails.</v>
      </c>
      <c r="C20" t="s">
        <v>1696</v>
      </c>
      <c r="D20" t="s">
        <v>1697</v>
      </c>
      <c r="E20" t="s">
        <v>1730</v>
      </c>
      <c r="F20" s="12"/>
      <c r="G20" s="12"/>
      <c r="H20" s="12"/>
      <c r="I20" s="12"/>
      <c r="J20" s="12"/>
    </row>
    <row r="21">
      <c r="A21" s="48">
        <f>IFERROR(__xludf.DUMMYFUNCTION("""COMPUTED_VALUE"""),31.0)</f>
        <v>31</v>
      </c>
      <c r="B21" s="19"/>
      <c r="C21" s="45"/>
      <c r="D21" s="3"/>
      <c r="E21" s="12"/>
      <c r="F21" s="12"/>
      <c r="G21" s="12"/>
      <c r="H21" s="12"/>
      <c r="I21" s="12"/>
      <c r="J21" s="12"/>
    </row>
    <row r="22">
      <c r="A22" s="48">
        <f>IFERROR(__xludf.DUMMYFUNCTION("""COMPUTED_VALUE"""),32.0)</f>
        <v>32</v>
      </c>
      <c r="B22" s="19"/>
      <c r="C22" s="3"/>
      <c r="D22" s="26"/>
      <c r="E22" s="3"/>
      <c r="F22" s="3"/>
      <c r="G22" s="12"/>
      <c r="H22" s="12"/>
      <c r="I22" s="12"/>
      <c r="J22" s="12"/>
    </row>
    <row r="23">
      <c r="A23" s="48">
        <f>IFERROR(__xludf.DUMMYFUNCTION("""COMPUTED_VALUE"""),35.0)</f>
        <v>35</v>
      </c>
      <c r="B23" s="19" t="str">
        <f>IFERROR(__xludf.DUMMYFUNCTION("""COMPUTED_VALUE"""),"It was a pop up so I didn't consider it much at all.")</f>
        <v>It was a pop up so I didn't consider it much at all.</v>
      </c>
      <c r="C23" t="s">
        <v>188</v>
      </c>
      <c r="D23" s="3"/>
      <c r="E23" s="3"/>
      <c r="F23" s="12"/>
      <c r="G23" s="12"/>
      <c r="H23" s="12"/>
      <c r="I23" s="12"/>
      <c r="J23" s="12"/>
    </row>
    <row r="24">
      <c r="A24" s="48">
        <f>IFERROR(__xludf.DUMMYFUNCTION("""COMPUTED_VALUE"""),36.0)</f>
        <v>36</v>
      </c>
      <c r="B24" s="19" t="str">
        <f>IFERROR(__xludf.DUMMYFUNCTION("""COMPUTED_VALUE"""),"briefly considered security and privacy risks")</f>
        <v>briefly considered security and privacy risks</v>
      </c>
      <c r="C24" t="s">
        <v>65</v>
      </c>
      <c r="D24" t="s">
        <v>384</v>
      </c>
      <c r="E24" s="12"/>
      <c r="F24" s="12"/>
      <c r="G24" s="12"/>
      <c r="H24" s="12"/>
      <c r="I24" s="12"/>
      <c r="J24" s="12"/>
    </row>
    <row r="25">
      <c r="A25" s="48">
        <f>IFERROR(__xludf.DUMMYFUNCTION("""COMPUTED_VALUE"""),39.0)</f>
        <v>39</v>
      </c>
      <c r="B25" s="19"/>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t="str">
        <f>IFERROR(__xludf.DUMMYFUNCTION("""COMPUTED_VALUE"""),"I did not consider anything.")</f>
        <v>I did not consider anything.</v>
      </c>
      <c r="C27" t="s">
        <v>188</v>
      </c>
      <c r="D27" s="3"/>
      <c r="E27" s="12"/>
      <c r="F27" s="12"/>
      <c r="G27" s="12"/>
      <c r="H27" s="12"/>
      <c r="I27" s="12"/>
      <c r="J27" s="12"/>
    </row>
    <row r="28">
      <c r="A28" s="48">
        <f>IFERROR(__xludf.DUMMYFUNCTION("""COMPUTED_VALUE"""),46.0)</f>
        <v>46</v>
      </c>
      <c r="B28" s="19" t="str">
        <f>IFERROR(__xludf.DUMMYFUNCTION("""COMPUTED_VALUE"""),"Though I allowed the third part app to access information I was concerned about the security.")</f>
        <v>Though I allowed the third part app to access information I was concerned about the security.</v>
      </c>
      <c r="C28" t="s">
        <v>65</v>
      </c>
      <c r="D28" s="3"/>
      <c r="E28" s="26"/>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t="str">
        <f>IFERROR(__xludf.DUMMYFUNCTION("""COMPUTED_VALUE"""),"if the app would be safe")</f>
        <v>if the app would be safe</v>
      </c>
      <c r="C30" t="s">
        <v>1707</v>
      </c>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t="str">
        <f>IFERROR(__xludf.DUMMYFUNCTION("""COMPUTED_VALUE"""),"Security/privacy")</f>
        <v>Security/privacy</v>
      </c>
      <c r="C33" t="s">
        <v>65</v>
      </c>
      <c r="D33" t="s">
        <v>384</v>
      </c>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t="str">
        <f>IFERROR(__xludf.DUMMYFUNCTION("""COMPUTED_VALUE"""),"I made no considerations.")</f>
        <v>I made no considerations.</v>
      </c>
      <c r="C35" t="s">
        <v>188</v>
      </c>
      <c r="D35" s="12"/>
      <c r="E35" s="12"/>
      <c r="F35" s="12"/>
      <c r="G35" s="12"/>
      <c r="H35" s="12"/>
      <c r="I35" s="12"/>
      <c r="J35" s="12"/>
    </row>
    <row r="36">
      <c r="A36">
        <f>IFERROR(__xludf.DUMMYFUNCTION("""COMPUTED_VALUE"""),58.0)</f>
        <v>58</v>
      </c>
      <c r="B36" s="12" t="str">
        <f>IFERROR(__xludf.DUMMYFUNCTION("""COMPUTED_VALUE"""),"Images of CSI hoodie-wearing hackers with green code flashing by popped in my mind but then I chuckled and thought to myself that the gubbment is always watching already so what do I care. And since it's being offered on the Google app store, it's probabl"&amp;"y mostly safe...probably.")</f>
        <v>Images of CSI hoodie-wearing hackers with green code flashing by popped in my mind but then I chuckled and thought to myself that the gubbment is always watching already so what do I care. And since it's being offered on the Google app store, it's probably mostly safe...probably.</v>
      </c>
      <c r="C36" t="s">
        <v>1608</v>
      </c>
      <c r="D36" t="s">
        <v>1708</v>
      </c>
      <c r="E36" t="s">
        <v>1709</v>
      </c>
      <c r="G36" s="12"/>
      <c r="H36" s="12"/>
      <c r="I36" s="12"/>
      <c r="J36" s="12"/>
    </row>
    <row r="37">
      <c r="A37">
        <f>IFERROR(__xludf.DUMMYFUNCTION("""COMPUTED_VALUE"""),59.0)</f>
        <v>59</v>
      </c>
      <c r="B37" s="12" t="str">
        <f>IFERROR(__xludf.DUMMYFUNCTION("""COMPUTED_VALUE"""),"The convenience of transferring via google")</f>
        <v>The convenience of transferring via google</v>
      </c>
      <c r="C37" t="s">
        <v>1698</v>
      </c>
      <c r="D37" s="3"/>
      <c r="E37" s="3"/>
      <c r="F37" s="3"/>
      <c r="G37" s="3"/>
      <c r="H37" s="12"/>
      <c r="I37" s="12"/>
      <c r="J37" s="12"/>
    </row>
    <row r="38">
      <c r="A38">
        <f>IFERROR(__xludf.DUMMYFUNCTION("""COMPUTED_VALUE"""),60.0)</f>
        <v>60</v>
      </c>
      <c r="B38" s="12" t="str">
        <f>IFERROR(__xludf.DUMMYFUNCTION("""COMPUTED_VALUE"""),"information security")</f>
        <v>information security</v>
      </c>
      <c r="C38" t="s">
        <v>65</v>
      </c>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26"/>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t="str">
        <f>IFERROR(__xludf.DUMMYFUNCTION("""COMPUTED_VALUE"""),"Is this app trustworthy, and does it deserve the permissions it is requesting?")</f>
        <v>Is this app trustworthy, and does it deserve the permissions it is requesting?</v>
      </c>
      <c r="C46" t="s">
        <v>1701</v>
      </c>
      <c r="D46" t="s">
        <v>1702</v>
      </c>
      <c r="E46" t="s">
        <v>1703</v>
      </c>
      <c r="F46" t="s">
        <v>1720</v>
      </c>
      <c r="G46" s="12"/>
      <c r="H46" s="12"/>
      <c r="I46" s="12"/>
      <c r="J46" s="12"/>
    </row>
    <row r="47">
      <c r="A47">
        <f>IFERROR(__xludf.DUMMYFUNCTION("""COMPUTED_VALUE"""),73.0)</f>
        <v>73</v>
      </c>
      <c r="B47" s="12" t="str">
        <f>IFERROR(__xludf.DUMMYFUNCTION("""COMPUTED_VALUE"""),"Looking to see if there was another app that did not require those permissions")</f>
        <v>Looking to see if there was another app that did not require those permissions</v>
      </c>
      <c r="C47" t="s">
        <v>1703</v>
      </c>
      <c r="D47" t="s">
        <v>1710</v>
      </c>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t="str">
        <f>IFERROR(__xludf.DUMMYFUNCTION("""COMPUTED_VALUE"""),"whether or not I want that app or service to have that kind of access to my account information")</f>
        <v>whether or not I want that app or service to have that kind of access to my account information</v>
      </c>
      <c r="C49" t="s">
        <v>1711</v>
      </c>
      <c r="D49" t="s">
        <v>1712</v>
      </c>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t="str">
        <f>IFERROR(__xludf.DUMMYFUNCTION("""COMPUTED_VALUE"""),"How convenient it would be for me.")</f>
        <v>How convenient it would be for me.</v>
      </c>
      <c r="C59" t="s">
        <v>1698</v>
      </c>
      <c r="D59" s="3"/>
      <c r="E59" s="12"/>
      <c r="F59" s="12"/>
      <c r="G59" s="12"/>
      <c r="H59" s="12"/>
      <c r="I59" s="12"/>
      <c r="J59" s="12"/>
    </row>
    <row r="60">
      <c r="A60">
        <f>IFERROR(__xludf.DUMMYFUNCTION("""COMPUTED_VALUE"""),95.0)</f>
        <v>95</v>
      </c>
      <c r="B60" s="12" t="str">
        <f>IFERROR(__xludf.DUMMYFUNCTION("""COMPUTED_VALUE"""),"I had to decide if the roll of the die was alright for me.")</f>
        <v>I had to decide if the roll of the die was alright for me.</v>
      </c>
      <c r="C60" t="s">
        <v>1607</v>
      </c>
      <c r="D60" s="3"/>
      <c r="E60" s="3"/>
      <c r="F60" s="3"/>
      <c r="G60" s="3"/>
      <c r="H60" s="12"/>
      <c r="I60" s="12"/>
      <c r="J60" s="12"/>
    </row>
    <row r="61">
      <c r="A61">
        <f>IFERROR(__xludf.DUMMYFUNCTION("""COMPUTED_VALUE"""),97.0)</f>
        <v>97</v>
      </c>
      <c r="B61" s="12"/>
      <c r="C61" s="26"/>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t="str">
        <f>IFERROR(__xludf.DUMMYFUNCTION("""COMPUTED_VALUE"""),"could have connected a different way")</f>
        <v>could have connected a different way</v>
      </c>
      <c r="C63" t="s">
        <v>1620</v>
      </c>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t="str">
        <f>IFERROR(__xludf.DUMMYFUNCTION("""COMPUTED_VALUE"""),"I took into account my personal info.")</f>
        <v>I took into account my personal info.</v>
      </c>
      <c r="C66" t="s">
        <v>1696</v>
      </c>
      <c r="D66" s="3"/>
      <c r="F66" s="12"/>
      <c r="G66" s="12"/>
      <c r="H66" s="12"/>
      <c r="I66" s="12"/>
      <c r="J66" s="12"/>
    </row>
    <row r="67">
      <c r="A67">
        <f>IFERROR(__xludf.DUMMYFUNCTION("""COMPUTED_VALUE"""),104.0)</f>
        <v>104</v>
      </c>
      <c r="B67" s="12" t="str">
        <f>IFERROR(__xludf.DUMMYFUNCTION("""COMPUTED_VALUE"""),"That the website is reputable and it is safe to sign in using my google account.")</f>
        <v>That the website is reputable and it is safe to sign in using my google account.</v>
      </c>
      <c r="C67" t="s">
        <v>1701</v>
      </c>
      <c r="D67" t="s">
        <v>1713</v>
      </c>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t="str">
        <f>IFERROR(__xludf.DUMMYFUNCTION("""COMPUTED_VALUE"""),"I thought that it was important to keep up with my course schedule.")</f>
        <v>I thought that it was important to keep up with my course schedule.</v>
      </c>
      <c r="C70" t="s">
        <v>1714</v>
      </c>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t="str">
        <f>IFERROR(__xludf.DUMMYFUNCTION("""COMPUTED_VALUE"""),"Whether I really wanted them to have that info or not.")</f>
        <v>Whether I really wanted them to have that info or not.</v>
      </c>
      <c r="C72" t="s">
        <v>1711</v>
      </c>
      <c r="D72" t="s">
        <v>1712</v>
      </c>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t="str">
        <f>IFERROR(__xludf.DUMMYFUNCTION("""COMPUTED_VALUE"""),"I check the various options listed that gives various permission on my google account. I usually uncheck the ones dealing with contact info, pictures/media stuff.")</f>
        <v>I check the various options listed that gives various permission on my google account. I usually uncheck the ones dealing with contact info, pictures/media stuff.</v>
      </c>
      <c r="C76" t="s">
        <v>1703</v>
      </c>
      <c r="D76" t="s">
        <v>1715</v>
      </c>
      <c r="E76" t="s">
        <v>1716</v>
      </c>
      <c r="F76" s="12"/>
      <c r="G76" s="12"/>
      <c r="H76" s="12"/>
      <c r="I76" s="12"/>
      <c r="J76" s="12"/>
    </row>
    <row r="77">
      <c r="A77">
        <f>IFERROR(__xludf.DUMMYFUNCTION("""COMPUTED_VALUE"""),117.0)</f>
        <v>117</v>
      </c>
      <c r="B77" s="12" t="str">
        <f>IFERROR(__xludf.DUMMYFUNCTION("""COMPUTED_VALUE"""),"Is my debit card going to get stolen? What about my browsing history? which is worse?")</f>
        <v>Is my debit card going to get stolen? What about my browsing history? which is worse?</v>
      </c>
      <c r="C77" t="s">
        <v>65</v>
      </c>
      <c r="D77" t="s">
        <v>1717</v>
      </c>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t="str">
        <f>IFERROR(__xludf.DUMMYFUNCTION("""COMPUTED_VALUE"""),"I was concerned about security of my account and access to my personal information.")</f>
        <v>I was concerned about security of my account and access to my personal information.</v>
      </c>
      <c r="C79" t="s">
        <v>65</v>
      </c>
      <c r="D79" t="s">
        <v>1696</v>
      </c>
      <c r="E79" s="12"/>
      <c r="F79" s="12"/>
      <c r="G79" s="12"/>
      <c r="H79" s="12"/>
      <c r="I79" s="12"/>
      <c r="J79" s="12"/>
    </row>
    <row r="80">
      <c r="A80">
        <f>IFERROR(__xludf.DUMMYFUNCTION("""COMPUTED_VALUE"""),124.0)</f>
        <v>124</v>
      </c>
      <c r="B80" s="12" t="str">
        <f>IFERROR(__xludf.DUMMYFUNCTION("""COMPUTED_VALUE"""),"That is was easier")</f>
        <v>That is was easier</v>
      </c>
      <c r="C80" t="s">
        <v>1698</v>
      </c>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t="str">
        <f>IFERROR(__xludf.DUMMYFUNCTION("""COMPUTED_VALUE"""),"nothing")</f>
        <v>nothing</v>
      </c>
      <c r="C82" t="s">
        <v>188</v>
      </c>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t="str">
        <f>IFERROR(__xludf.DUMMYFUNCTION("""COMPUTED_VALUE"""),"I considered how relatively easy it would be")</f>
        <v>I considered how relatively easy it would be</v>
      </c>
      <c r="C85" t="s">
        <v>1698</v>
      </c>
      <c r="D85" s="3"/>
      <c r="E85" s="3"/>
      <c r="F85" s="12"/>
      <c r="G85" s="12"/>
      <c r="H85" s="12"/>
      <c r="I85" s="12"/>
      <c r="J85" s="12"/>
    </row>
    <row r="86">
      <c r="A86">
        <f>IFERROR(__xludf.DUMMYFUNCTION("""COMPUTED_VALUE"""),130.0)</f>
        <v>130</v>
      </c>
      <c r="B86" s="12" t="str">
        <f>IFERROR(__xludf.DUMMYFUNCTION("""COMPUTED_VALUE"""),"I considered whether or not I trusted the app I was giving access to my data/Google account.")</f>
        <v>I considered whether or not I trusted the app I was giving access to my data/Google account.</v>
      </c>
      <c r="C86" t="s">
        <v>1701</v>
      </c>
      <c r="D86" t="s">
        <v>1702</v>
      </c>
      <c r="E86" s="3"/>
      <c r="F86" s="3"/>
      <c r="G86" s="3"/>
      <c r="H86" s="12"/>
      <c r="I86" s="12"/>
      <c r="J86" s="12"/>
    </row>
    <row r="87">
      <c r="A87">
        <f>IFERROR(__xludf.DUMMYFUNCTION("""COMPUTED_VALUE"""),132.0)</f>
        <v>132</v>
      </c>
      <c r="B87" s="12" t="str">
        <f>IFERROR(__xludf.DUMMYFUNCTION("""COMPUTED_VALUE"""),"How long the company has been around and reputation.")</f>
        <v>How long the company has been around and reputation.</v>
      </c>
      <c r="C87" t="s">
        <v>1701</v>
      </c>
      <c r="D87" t="s">
        <v>1718</v>
      </c>
      <c r="E87" s="12"/>
      <c r="F87" s="12"/>
      <c r="G87" s="12"/>
      <c r="H87" s="12"/>
      <c r="I87" s="12"/>
      <c r="J87" s="12"/>
    </row>
    <row r="88">
      <c r="A88">
        <f>IFERROR(__xludf.DUMMYFUNCTION("""COMPUTED_VALUE"""),135.0)</f>
        <v>135</v>
      </c>
      <c r="B88" s="12" t="str">
        <f>IFERROR(__xludf.DUMMYFUNCTION("""COMPUTED_VALUE"""),"i considered the source its coming from")</f>
        <v>i considered the source its coming from</v>
      </c>
      <c r="C88" t="s">
        <v>1711</v>
      </c>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t="str">
        <f>IFERROR(__xludf.DUMMYFUNCTION("""COMPUTED_VALUE"""),"I wanted to be sure it wouldn't use any permissions I was uncomfortable with")</f>
        <v>I wanted to be sure it wouldn't use any permissions I was uncomfortable with</v>
      </c>
      <c r="C94" t="s">
        <v>1703</v>
      </c>
      <c r="D94" t="s">
        <v>1711</v>
      </c>
      <c r="E94" t="s">
        <v>1712</v>
      </c>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t="str">
        <f>IFERROR(__xludf.DUMMYFUNCTION("""COMPUTED_VALUE"""),"I look at the list of permissiosn to make sure nothing is out of order or spooky")</f>
        <v>I look at the list of permissiosn to make sure nothing is out of order or spooky</v>
      </c>
      <c r="C100" t="s">
        <v>1703</v>
      </c>
      <c r="D100" t="s">
        <v>1711</v>
      </c>
      <c r="E100" t="s">
        <v>1712</v>
      </c>
      <c r="F100" s="12"/>
      <c r="G100" s="12"/>
      <c r="H100" s="12"/>
      <c r="I100" s="12"/>
      <c r="J100" s="12"/>
    </row>
    <row r="101">
      <c r="A101">
        <f>IFERROR(__xludf.DUMMYFUNCTION("""COMPUTED_VALUE"""),152.0)</f>
        <v>152</v>
      </c>
      <c r="B101" s="12" t="str">
        <f>IFERROR(__xludf.DUMMYFUNCTION("""COMPUTED_VALUE"""),"In situations like these, I am thinking more critically towards privacy and what permissions I'm allowing the 3rd party to have")</f>
        <v>In situations like these, I am thinking more critically towards privacy and what permissions I'm allowing the 3rd party to have</v>
      </c>
      <c r="C101" t="s">
        <v>384</v>
      </c>
      <c r="D101" t="s">
        <v>1703</v>
      </c>
      <c r="E101" t="s">
        <v>1722</v>
      </c>
      <c r="F101" s="12"/>
      <c r="G101" s="12"/>
      <c r="H101" s="12"/>
      <c r="I101" s="12"/>
      <c r="J101" s="12"/>
    </row>
    <row r="102">
      <c r="A102">
        <f>IFERROR(__xludf.DUMMYFUNCTION("""COMPUTED_VALUE"""),154.0)</f>
        <v>154</v>
      </c>
      <c r="B102" s="12" t="str">
        <f>IFERROR(__xludf.DUMMYFUNCTION("""COMPUTED_VALUE"""),"The ease of having already connected my drive to the google account.")</f>
        <v>The ease of having already connected my drive to the google account.</v>
      </c>
      <c r="C102" t="s">
        <v>1598</v>
      </c>
      <c r="D102" t="s">
        <v>1719</v>
      </c>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t="str">
        <f>IFERROR(__xludf.DUMMYFUNCTION("""COMPUTED_VALUE"""),"If that third-party really needed access to that or not.")</f>
        <v>If that third-party really needed access to that or not.</v>
      </c>
      <c r="C106" t="s">
        <v>1703</v>
      </c>
      <c r="D106" t="s">
        <v>1720</v>
      </c>
      <c r="E106" s="12"/>
      <c r="F106" s="12"/>
      <c r="G106" s="12"/>
      <c r="H106" s="12"/>
      <c r="I106" s="12"/>
      <c r="J106" s="12"/>
    </row>
    <row r="107">
      <c r="A107">
        <f>IFERROR(__xludf.DUMMYFUNCTION("""COMPUTED_VALUE"""),159.0)</f>
        <v>159</v>
      </c>
      <c r="B107" s="12" t="str">
        <f>IFERROR(__xludf.DUMMYFUNCTION("""COMPUTED_VALUE"""),"I double-check what Google is accessing, but that's about it.")</f>
        <v>I double-check what Google is accessing, but that's about it.</v>
      </c>
      <c r="C107" t="s">
        <v>1703</v>
      </c>
      <c r="D107" t="s">
        <v>1721</v>
      </c>
      <c r="E107" s="3"/>
      <c r="F107" s="3"/>
      <c r="G107" s="12"/>
      <c r="H107" s="12"/>
      <c r="I107" s="12"/>
      <c r="J107" s="12"/>
    </row>
    <row r="108">
      <c r="A108">
        <f>IFERROR(__xludf.DUMMYFUNCTION("""COMPUTED_VALUE"""),160.0)</f>
        <v>160</v>
      </c>
      <c r="B108" s="12" t="str">
        <f>IFERROR(__xludf.DUMMYFUNCTION("""COMPUTED_VALUE"""),"Nothing I wished to use the app.")</f>
        <v>Nothing I wished to use the app.</v>
      </c>
      <c r="C108" s="3"/>
      <c r="D108" s="3"/>
      <c r="E108" s="3"/>
      <c r="F108" s="12"/>
      <c r="G108" s="12"/>
      <c r="H108" s="12"/>
      <c r="I108" s="12"/>
      <c r="J108" s="12"/>
    </row>
    <row r="109">
      <c r="A109">
        <f>IFERROR(__xludf.DUMMYFUNCTION("""COMPUTED_VALUE"""),162.0)</f>
        <v>162</v>
      </c>
      <c r="B109" s="12" t="str">
        <f>IFERROR(__xludf.DUMMYFUNCTION("""COMPUTED_VALUE"""),"If it was safe, did it appear secure and safe.")</f>
        <v>If it was safe, did it appear secure and safe.</v>
      </c>
      <c r="C109" s="3"/>
      <c r="D109" s="3"/>
      <c r="E109" s="12"/>
      <c r="F109" s="12"/>
      <c r="G109" s="12"/>
      <c r="H109" s="12"/>
      <c r="I109" s="12"/>
      <c r="J109" s="12"/>
    </row>
    <row r="110">
      <c r="A110">
        <f>IFERROR(__xludf.DUMMYFUNCTION("""COMPUTED_VALUE"""),163.0)</f>
        <v>163</v>
      </c>
      <c r="B110" s="12" t="str">
        <f>IFERROR(__xludf.DUMMYFUNCTION("""COMPUTED_VALUE"""),"I didn't really consider much. I just wanted to be able to edit my PDF and download it for free.")</f>
        <v>I didn't really consider much. I just wanted to be able to edit my PDF and download it for free.</v>
      </c>
      <c r="C110" s="3"/>
      <c r="D110" s="3"/>
      <c r="E110" s="3"/>
      <c r="F110" s="12"/>
      <c r="G110" s="12"/>
      <c r="H110" s="12"/>
      <c r="I110" s="12"/>
      <c r="J110" s="12"/>
    </row>
    <row r="111">
      <c r="A111">
        <f>IFERROR(__xludf.DUMMYFUNCTION("""COMPUTED_VALUE"""),164.0)</f>
        <v>164</v>
      </c>
      <c r="B111" s="12" t="str">
        <f>IFERROR(__xludf.DUMMYFUNCTION("""COMPUTED_VALUE"""),"That my information could be stolen.")</f>
        <v>That my information could be stolen.</v>
      </c>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t="str">
        <f>IFERROR(__xludf.DUMMYFUNCTION("""COMPUTED_VALUE"""),"whether this was needed")</f>
        <v>whether this was needed</v>
      </c>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t="str">
        <f>IFERROR(__xludf.DUMMYFUNCTION("""COMPUTED_VALUE"""),"I considered downloading a ZIP extractor on my desktop and unzipping the relevant folder, however it seemed much easier to just access it from Google Drive, as the folder was originally already online and I wanted to store the data in the cloud as well.")</f>
        <v>I considered downloading a ZIP extractor on my desktop and unzipping the relevant folder, however it seemed much easier to just access it from Google Drive, as the folder was originally already online and I wanted to store the data in the cloud as well.</v>
      </c>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t="str">
        <f>IFERROR(__xludf.DUMMYFUNCTION("""COMPUTED_VALUE"""),"What permissions were being granted and how much information I was conceding")</f>
        <v>What permissions were being granted and how much information I was conceding</v>
      </c>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t="str">
        <f>IFERROR(__xludf.DUMMYFUNCTION("""COMPUTED_VALUE"""),"I did think about the security features and if I would like Google to have access to other apps that contain personal information.")</f>
        <v>I did think about the security features and if I would like Google to have access to other apps that contain personal information.</v>
      </c>
      <c r="C127" s="3"/>
      <c r="D127" s="12"/>
      <c r="E127" s="12"/>
      <c r="F127" s="12"/>
      <c r="G127" s="12"/>
      <c r="H127" s="12"/>
      <c r="I127" s="12"/>
      <c r="J127" s="12"/>
    </row>
    <row r="128">
      <c r="A128">
        <f>IFERROR(__xludf.DUMMYFUNCTION("""COMPUTED_VALUE"""),188.0)</f>
        <v>188</v>
      </c>
      <c r="B128" s="12" t="str">
        <f>IFERROR(__xludf.DUMMYFUNCTION("""COMPUTED_VALUE"""),"I did not consider anything, as I thought it was completely safe.")</f>
        <v>I did not consider anything, as I thought it was completely safe.</v>
      </c>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t="str">
        <f>IFERROR(__xludf.DUMMYFUNCTION("""COMPUTED_VALUE"""),"Would it steal my info")</f>
        <v>Would it steal my info</v>
      </c>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t="str">
        <f>IFERROR(__xludf.DUMMYFUNCTION("""COMPUTED_VALUE"""),"if the app had the ability to modify other data on my account.")</f>
        <v>if the app had the ability to modify other data on my account.</v>
      </c>
      <c r="C132" s="3"/>
      <c r="D132" s="3"/>
      <c r="E132" s="12"/>
      <c r="F132" s="12"/>
      <c r="G132" s="12"/>
      <c r="H132" s="12"/>
      <c r="I132" s="12"/>
      <c r="J132" s="12"/>
    </row>
    <row r="133">
      <c r="A133">
        <f>IFERROR(__xludf.DUMMYFUNCTION("""COMPUTED_VALUE"""),195.0)</f>
        <v>195</v>
      </c>
      <c r="B133" s="12" t="str">
        <f>IFERROR(__xludf.DUMMYFUNCTION("""COMPUTED_VALUE"""),"whether or not it had access to other personal data")</f>
        <v>whether or not it had access to other personal data</v>
      </c>
      <c r="C133" s="3"/>
      <c r="D133" s="3"/>
      <c r="E133" s="12"/>
      <c r="F133" s="12"/>
      <c r="G133" s="12"/>
      <c r="H133" s="12"/>
      <c r="I133" s="12"/>
      <c r="J133" s="12"/>
    </row>
    <row r="134">
      <c r="A134">
        <f>IFERROR(__xludf.DUMMYFUNCTION("""COMPUTED_VALUE"""),198.0)</f>
        <v>198</v>
      </c>
      <c r="B134" s="12" t="str">
        <f>IFERROR(__xludf.DUMMYFUNCTION("""COMPUTED_VALUE"""),"if i should have logged in with facebook instead")</f>
        <v>if i should have logged in with facebook instead</v>
      </c>
      <c r="C134" s="3"/>
      <c r="D134" s="3"/>
      <c r="E134" s="3"/>
      <c r="F134" s="12"/>
      <c r="G134" s="12"/>
      <c r="H134" s="12"/>
      <c r="I134" s="12"/>
      <c r="J134" s="12"/>
    </row>
    <row r="135">
      <c r="A135">
        <f>IFERROR(__xludf.DUMMYFUNCTION("""COMPUTED_VALUE"""),199.0)</f>
        <v>199</v>
      </c>
      <c r="B135" s="12" t="str">
        <f>IFERROR(__xludf.DUMMYFUNCTION("""COMPUTED_VALUE"""),"Using another app")</f>
        <v>Using another app</v>
      </c>
      <c r="C135" s="3"/>
      <c r="D135" s="3"/>
      <c r="E135" s="12"/>
      <c r="F135" s="12"/>
      <c r="G135" s="12"/>
      <c r="H135" s="12"/>
      <c r="I135" s="12"/>
      <c r="J135" s="12"/>
    </row>
    <row r="136">
      <c r="A136">
        <f>IFERROR(__xludf.DUMMYFUNCTION("""COMPUTED_VALUE"""),200.0)</f>
        <v>200</v>
      </c>
      <c r="B136" s="12" t="str">
        <f>IFERROR(__xludf.DUMMYFUNCTION("""COMPUTED_VALUE"""),"Making sure that I knew what I was agreeing to")</f>
        <v>Making sure that I knew what I was agreeing to</v>
      </c>
      <c r="C136" s="3"/>
      <c r="D136" s="3"/>
      <c r="E136" s="3"/>
      <c r="F136" s="12"/>
      <c r="G136" s="12"/>
      <c r="H136" s="12"/>
      <c r="I136" s="12"/>
      <c r="J136" s="12"/>
    </row>
    <row r="137">
      <c r="A137">
        <f>IFERROR(__xludf.DUMMYFUNCTION("""COMPUTED_VALUE"""),201.0)</f>
        <v>201</v>
      </c>
      <c r="B137" s="12" t="str">
        <f>IFERROR(__xludf.DUMMYFUNCTION("""COMPUTED_VALUE"""),"How to expedite the sign on process.")</f>
        <v>How to expedite the sign on process.</v>
      </c>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t="str">
        <f>IFERROR(__xludf.DUMMYFUNCTION("""COMPUTED_VALUE"""),"Privacy and if the app uses anything for marketing data.")</f>
        <v>Privacy and if the app uses anything for marketing data.</v>
      </c>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t="str">
        <f>IFERROR(__xludf.DUMMYFUNCTION("""COMPUTED_VALUE"""),"if my data could be leaked")</f>
        <v>if my data could be leaked</v>
      </c>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t="str">
        <f>IFERROR(__xludf.DUMMYFUNCTION("""COMPUTED_VALUE"""),"I wasn't happy that I had to agree to that loss of privacy, but I really wanted to use the app in that moment and understood I was consenting to losing the privacy.")</f>
        <v>I wasn't happy that I had to agree to that loss of privacy, but I really wanted to use the app in that moment and understood I was consenting to losing the privacy.</v>
      </c>
      <c r="C143" s="3"/>
      <c r="D143" s="3"/>
      <c r="E143" s="3"/>
      <c r="F143" s="12"/>
      <c r="G143" s="12"/>
      <c r="H143" s="12"/>
      <c r="I143" s="12"/>
      <c r="J143" s="12"/>
    </row>
    <row r="144">
      <c r="A144">
        <f>IFERROR(__xludf.DUMMYFUNCTION("""COMPUTED_VALUE"""),210.0)</f>
        <v>210</v>
      </c>
      <c r="B144" s="12" t="str">
        <f>IFERROR(__xludf.DUMMYFUNCTION("""COMPUTED_VALUE"""),"I considered whether it was safe, whether or not the service was important for me.")</f>
        <v>I considered whether it was safe, whether or not the service was important for me.</v>
      </c>
      <c r="C144" s="3"/>
      <c r="D144" s="3"/>
      <c r="E144" s="3"/>
      <c r="F144" s="3"/>
      <c r="G144" s="3"/>
      <c r="H144" s="12"/>
      <c r="I144" s="12"/>
      <c r="J144" s="12"/>
    </row>
    <row r="145">
      <c r="A145">
        <f>IFERROR(__xludf.DUMMYFUNCTION("""COMPUTED_VALUE"""),212.0)</f>
        <v>212</v>
      </c>
      <c r="B145" s="12" t="str">
        <f>IFERROR(__xludf.DUMMYFUNCTION("""COMPUTED_VALUE"""),"Nothing")</f>
        <v>Nothing</v>
      </c>
      <c r="C145" s="3"/>
      <c r="D145" s="3"/>
      <c r="E145" s="3"/>
      <c r="F145" s="12"/>
      <c r="G145" s="12"/>
      <c r="H145" s="12"/>
      <c r="I145" s="12"/>
      <c r="J145" s="12"/>
    </row>
    <row r="146">
      <c r="A146">
        <f>IFERROR(__xludf.DUMMYFUNCTION("""COMPUTED_VALUE"""),213.0)</f>
        <v>213</v>
      </c>
      <c r="B146" s="12" t="str">
        <f>IFERROR(__xludf.DUMMYFUNCTION("""COMPUTED_VALUE"""),"How easily the service could be hacked and if my information were to be compromised.")</f>
        <v>How easily the service could be hacked and if my information were to be compromised.</v>
      </c>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t="str">
        <f>IFERROR(__xludf.DUMMYFUNCTION("""COMPUTED_VALUE"""),"The benefits of the third-party app balanced with the potential loss-of-privacy that is inherent to giving a third-party app access to my account")</f>
        <v>The benefits of the third-party app balanced with the potential loss-of-privacy that is inherent to giving a third-party app access to my account</v>
      </c>
      <c r="C151" s="3"/>
      <c r="D151" s="3"/>
      <c r="E151" s="3"/>
      <c r="F151" s="3"/>
      <c r="H151" s="12"/>
      <c r="I151" s="12"/>
      <c r="J151" s="12"/>
    </row>
    <row r="152">
      <c r="A152">
        <f>IFERROR(__xludf.DUMMYFUNCTION("""COMPUTED_VALUE"""),221.0)</f>
        <v>221</v>
      </c>
      <c r="B152" s="12" t="str">
        <f>IFERROR(__xludf.DUMMYFUNCTION("""COMPUTED_VALUE"""),"How much money it would make me and security questions as well.")</f>
        <v>How much money it would make me and security questions as well.</v>
      </c>
      <c r="C152" s="3"/>
      <c r="D152" s="3"/>
      <c r="E152" s="12"/>
      <c r="F152" s="12"/>
      <c r="H152" s="12"/>
      <c r="I152" s="12"/>
      <c r="J152" s="12"/>
    </row>
    <row r="153">
      <c r="A153">
        <f>IFERROR(__xludf.DUMMYFUNCTION("""COMPUTED_VALUE"""),222.0)</f>
        <v>222</v>
      </c>
      <c r="B153" s="12" t="str">
        <f>IFERROR(__xludf.DUMMYFUNCTION("""COMPUTED_VALUE"""),"Do I want my account associated with this?")</f>
        <v>Do I want my account associated with this?</v>
      </c>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t="str">
        <f>IFERROR(__xludf.DUMMYFUNCTION("""COMPUTED_VALUE"""),"Saftey")</f>
        <v>Saftey</v>
      </c>
      <c r="C156" s="12"/>
      <c r="D156" s="12"/>
      <c r="E156" s="12"/>
      <c r="F156" s="12"/>
      <c r="G156" s="12"/>
      <c r="H156" s="12"/>
      <c r="I156" s="12"/>
      <c r="J156" s="12"/>
    </row>
    <row r="157">
      <c r="A157">
        <f>IFERROR(__xludf.DUMMYFUNCTION("""COMPUTED_VALUE"""),228.0)</f>
        <v>228</v>
      </c>
      <c r="B157" s="12" t="str">
        <f>IFERROR(__xludf.DUMMYFUNCTION("""COMPUTED_VALUE"""),"I wasn't sure if the app should have gained so much information about me.")</f>
        <v>I wasn't sure if the app should have gained so much information about me.</v>
      </c>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t="str">
        <f>IFERROR(__xludf.DUMMYFUNCTION("""COMPUTED_VALUE"""),"whether it was secure and could i trust it.")</f>
        <v>whether it was secure and could i trust it.</v>
      </c>
      <c r="C159" s="12"/>
      <c r="D159" s="12"/>
      <c r="E159" s="12"/>
      <c r="F159" s="12"/>
      <c r="G159" s="12"/>
      <c r="H159" s="12"/>
      <c r="I159" s="12"/>
      <c r="J159" s="12"/>
    </row>
    <row r="160">
      <c r="A160">
        <f>IFERROR(__xludf.DUMMYFUNCTION("""COMPUTED_VALUE"""),233.0)</f>
        <v>233</v>
      </c>
      <c r="B160" s="12" t="str">
        <f>IFERROR(__xludf.DUMMYFUNCTION("""COMPUTED_VALUE"""),"Nothing! Like before, I generally trust anything that leads to that google SSO page.")</f>
        <v>Nothing! Like before, I generally trust anything that leads to that google SSO page.</v>
      </c>
      <c r="C160" s="12"/>
      <c r="D160" s="12"/>
      <c r="E160" s="12"/>
      <c r="F160" s="12"/>
      <c r="G160" s="12"/>
      <c r="H160" s="12"/>
      <c r="I160" s="12"/>
      <c r="J160" s="12"/>
    </row>
    <row r="161">
      <c r="A161">
        <f>IFERROR(__xludf.DUMMYFUNCTION("""COMPUTED_VALUE"""),234.0)</f>
        <v>234</v>
      </c>
      <c r="B161" s="12" t="str">
        <f>IFERROR(__xludf.DUMMYFUNCTION("""COMPUTED_VALUE"""),"Again, I really was focused on website reliability. Even more so than for single sign-in. When it comes to access, I really want to make sure I know who I am giving the rights to and why they need it. If they're asking for more than seems reasonably neces"&amp;"sary, I'll just go somewhere else.")</f>
        <v>Again, I really was focused on website reliability. Even more so than for single sign-in. When it comes to access, I really want to make sure I know who I am giving the rights to and why they need it. If they're asking for more than seems reasonably necessary, I'll just go somewhere else.</v>
      </c>
      <c r="C161" s="12"/>
      <c r="D161" s="12"/>
      <c r="E161" s="12"/>
      <c r="F161" s="12"/>
      <c r="G161" s="12"/>
      <c r="H161" s="12"/>
      <c r="I161" s="12"/>
      <c r="J161" s="12"/>
    </row>
    <row r="162">
      <c r="A162">
        <f>IFERROR(__xludf.DUMMYFUNCTION("""COMPUTED_VALUE"""),235.0)</f>
        <v>235</v>
      </c>
      <c r="B162" s="12" t="str">
        <f>IFERROR(__xludf.DUMMYFUNCTION("""COMPUTED_VALUE"""),"privacy concerns")</f>
        <v>privacy concerns</v>
      </c>
      <c r="C162" s="12"/>
      <c r="D162" s="12"/>
      <c r="E162" s="12"/>
      <c r="F162" s="12"/>
      <c r="G162" s="12"/>
      <c r="H162" s="12"/>
      <c r="I162" s="12"/>
      <c r="J162" s="12"/>
    </row>
    <row r="163">
      <c r="A163">
        <f>IFERROR(__xludf.DUMMYFUNCTION("""COMPUTED_VALUE"""),236.0)</f>
        <v>236</v>
      </c>
      <c r="B163" s="12" t="str">
        <f>IFERROR(__xludf.DUMMYFUNCTION("""COMPUTED_VALUE"""),"Same as with the others, I don't allow it unless it's a well-known, trusted sight.")</f>
        <v>Same as with the others, I don't allow it unless it's a well-known, trusted sight.</v>
      </c>
      <c r="C163" s="12"/>
      <c r="D163" s="12"/>
      <c r="E163" s="12"/>
      <c r="F163" s="12"/>
      <c r="G163" s="12"/>
      <c r="H163" s="12"/>
      <c r="I163" s="12"/>
      <c r="J163" s="12"/>
    </row>
    <row r="164">
      <c r="A164">
        <f>IFERROR(__xludf.DUMMYFUNCTION("""COMPUTED_VALUE"""),237.0)</f>
        <v>237</v>
      </c>
      <c r="B164" s="12" t="str">
        <f>IFERROR(__xludf.DUMMYFUNCTION("""COMPUTED_VALUE"""),"I was a little concerned my data could be leaked, but ultimately still granted third-party access")</f>
        <v>I was a little concerned my data could be leaked, but ultimately still granted third-party access</v>
      </c>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t="str">
        <f>IFERROR(__xludf.DUMMYFUNCTION("""COMPUTED_VALUE"""),"If I can find a 1st party app that can do what I need first.")</f>
        <v>If I can find a 1st party app that can do what I need first.</v>
      </c>
      <c r="C166" s="12"/>
      <c r="D166" s="12"/>
      <c r="E166" s="12"/>
      <c r="F166" s="12"/>
      <c r="G166" s="12"/>
      <c r="H166" s="12"/>
      <c r="I166" s="12"/>
      <c r="J166" s="12"/>
    </row>
    <row r="167">
      <c r="A167">
        <f>IFERROR(__xludf.DUMMYFUNCTION("""COMPUTED_VALUE"""),241.0)</f>
        <v>241</v>
      </c>
      <c r="B167" s="12" t="str">
        <f>IFERROR(__xludf.DUMMYFUNCTION("""COMPUTED_VALUE"""),"doing it from scratch")</f>
        <v>doing it from scratch</v>
      </c>
      <c r="C167" s="12"/>
      <c r="D167" s="12"/>
      <c r="E167" s="12"/>
      <c r="F167" s="12"/>
      <c r="G167" s="12"/>
      <c r="H167" s="12"/>
      <c r="I167" s="12"/>
      <c r="J167" s="12"/>
    </row>
    <row r="168">
      <c r="A168">
        <f>IFERROR(__xludf.DUMMYFUNCTION("""COMPUTED_VALUE"""),242.0)</f>
        <v>242</v>
      </c>
      <c r="B168" s="12" t="str">
        <f>IFERROR(__xludf.DUMMYFUNCTION("""COMPUTED_VALUE"""),"If my information was safe")</f>
        <v>If my information was safe</v>
      </c>
      <c r="C168" s="12"/>
      <c r="D168" s="12"/>
      <c r="E168" s="12"/>
      <c r="F168" s="12"/>
      <c r="G168" s="12"/>
      <c r="H168" s="12"/>
      <c r="I168" s="12"/>
      <c r="J168" s="12"/>
    </row>
    <row r="169">
      <c r="A169">
        <f>IFERROR(__xludf.DUMMYFUNCTION("""COMPUTED_VALUE"""),245.0)</f>
        <v>245</v>
      </c>
      <c r="B169" s="12" t="str">
        <f>IFERROR(__xludf.DUMMYFUNCTION("""COMPUTED_VALUE"""),"I considered if the app really needed all of the permissions it requested.")</f>
        <v>I considered if the app really needed all of the permissions it requested.</v>
      </c>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t="str">
        <f>IFERROR(__xludf.DUMMYFUNCTION("""COMPUTED_VALUE"""),"if it would actually be helpful or not")</f>
        <v>if it would actually be helpful or not</v>
      </c>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t="str">
        <f>IFERROR(__xludf.DUMMYFUNCTION("""COMPUTED_VALUE"""),"if I felt okay with it having access")</f>
        <v>if I felt okay with it having access</v>
      </c>
      <c r="C179" s="12"/>
      <c r="D179" s="12"/>
      <c r="E179" s="12"/>
      <c r="F179" s="12"/>
      <c r="G179" s="12"/>
      <c r="H179" s="12"/>
      <c r="I179" s="12"/>
      <c r="J179" s="12"/>
    </row>
    <row r="180">
      <c r="A180">
        <f>IFERROR(__xludf.DUMMYFUNCTION("""COMPUTED_VALUE"""),259.0)</f>
        <v>259</v>
      </c>
      <c r="B180" s="12" t="str">
        <f>IFERROR(__xludf.DUMMYFUNCTION("""COMPUTED_VALUE"""),"I really didn't consider anything else. I knew I had to connect my Zoom account with my Google Account.")</f>
        <v>I really didn't consider anything else. I knew I had to connect my Zoom account with my Google Account.</v>
      </c>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t="str">
        <f>IFERROR(__xludf.DUMMYFUNCTION("""COMPUTED_VALUE"""),"If I would notice it more on the google calendar or the calendar on my phone.")</f>
        <v>If I would notice it more on the google calendar or the calendar on my phone.</v>
      </c>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t="str">
        <f>IFERROR(__xludf.DUMMYFUNCTION("""COMPUTED_VALUE"""),"i usually dont care when it asks i just say yes")</f>
        <v>i usually dont care when it asks i just say yes</v>
      </c>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t="str">
        <f>IFERROR(__xludf.DUMMYFUNCTION("""COMPUTED_VALUE"""),"I didnt, since it was a part of android i just let it")</f>
        <v>I didnt, since it was a part of android i just let it</v>
      </c>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t="str">
        <f>IFERROR(__xludf.DUMMYFUNCTION("""COMPUTED_VALUE"""),"I didn't consider anything.")</f>
        <v>I didn't consider anything.</v>
      </c>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t="str">
        <f>IFERROR(__xludf.DUMMYFUNCTION("""COMPUTED_VALUE"""),"Nothing")</f>
        <v>Nothing</v>
      </c>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t="str">
        <f>IFERROR(__xludf.DUMMYFUNCTION("""COMPUTED_VALUE"""),"If this info was necessary for the app to have")</f>
        <v>If this info was necessary for the app to have</v>
      </c>
      <c r="C194" s="12"/>
      <c r="D194" s="12"/>
      <c r="E194" s="12"/>
      <c r="F194" s="12"/>
      <c r="G194" s="12"/>
      <c r="H194" s="12"/>
      <c r="I194" s="12"/>
      <c r="J194" s="12"/>
    </row>
    <row r="195">
      <c r="A195">
        <f>IFERROR(__xludf.DUMMYFUNCTION("""COMPUTED_VALUE"""),279.0)</f>
        <v>279</v>
      </c>
      <c r="B195" s="12" t="str">
        <f>IFERROR(__xludf.DUMMYFUNCTION("""COMPUTED_VALUE"""),"Privacy and data sharing")</f>
        <v>Privacy and data sharing</v>
      </c>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t="str">
        <f>IFERROR(__xludf.DUMMYFUNCTION("""COMPUTED_VALUE"""),"Whether I wanted to let the site gain access to my email account")</f>
        <v>Whether I wanted to let the site gain access to my email account</v>
      </c>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t="str">
        <f>IFERROR(__xludf.DUMMYFUNCTION("""COMPUTED_VALUE"""),"My privacy and payment info")</f>
        <v>My privacy and payment info</v>
      </c>
      <c r="C200" s="12"/>
      <c r="D200" s="12"/>
      <c r="E200" s="12"/>
      <c r="F200" s="12"/>
      <c r="G200" s="12"/>
      <c r="H200" s="12"/>
      <c r="I200" s="12"/>
      <c r="J200" s="12"/>
    </row>
    <row r="201">
      <c r="A201">
        <f>IFERROR(__xludf.DUMMYFUNCTION("""COMPUTED_VALUE"""),292.0)</f>
        <v>292</v>
      </c>
      <c r="B201" s="12" t="str">
        <f>IFERROR(__xludf.DUMMYFUNCTION("""COMPUTED_VALUE"""),"How easy it was to revoke access")</f>
        <v>How easy it was to revoke access</v>
      </c>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t="str">
        <f>IFERROR(__xludf.DUMMYFUNCTION("""COMPUTED_VALUE"""),"I typically just allow access without thinking about it, to be honest.")</f>
        <v>I typically just allow access without thinking about it, to be honest.</v>
      </c>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t="str">
        <f>IFERROR(__xludf.DUMMYFUNCTION("""COMPUTED_VALUE"""),"Amount of spam I may receive. Convenience of registration.")</f>
        <v>Amount of spam I may receive. Convenience of registration.</v>
      </c>
      <c r="C206" s="12"/>
      <c r="D206" s="12"/>
      <c r="E206" s="12"/>
      <c r="F206" s="12"/>
      <c r="G206" s="12"/>
      <c r="H206" s="12"/>
      <c r="I206" s="12"/>
      <c r="J206" s="12"/>
    </row>
    <row r="207">
      <c r="A207">
        <f>IFERROR(__xludf.DUMMYFUNCTION("""COMPUTED_VALUE"""),300.0)</f>
        <v>300</v>
      </c>
      <c r="B207" s="12" t="str">
        <f>IFERROR(__xludf.DUMMYFUNCTION("""COMPUTED_VALUE"""),"I guess just making sure they weren't getting any personal information")</f>
        <v>I guess just making sure they weren't getting any personal information</v>
      </c>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t="str">
        <f>IFERROR(__xludf.DUMMYFUNCTION("""COMPUTED_VALUE"""),"I mostly just considered how convenient it would be to just grant access.")</f>
        <v>I mostly just considered how convenient it would be to just grant access.</v>
      </c>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t="str">
        <f>IFERROR(__xludf.DUMMYFUNCTION("""COMPUTED_VALUE"""),"Account was made with the Google sign-in, so the account is linked to in.")</f>
        <v>Account was made with the Google sign-in, so the account is linked to in.</v>
      </c>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t="str">
        <f>IFERROR(__xludf.DUMMYFUNCTION("""COMPUTED_VALUE"""),"Whether the website was secure")</f>
        <v>Whether the website was secure</v>
      </c>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t="str">
        <f>IFERROR(__xludf.DUMMYFUNCTION("""COMPUTED_VALUE"""),"Is it safe to let this app take my information?")</f>
        <v>Is it safe to let this app take my information?</v>
      </c>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t="str">
        <f>IFERROR(__xludf.DUMMYFUNCTION("""COMPUTED_VALUE"""),"How much information and what kind of information it was recieving")</f>
        <v>How much information and what kind of information it was recieving</v>
      </c>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t="str">
        <f>IFERROR(__xludf.DUMMYFUNCTION("""COMPUTED_VALUE"""),"I reviewed the permissions to make sure it made sense and did not ask for any sensors or information on the device it shouldn't need.")</f>
        <v>I reviewed the permissions to make sure it made sense and did not ask for any sensors or information on the device it shouldn't need.</v>
      </c>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t="str">
        <f>IFERROR(__xludf.DUMMYFUNCTION("""COMPUTED_VALUE"""),"Do I really want to do this was really the main thing I thought about. Did I really want to share my information with the site, otherwise I couldn't view any more places.")</f>
        <v>Do I really want to do this was really the main thing I thought about. Did I really want to share my information with the site, otherwise I couldn't view any more places.</v>
      </c>
      <c r="C223" s="12"/>
      <c r="D223" s="12"/>
      <c r="E223" s="12"/>
      <c r="F223" s="12"/>
      <c r="G223" s="12"/>
      <c r="H223" s="12"/>
      <c r="I223" s="12"/>
      <c r="J223" s="12"/>
    </row>
    <row r="224">
      <c r="A224">
        <f>IFERROR(__xludf.DUMMYFUNCTION("""COMPUTED_VALUE"""),319.0)</f>
        <v>319</v>
      </c>
      <c r="B224" s="12" t="str">
        <f>IFERROR(__xludf.DUMMYFUNCTION("""COMPUTED_VALUE"""),"Mostly privacy concerns and worried about leaks.")</f>
        <v>Mostly privacy concerns and worried about leaks.</v>
      </c>
      <c r="C224" s="12"/>
      <c r="D224" s="12"/>
      <c r="E224" s="12"/>
      <c r="F224" s="12"/>
      <c r="G224" s="12"/>
      <c r="H224" s="12"/>
      <c r="I224" s="12"/>
      <c r="J224" s="12"/>
    </row>
    <row r="225">
      <c r="A225">
        <f>IFERROR(__xludf.DUMMYFUNCTION("""COMPUTED_VALUE"""),321.0)</f>
        <v>321</v>
      </c>
      <c r="B225" s="12" t="str">
        <f>IFERROR(__xludf.DUMMYFUNCTION("""COMPUTED_VALUE"""),"Nothing")</f>
        <v>Nothing</v>
      </c>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t="str">
        <f>IFERROR(__xludf.DUMMYFUNCTION("""COMPUTED_VALUE"""),"I was mostly interested in what the app wanted access to. My recollection was that it wasn't anything that caused me any serious concern.")</f>
        <v>I was mostly interested in what the app wanted access to. My recollection was that it wasn't anything that caused me any serious concern.</v>
      </c>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t="str">
        <f>IFERROR(__xludf.DUMMYFUNCTION("""COMPUTED_VALUE"""),"I considered if it might be harmful to grant access to certain parts of my Google Account that didn't seem necessary to me.")</f>
        <v>I considered if it might be harmful to grant access to certain parts of my Google Account that didn't seem necessary to me.</v>
      </c>
      <c r="C230" s="12"/>
      <c r="D230" s="12"/>
      <c r="E230" s="12"/>
      <c r="F230" s="12"/>
      <c r="G230" s="12"/>
      <c r="H230" s="12"/>
      <c r="I230" s="12"/>
      <c r="J230" s="12"/>
    </row>
    <row r="231">
      <c r="A231">
        <f>IFERROR(__xludf.DUMMYFUNCTION("""COMPUTED_VALUE"""),328.0)</f>
        <v>328</v>
      </c>
      <c r="B231" s="12" t="str">
        <f>IFERROR(__xludf.DUMMYFUNCTION("""COMPUTED_VALUE"""),"I didn't consider much, but I would consider how many permissions it was requesting access to just in case they try to get more than they need.")</f>
        <v>I didn't consider much, but I would consider how many permissions it was requesting access to just in case they try to get more than they need.</v>
      </c>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t="str">
        <f>IFERROR(__xludf.DUMMYFUNCTION("""COMPUTED_VALUE"""),"I considered whether I needed Google to make changes to my account for me or whether I wanted to do it on my own")</f>
        <v>I considered whether I needed Google to make changes to my account for me or whether I wanted to do it on my own</v>
      </c>
      <c r="C236" s="12"/>
      <c r="D236" s="12"/>
      <c r="E236" s="12"/>
      <c r="F236" s="12"/>
      <c r="G236" s="12"/>
      <c r="H236" s="12"/>
      <c r="I236" s="12"/>
      <c r="J236" s="12"/>
    </row>
    <row r="237">
      <c r="A237">
        <f>IFERROR(__xludf.DUMMYFUNCTION("""COMPUTED_VALUE"""),335.0)</f>
        <v>335</v>
      </c>
      <c r="B237" s="12" t="str">
        <f>IFERROR(__xludf.DUMMYFUNCTION("""COMPUTED_VALUE"""),"Should I give them this data versus the ease of it knowing where I am")</f>
        <v>Should I give them this data versus the ease of it knowing where I am</v>
      </c>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t="str">
        <f>IFERROR(__xludf.DUMMYFUNCTION("""COMPUTED_VALUE"""),"How much information they would be able to access on my phone and make changes to.")</f>
        <v>How much information they would be able to access on my phone and make changes to.</v>
      </c>
      <c r="C240" s="12"/>
      <c r="D240" s="12"/>
      <c r="E240" s="12"/>
      <c r="F240" s="12"/>
      <c r="G240" s="12"/>
      <c r="H240" s="12"/>
      <c r="I240" s="12"/>
      <c r="J240" s="12"/>
    </row>
    <row r="241">
      <c r="A241">
        <f>IFERROR(__xludf.DUMMYFUNCTION("""COMPUTED_VALUE"""),339.0)</f>
        <v>339</v>
      </c>
      <c r="B241" s="12" t="str">
        <f>IFERROR(__xludf.DUMMYFUNCTION("""COMPUTED_VALUE"""),"I considered if they were going to steal my data")</f>
        <v>I considered if they were going to steal my data</v>
      </c>
      <c r="C241" s="12"/>
      <c r="D241" s="12"/>
      <c r="E241" s="12"/>
      <c r="F241" s="12"/>
      <c r="G241" s="12"/>
      <c r="H241" s="12"/>
      <c r="I241" s="12"/>
      <c r="J241" s="12"/>
    </row>
    <row r="242">
      <c r="A242">
        <f>IFERROR(__xludf.DUMMYFUNCTION("""COMPUTED_VALUE"""),340.0)</f>
        <v>340</v>
      </c>
      <c r="B242" s="12" t="str">
        <f>IFERROR(__xludf.DUMMYFUNCTION("""COMPUTED_VALUE"""),"What pieces of information I was giving to the app")</f>
        <v>What pieces of information I was giving to the app</v>
      </c>
      <c r="C242" s="12"/>
      <c r="D242" s="12"/>
      <c r="E242" s="12"/>
      <c r="F242" s="12"/>
      <c r="G242" s="12"/>
      <c r="H242" s="12"/>
      <c r="I242" s="12"/>
      <c r="J242" s="12"/>
    </row>
    <row r="243">
      <c r="A243">
        <f>IFERROR(__xludf.DUMMYFUNCTION("""COMPUTED_VALUE"""),341.0)</f>
        <v>341</v>
      </c>
      <c r="B243" s="12" t="str">
        <f>IFERROR(__xludf.DUMMYFUNCTION("""COMPUTED_VALUE"""),"Nothing. It was all okay.")</f>
        <v>Nothing. It was all okay.</v>
      </c>
      <c r="C243" s="12"/>
      <c r="D243" s="12"/>
      <c r="E243" s="12"/>
      <c r="F243" s="12"/>
      <c r="G243" s="12"/>
      <c r="H243" s="12"/>
      <c r="I243" s="12"/>
      <c r="J243" s="12"/>
    </row>
    <row r="244">
      <c r="A244">
        <f>IFERROR(__xludf.DUMMYFUNCTION("""COMPUTED_VALUE"""),342.0)</f>
        <v>342</v>
      </c>
      <c r="B244" s="12" t="str">
        <f>IFERROR(__xludf.DUMMYFUNCTION("""COMPUTED_VALUE"""),"nothing")</f>
        <v>nothing</v>
      </c>
      <c r="C244" s="12"/>
      <c r="D244" s="12"/>
      <c r="E244" s="12"/>
      <c r="F244" s="12"/>
      <c r="G244" s="12"/>
      <c r="H244" s="12"/>
      <c r="I244" s="12"/>
      <c r="J244" s="12"/>
    </row>
    <row r="245">
      <c r="A245">
        <f>IFERROR(__xludf.DUMMYFUNCTION("""COMPUTED_VALUE"""),345.0)</f>
        <v>345</v>
      </c>
      <c r="B245" s="12" t="str">
        <f>IFERROR(__xludf.DUMMYFUNCTION("""COMPUTED_VALUE"""),"I was wondering if Google enforced certain guidelines.")</f>
        <v>I was wondering if Google enforced certain guidelines.</v>
      </c>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t="str">
        <f>IFERROR(__xludf.DUMMYFUNCTION("""COMPUTED_VALUE"""),"My privacy of course, but I felt that it was trustworthy enough and went for it.")</f>
        <v>My privacy of course, but I felt that it was trustworthy enough and went for it.</v>
      </c>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t="str">
        <f>IFERROR(__xludf.DUMMYFUNCTION("""COMPUTED_VALUE"""),"What the weather was going to be like that weekend.")</f>
        <v>What the weather was going to be like that weekend.</v>
      </c>
      <c r="C249" s="12"/>
      <c r="D249" s="12"/>
      <c r="E249" s="12"/>
      <c r="F249" s="12"/>
      <c r="G249" s="12"/>
      <c r="H249" s="12"/>
      <c r="I249" s="12"/>
      <c r="J249" s="12"/>
    </row>
    <row r="250">
      <c r="A250">
        <f>IFERROR(__xludf.DUMMYFUNCTION("""COMPUTED_VALUE"""),354.0)</f>
        <v>354</v>
      </c>
      <c r="B250" s="12" t="str">
        <f>IFERROR(__xludf.DUMMYFUNCTION("""COMPUTED_VALUE"""),"If I had anything that could truly be compromised on my google account")</f>
        <v>If I had anything that could truly be compromised on my google account</v>
      </c>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t="str">
        <f>IFERROR(__xludf.DUMMYFUNCTION("""COMPUTED_VALUE"""),"definately read through the permissions, lots of dubious apps use information it does not need to collect and sell information")</f>
        <v>definately read through the permissions, lots of dubious apps use information it does not need to collect and sell information</v>
      </c>
      <c r="C252" s="12"/>
      <c r="D252" s="12"/>
      <c r="E252" s="12"/>
      <c r="F252" s="12"/>
      <c r="G252" s="12"/>
      <c r="H252" s="12"/>
      <c r="I252" s="12"/>
      <c r="J252" s="12"/>
    </row>
    <row r="253">
      <c r="A253">
        <f>IFERROR(__xludf.DUMMYFUNCTION("""COMPUTED_VALUE"""),358.0)</f>
        <v>358</v>
      </c>
      <c r="B253" s="12" t="str">
        <f>IFERROR(__xludf.DUMMYFUNCTION("""COMPUTED_VALUE"""),"I considered whether I thought google would let zoom take advantage of me or not.")</f>
        <v>I considered whether I thought google would let zoom take advantage of me or not.</v>
      </c>
      <c r="C253" s="12"/>
      <c r="D253" s="12"/>
      <c r="E253" s="12"/>
      <c r="F253" s="12"/>
      <c r="G253" s="12"/>
      <c r="H253" s="12"/>
      <c r="I253" s="12"/>
      <c r="J253" s="12"/>
    </row>
    <row r="254">
      <c r="A254">
        <f>IFERROR(__xludf.DUMMYFUNCTION("""COMPUTED_VALUE"""),360.0)</f>
        <v>360</v>
      </c>
      <c r="B254" s="12" t="str">
        <f>IFERROR(__xludf.DUMMYFUNCTION("""COMPUTED_VALUE"""),"Whether it was strictly necessary to give the app access, or whether I could use the app effectively without granting access.")</f>
        <v>Whether it was strictly necessary to give the app access, or whether I could use the app effectively without granting access.</v>
      </c>
      <c r="C254" s="12"/>
      <c r="D254" s="12"/>
      <c r="E254" s="12"/>
      <c r="F254" s="12"/>
      <c r="G254" s="12"/>
      <c r="H254" s="12"/>
      <c r="I254" s="12"/>
      <c r="J254" s="12"/>
    </row>
    <row r="255">
      <c r="A255">
        <f>IFERROR(__xludf.DUMMYFUNCTION("""COMPUTED_VALUE"""),361.0)</f>
        <v>361</v>
      </c>
      <c r="B255" s="12" t="str">
        <f>IFERROR(__xludf.DUMMYFUNCTION("""COMPUTED_VALUE"""),"If they can see what I do on my google account")</f>
        <v>If they can see what I do on my google account</v>
      </c>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t="str">
        <f>IFERROR(__xludf.DUMMYFUNCTION("""COMPUTED_VALUE"""),"I always scroll through all permissions and think about whether or not the app would actually need them to function.")</f>
        <v>I always scroll through all permissions and think about whether or not the app would actually need them to function.</v>
      </c>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t="str">
        <f>IFERROR(__xludf.DUMMYFUNCTION("""COMPUTED_VALUE"""),"I did not consider much information security-wise.")</f>
        <v>I did not consider much information security-wise.</v>
      </c>
      <c r="C262" s="12"/>
      <c r="D262" s="12"/>
      <c r="E262" s="12"/>
      <c r="F262" s="12"/>
      <c r="G262" s="12"/>
      <c r="H262" s="12"/>
      <c r="I262" s="12"/>
      <c r="J262" s="12"/>
    </row>
    <row r="263">
      <c r="A263">
        <f>IFERROR(__xludf.DUMMYFUNCTION("""COMPUTED_VALUE"""),372.0)</f>
        <v>372</v>
      </c>
      <c r="B263" s="12" t="str">
        <f>IFERROR(__xludf.DUMMYFUNCTION("""COMPUTED_VALUE"""),"I was wary of allowing this information to be given to them.")</f>
        <v>I was wary of allowing this information to be given to them.</v>
      </c>
      <c r="C263" s="12"/>
      <c r="D263" s="12"/>
      <c r="E263" s="12"/>
      <c r="F263" s="12"/>
      <c r="G263" s="12"/>
      <c r="H263" s="12"/>
      <c r="I263" s="12"/>
      <c r="J263" s="12"/>
    </row>
    <row r="264">
      <c r="A264">
        <f>IFERROR(__xludf.DUMMYFUNCTION("""COMPUTED_VALUE"""),373.0)</f>
        <v>373</v>
      </c>
      <c r="B264" s="12" t="str">
        <f>IFERROR(__xludf.DUMMYFUNCTION("""COMPUTED_VALUE"""),"Nothing much, companies already have my info.")</f>
        <v>Nothing much, companies already have my info.</v>
      </c>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t="str">
        <f>IFERROR(__xludf.DUMMYFUNCTION("""COMPUTED_VALUE"""),"I considered if the information that is required from the app is taking advantage of my information or not.")</f>
        <v>I considered if the information that is required from the app is taking advantage of my information or not.</v>
      </c>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t="str">
        <f>IFERROR(__xludf.DUMMYFUNCTION("""COMPUTED_VALUE"""),"The private data that the app wanted to access, such as my location, reading my personal messages, accessing my contacts, that data is very private and I don't think it should be read.")</f>
        <v>The private data that the app wanted to access, such as my location, reading my personal messages, accessing my contacts, that data is very private and I don't think it should be read.</v>
      </c>
      <c r="C270" s="12"/>
      <c r="D270" s="12"/>
      <c r="E270" s="12"/>
      <c r="F270" s="12"/>
      <c r="G270" s="12"/>
      <c r="H270" s="12"/>
      <c r="I270" s="12"/>
      <c r="J270" s="12"/>
    </row>
    <row r="271">
      <c r="A271">
        <f>IFERROR(__xludf.DUMMYFUNCTION("""COMPUTED_VALUE"""),383.0)</f>
        <v>383</v>
      </c>
      <c r="B271" s="12" t="str">
        <f>IFERROR(__xludf.DUMMYFUNCTION("""COMPUTED_VALUE"""),"not much")</f>
        <v>not much</v>
      </c>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t="str">
        <f>IFERROR(__xludf.DUMMYFUNCTION("""COMPUTED_VALUE"""),"I consider whether the website is trustworthy and whether the access they're requesting actually makes sense (e.g. if an app asks for access to important/secure data that it doesn't actually need in order to work)")</f>
        <v>I consider whether the website is trustworthy and whether the access they're requesting actually makes sense (e.g. if an app asks for access to important/secure data that it doesn't actually need in order to work)</v>
      </c>
      <c r="C276" s="12"/>
      <c r="D276" s="12"/>
      <c r="E276" s="12"/>
      <c r="F276" s="12"/>
      <c r="G276" s="12"/>
      <c r="H276" s="12"/>
      <c r="I276" s="12"/>
      <c r="J276" s="12"/>
    </row>
    <row r="277">
      <c r="A277">
        <f>IFERROR(__xludf.DUMMYFUNCTION("""COMPUTED_VALUE"""),389.0)</f>
        <v>389</v>
      </c>
      <c r="B277" s="12" t="str">
        <f>IFERROR(__xludf.DUMMYFUNCTION("""COMPUTED_VALUE"""),"That it was okay since Google was allowing it")</f>
        <v>That it was okay since Google was allowing it</v>
      </c>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t="str">
        <f>IFERROR(__xludf.DUMMYFUNCTION("""COMPUTED_VALUE"""),"using an alternate email")</f>
        <v>using an alternate email</v>
      </c>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t="str">
        <f>IFERROR(__xludf.DUMMYFUNCTION("""COMPUTED_VALUE"""),"I'm always worried about my privacy anytime a app asks me for that information")</f>
        <v>I'm always worried about my privacy anytime a app asks me for that information</v>
      </c>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t="str">
        <f>IFERROR(__xludf.DUMMYFUNCTION("""COMPUTED_VALUE"""),"I also considered security implications of this and whether it would lead to things I didn't want to happen to my account.")</f>
        <v>I also considered security implications of this and whether it would lead to things I didn't want to happen to my account.</v>
      </c>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t="str">
        <f>IFERROR(__xludf.DUMMYFUNCTION("""COMPUTED_VALUE"""),"I considered whether the website is trustworthy or not.")</f>
        <v>I considered whether the website is trustworthy or not.</v>
      </c>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t="str">
        <f>IFERROR(__xludf.DUMMYFUNCTION("""COMPUTED_VALUE"""),"Again it must be okay since it partnered with Google")</f>
        <v>Again it must be okay since it partnered with Google</v>
      </c>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t="str">
        <f>IFERROR(__xludf.DUMMYFUNCTION("""COMPUTED_VALUE"""),"What kind of information was being shared; would it be easier to just create an account with the third-party app.")</f>
        <v>What kind of information was being shared; would it be easier to just create an account with the third-party app.</v>
      </c>
      <c r="C299" s="12"/>
      <c r="D299" s="12"/>
      <c r="E299" s="12"/>
      <c r="F299" s="12"/>
      <c r="G299" s="12"/>
      <c r="H299" s="12"/>
      <c r="I299" s="12"/>
      <c r="J299" s="12"/>
    </row>
    <row r="300">
      <c r="A300">
        <f>IFERROR(__xludf.DUMMYFUNCTION("""COMPUTED_VALUE"""),416.0)</f>
        <v>416</v>
      </c>
      <c r="B300" s="12" t="str">
        <f>IFERROR(__xludf.DUMMYFUNCTION("""COMPUTED_VALUE"""),"Privacy issues, security of whatever entity Iwas granting access to")</f>
        <v>Privacy issues, security of whatever entity Iwas granting access to</v>
      </c>
      <c r="C300" s="12"/>
      <c r="D300" s="12"/>
      <c r="E300" s="12"/>
      <c r="F300" s="12"/>
      <c r="G300" s="12"/>
      <c r="H300" s="12"/>
      <c r="I300" s="12"/>
      <c r="J300" s="12"/>
    </row>
    <row r="301">
      <c r="A301">
        <f>IFERROR(__xludf.DUMMYFUNCTION("""COMPUTED_VALUE"""),417.0)</f>
        <v>417</v>
      </c>
      <c r="B301" s="12" t="str">
        <f>IFERROR(__xludf.DUMMYFUNCTION("""COMPUTED_VALUE"""),"security")</f>
        <v>security</v>
      </c>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t="str">
        <f>IFERROR(__xludf.DUMMYFUNCTION("""COMPUTED_VALUE"""),"I didn't consider anything. jQuery35101615608822469108_1618671446698????")</f>
        <v>I didn't consider anything. jQuery35101615608822469108_1618671446698????</v>
      </c>
      <c r="C304" s="12"/>
      <c r="D304" s="12"/>
      <c r="E304" s="12"/>
      <c r="F304" s="12"/>
      <c r="G304" s="12"/>
      <c r="H304" s="12"/>
      <c r="I304" s="12"/>
      <c r="J304" s="12"/>
    </row>
    <row r="305">
      <c r="A305">
        <f>IFERROR(__xludf.DUMMYFUNCTION("""COMPUTED_VALUE"""),422.0)</f>
        <v>422</v>
      </c>
      <c r="B305" s="12" t="str">
        <f>IFERROR(__xludf.DUMMYFUNCTION("""COMPUTED_VALUE"""),"privacy concerns")</f>
        <v>privacy concerns</v>
      </c>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t="str">
        <f>IFERROR(__xludf.DUMMYFUNCTION("""COMPUTED_VALUE"""),"Would they steal my info")</f>
        <v>Would they steal my info</v>
      </c>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t="str">
        <f>IFERROR(__xludf.DUMMYFUNCTION("""COMPUTED_VALUE"""),"nothing")</f>
        <v>nothing</v>
      </c>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t="str">
        <f>IFERROR(__xludf.DUMMYFUNCTION("""COMPUTED_VALUE"""),"if they would misuse my info")</f>
        <v>if they would misuse my info</v>
      </c>
      <c r="C311" s="12"/>
      <c r="D311" s="12"/>
      <c r="E311" s="12"/>
      <c r="F311" s="12"/>
      <c r="G311" s="12"/>
      <c r="H311" s="12"/>
      <c r="I311" s="12"/>
      <c r="J311" s="12"/>
    </row>
    <row r="312">
      <c r="A312">
        <f>IFERROR(__xludf.DUMMYFUNCTION("""COMPUTED_VALUE"""),432.0)</f>
        <v>432</v>
      </c>
      <c r="B312" s="12" t="str">
        <f>IFERROR(__xludf.DUMMYFUNCTION("""COMPUTED_VALUE"""),"I didn't have a choice, really...I was instructed to do so by my employer, who wanted access to my work calender, availability, and evidence of meetings held.")</f>
        <v>I didn't have a choice, really...I was instructed to do so by my employer, who wanted access to my work calender, availability, and evidence of meetings held.</v>
      </c>
      <c r="C312" s="12"/>
      <c r="D312" s="12"/>
      <c r="E312" s="12"/>
      <c r="F312" s="12"/>
      <c r="G312" s="12"/>
      <c r="H312" s="12"/>
      <c r="I312" s="12"/>
      <c r="J312" s="12"/>
    </row>
    <row r="313">
      <c r="A313">
        <f>IFERROR(__xludf.DUMMYFUNCTION("""COMPUTED_VALUE"""),433.0)</f>
        <v>433</v>
      </c>
      <c r="B313" s="12" t="str">
        <f>IFERROR(__xludf.DUMMYFUNCTION("""COMPUTED_VALUE"""),"I always consider if the types of access the apps need are related to the app or not.")</f>
        <v>I always consider if the types of access the apps need are related to the app or not.</v>
      </c>
      <c r="C313" s="12"/>
      <c r="D313" s="12"/>
      <c r="E313" s="12"/>
      <c r="F313" s="12"/>
      <c r="G313" s="12"/>
      <c r="H313" s="12"/>
      <c r="I313" s="12"/>
      <c r="J313" s="12"/>
    </row>
    <row r="314">
      <c r="A314">
        <f>IFERROR(__xludf.DUMMYFUNCTION("""COMPUTED_VALUE"""),434.0)</f>
        <v>434</v>
      </c>
      <c r="B314" s="12" t="str">
        <f>IFERROR(__xludf.DUMMYFUNCTION("""COMPUTED_VALUE"""),"I thought about if I had any concerns with the third party app having access to my account and information.")</f>
        <v>I thought about if I had any concerns with the third party app having access to my account and information.</v>
      </c>
      <c r="C314" s="12"/>
      <c r="D314" s="12"/>
      <c r="E314" s="12"/>
      <c r="F314" s="12"/>
      <c r="G314" s="12"/>
      <c r="H314" s="12"/>
      <c r="I314" s="12"/>
      <c r="J314" s="12"/>
    </row>
    <row r="315">
      <c r="A315">
        <f>IFERROR(__xludf.DUMMYFUNCTION("""COMPUTED_VALUE"""),435.0)</f>
        <v>435</v>
      </c>
      <c r="B315" s="12" t="str">
        <f>IFERROR(__xludf.DUMMYFUNCTION("""COMPUTED_VALUE"""),"I didn't consider much")</f>
        <v>I didn't consider much</v>
      </c>
      <c r="C315" s="12"/>
      <c r="D315" s="12"/>
      <c r="E315" s="12"/>
      <c r="F315" s="12"/>
      <c r="G315" s="12"/>
      <c r="H315" s="12"/>
      <c r="I315" s="12"/>
      <c r="J315" s="12"/>
    </row>
    <row r="316">
      <c r="A316">
        <f>IFERROR(__xludf.DUMMYFUNCTION("""COMPUTED_VALUE"""),436.0)</f>
        <v>436</v>
      </c>
      <c r="B316" s="12" t="str">
        <f>IFERROR(__xludf.DUMMYFUNCTION("""COMPUTED_VALUE"""),"I didn't consider anything, I just said yes")</f>
        <v>I didn't consider anything, I just said yes</v>
      </c>
      <c r="C316" s="12"/>
      <c r="D316" s="12"/>
      <c r="E316" s="12"/>
      <c r="F316" s="12"/>
      <c r="G316" s="12"/>
      <c r="H316" s="12"/>
      <c r="I316" s="12"/>
      <c r="J316" s="12"/>
    </row>
    <row r="317">
      <c r="A317">
        <f>IFERROR(__xludf.DUMMYFUNCTION("""COMPUTED_VALUE"""),437.0)</f>
        <v>437</v>
      </c>
      <c r="B317" s="12" t="str">
        <f>IFERROR(__xludf.DUMMYFUNCTION("""COMPUTED_VALUE"""),"I had to consider what it would see and look at as a result of connecting it.")</f>
        <v>I had to consider what it would see and look at as a result of connecting it.</v>
      </c>
      <c r="C317" s="12"/>
      <c r="D317" s="12"/>
      <c r="E317" s="12"/>
      <c r="F317" s="12"/>
      <c r="G317" s="12"/>
      <c r="H317" s="12"/>
      <c r="I317" s="12"/>
      <c r="J317" s="12"/>
    </row>
    <row r="318">
      <c r="A318">
        <f>IFERROR(__xludf.DUMMYFUNCTION("""COMPUTED_VALUE"""),439.0)</f>
        <v>439</v>
      </c>
      <c r="B318" s="12" t="str">
        <f>IFERROR(__xludf.DUMMYFUNCTION("""COMPUTED_VALUE"""),"Convenience as well as what the app collected and stored played a role in my decision.")</f>
        <v>Convenience as well as what the app collected and stored played a role in my decision.</v>
      </c>
      <c r="C318" s="12"/>
      <c r="D318" s="12"/>
      <c r="E318" s="12"/>
      <c r="F318" s="12"/>
      <c r="G318" s="12"/>
      <c r="H318" s="12"/>
      <c r="I318" s="12"/>
      <c r="J318" s="12"/>
    </row>
    <row r="319">
      <c r="A319">
        <f>IFERROR(__xludf.DUMMYFUNCTION("""COMPUTED_VALUE"""),440.0)</f>
        <v>440</v>
      </c>
      <c r="B319" s="12" t="str">
        <f>IFERROR(__xludf.DUMMYFUNCTION("""COMPUTED_VALUE"""),"The specific permissions that the app wanted to use")</f>
        <v>The specific permissions that the app wanted to use</v>
      </c>
      <c r="C319" s="12"/>
      <c r="D319" s="12"/>
      <c r="E319" s="12"/>
      <c r="F319" s="12"/>
      <c r="G319" s="12"/>
      <c r="H319" s="12"/>
      <c r="I319" s="12"/>
      <c r="J319" s="12"/>
    </row>
    <row r="320">
      <c r="A320">
        <f>IFERROR(__xludf.DUMMYFUNCTION("""COMPUTED_VALUE"""),442.0)</f>
        <v>442</v>
      </c>
      <c r="B320" s="12" t="str">
        <f>IFERROR(__xludf.DUMMYFUNCTION("""COMPUTED_VALUE"""),"I considered if there was sensitive information I would not want shared.")</f>
        <v>I considered if there was sensitive information I would not want shared.</v>
      </c>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t="str">
        <f>IFERROR(__xludf.DUMMYFUNCTION("""COMPUTED_VALUE"""),"I considered whether I could see myself needing to do something which would require google to have access to something, and if now, I would deny that access.")</f>
        <v>I considered whether I could see myself needing to do something which would require google to have access to something, and if now, I would deny that access.</v>
      </c>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t="str">
        <f>IFERROR(__xludf.DUMMYFUNCTION("""COMPUTED_VALUE"""),"If it was a trustworthy website and what would the app access include.")</f>
        <v>If it was a trustworthy website and what would the app access include.</v>
      </c>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t="str">
        <f>IFERROR(__xludf.DUMMYFUNCTION("""COMPUTED_VALUE"""),"concerns of my privacy")</f>
        <v>concerns of my privacy</v>
      </c>
      <c r="C329" s="12"/>
      <c r="D329" s="12"/>
      <c r="E329" s="12"/>
      <c r="F329" s="12"/>
      <c r="G329" s="12"/>
      <c r="H329" s="12"/>
      <c r="I329" s="12"/>
      <c r="J329" s="12"/>
    </row>
    <row r="330">
      <c r="A330">
        <f>IFERROR(__xludf.DUMMYFUNCTION("""COMPUTED_VALUE"""),458.0)</f>
        <v>458</v>
      </c>
      <c r="B330" s="12" t="str">
        <f>IFERROR(__xludf.DUMMYFUNCTION("""COMPUTED_VALUE"""),"I checked to see what access and information the app would gain")</f>
        <v>I checked to see what access and information the app would gain</v>
      </c>
      <c r="C330" s="12"/>
      <c r="D330" s="12"/>
      <c r="E330" s="12"/>
      <c r="F330" s="12"/>
      <c r="G330" s="12"/>
      <c r="H330" s="12"/>
      <c r="I330" s="12"/>
      <c r="J330" s="12"/>
    </row>
    <row r="331">
      <c r="A331">
        <f>IFERROR(__xludf.DUMMYFUNCTION("""COMPUTED_VALUE"""),459.0)</f>
        <v>459</v>
      </c>
      <c r="B331" s="12" t="str">
        <f>IFERROR(__xludf.DUMMYFUNCTION("""COMPUTED_VALUE"""),"That Google has a death-grip on my life")</f>
        <v>That Google has a death-grip on my life</v>
      </c>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t="str">
        <f>IFERROR(__xludf.DUMMYFUNCTION("""COMPUTED_VALUE"""),"Safety, but I always check what I am allowing access to.")</f>
        <v>Safety, but I always check what I am allowing access to.</v>
      </c>
      <c r="C333" s="12"/>
      <c r="D333" s="12"/>
      <c r="E333" s="12"/>
      <c r="F333" s="12"/>
      <c r="G333" s="12"/>
      <c r="H333" s="12"/>
      <c r="I333" s="12"/>
      <c r="J333" s="12"/>
    </row>
    <row r="334">
      <c r="A334">
        <f>IFERROR(__xludf.DUMMYFUNCTION("""COMPUTED_VALUE"""),463.0)</f>
        <v>463</v>
      </c>
      <c r="B334" s="12" t="str">
        <f>IFERROR(__xludf.DUMMYFUNCTION("""COMPUTED_VALUE"""),"If they are a reputable company or not.")</f>
        <v>If they are a reputable company or not.</v>
      </c>
      <c r="C334" s="12"/>
      <c r="D334" s="12"/>
      <c r="E334" s="12"/>
      <c r="F334" s="12"/>
      <c r="G334" s="12"/>
      <c r="H334" s="12"/>
      <c r="I334" s="12"/>
      <c r="J334" s="12"/>
    </row>
    <row r="335">
      <c r="A335">
        <f>IFERROR(__xludf.DUMMYFUNCTION("""COMPUTED_VALUE"""),464.0)</f>
        <v>464</v>
      </c>
      <c r="B335" s="12" t="str">
        <f>IFERROR(__xludf.DUMMYFUNCTION("""COMPUTED_VALUE"""),"If the service was legitimate.")</f>
        <v>If the service was legitimate.</v>
      </c>
      <c r="C335" s="12"/>
      <c r="D335" s="12"/>
      <c r="E335" s="12"/>
      <c r="F335" s="12"/>
      <c r="G335" s="12"/>
      <c r="H335" s="12"/>
      <c r="I335" s="12"/>
      <c r="J335" s="12"/>
    </row>
    <row r="336">
      <c r="A336">
        <f>IFERROR(__xludf.DUMMYFUNCTION("""COMPUTED_VALUE"""),465.0)</f>
        <v>465</v>
      </c>
      <c r="B336" s="12" t="str">
        <f>IFERROR(__xludf.DUMMYFUNCTION("""COMPUTED_VALUE"""),"nothing")</f>
        <v>nothing</v>
      </c>
      <c r="C336" s="12"/>
      <c r="D336" s="12"/>
      <c r="E336" s="12"/>
      <c r="F336" s="12"/>
      <c r="G336" s="12"/>
      <c r="H336" s="12"/>
      <c r="I336" s="12"/>
      <c r="J336" s="12"/>
    </row>
    <row r="337">
      <c r="A337">
        <f>IFERROR(__xludf.DUMMYFUNCTION("""COMPUTED_VALUE"""),466.0)</f>
        <v>466</v>
      </c>
      <c r="B337" s="12" t="str">
        <f>IFERROR(__xludf.DUMMYFUNCTION("""COMPUTED_VALUE"""),"no extra thoughts")</f>
        <v>no extra thoughts</v>
      </c>
      <c r="C337" s="12"/>
      <c r="D337" s="12"/>
      <c r="E337" s="12"/>
      <c r="F337" s="12"/>
      <c r="G337" s="12"/>
      <c r="H337" s="12"/>
      <c r="I337" s="12"/>
      <c r="J337" s="12"/>
    </row>
    <row r="338">
      <c r="A338">
        <f>IFERROR(__xludf.DUMMYFUNCTION("""COMPUTED_VALUE"""),468.0)</f>
        <v>468</v>
      </c>
      <c r="B338" s="12" t="str">
        <f>IFERROR(__xludf.DUMMYFUNCTION("""COMPUTED_VALUE"""),"The worth of the content I would be exposed to and the risk of information lost to untrustworthy developers.")</f>
        <v>The worth of the content I would be exposed to and the risk of information lost to untrustworthy developers.</v>
      </c>
      <c r="C338" s="12"/>
      <c r="D338" s="12"/>
      <c r="E338" s="12"/>
      <c r="F338" s="12"/>
      <c r="G338" s="12"/>
      <c r="H338" s="12"/>
      <c r="I338" s="12"/>
      <c r="J338" s="12"/>
    </row>
    <row r="339">
      <c r="A339">
        <f>IFERROR(__xludf.DUMMYFUNCTION("""COMPUTED_VALUE"""),469.0)</f>
        <v>469</v>
      </c>
      <c r="B339" s="12" t="str">
        <f>IFERROR(__xludf.DUMMYFUNCTION("""COMPUTED_VALUE"""),"Whether the permissions they were asking for were too much.")</f>
        <v>Whether the permissions they were asking for were too much.</v>
      </c>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t="str">
        <f>IFERROR(__xludf.DUMMYFUNCTION("""COMPUTED_VALUE"""),"privacy")</f>
        <v>privacy</v>
      </c>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t="str">
        <f>IFERROR(__xludf.DUMMYFUNCTION("""COMPUTED_VALUE"""),"I considered my privacy and security but again because honey is mainstream I trust it.")</f>
        <v>I considered my privacy and security but again because honey is mainstream I trust it.</v>
      </c>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t="str">
        <f>IFERROR(__xludf.DUMMYFUNCTION("""COMPUTED_VALUE"""),"I considered what information and access will be allowed through my Google account.")</f>
        <v>I considered what information and access will be allowed through my Google account.</v>
      </c>
      <c r="C346" s="12"/>
      <c r="D346" s="12"/>
      <c r="E346" s="12"/>
      <c r="F346" s="12"/>
      <c r="G346" s="12"/>
      <c r="H346" s="12"/>
      <c r="I346" s="12"/>
      <c r="J346" s="12"/>
    </row>
    <row r="347">
      <c r="A347">
        <f>IFERROR(__xludf.DUMMYFUNCTION("""COMPUTED_VALUE"""),480.0)</f>
        <v>480</v>
      </c>
      <c r="B347" s="12" t="str">
        <f>IFERROR(__xludf.DUMMYFUNCTION("""COMPUTED_VALUE"""),"I'd rather an app have access to my email than my Facebook, and I hate having to remember tons of different passwords.")</f>
        <v>I'd rather an app have access to my email than my Facebook, and I hate having to remember tons of different passwords.</v>
      </c>
      <c r="C347" s="12"/>
      <c r="D347" s="12"/>
      <c r="E347" s="12"/>
      <c r="F347" s="12"/>
      <c r="G347" s="12"/>
      <c r="H347" s="12"/>
      <c r="I347" s="12"/>
      <c r="J347" s="12"/>
    </row>
    <row r="348">
      <c r="A348">
        <f>IFERROR(__xludf.DUMMYFUNCTION("""COMPUTED_VALUE"""),483.0)</f>
        <v>483</v>
      </c>
      <c r="B348" s="12" t="str">
        <f>IFERROR(__xludf.DUMMYFUNCTION("""COMPUTED_VALUE"""),"I didn't think much about it or worry about the permissions at all")</f>
        <v>I didn't think much about it or worry about the permissions at all</v>
      </c>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t="str">
        <f>IFERROR(__xludf.DUMMYFUNCTION("""COMPUTED_VALUE"""),"everyone else on the committee was using the app")</f>
        <v>everyone else on the committee was using the app</v>
      </c>
      <c r="C352" s="12"/>
      <c r="D352" s="12"/>
      <c r="E352" s="12"/>
      <c r="F352" s="12"/>
      <c r="G352" s="12"/>
      <c r="H352" s="12"/>
      <c r="I352" s="12"/>
      <c r="J352" s="12"/>
    </row>
    <row r="353">
      <c r="A353">
        <f>IFERROR(__xludf.DUMMYFUNCTION("""COMPUTED_VALUE"""),488.0)</f>
        <v>488</v>
      </c>
      <c r="B353" s="12" t="str">
        <f>IFERROR(__xludf.DUMMYFUNCTION("""COMPUTED_VALUE"""),"Using traditional forms of calendars (print) or having a different account separate from Google.")</f>
        <v>Using traditional forms of calendars (print) or having a different account separate from Google.</v>
      </c>
      <c r="C353" s="12"/>
      <c r="D353" s="12"/>
      <c r="E353" s="12"/>
      <c r="F353" s="12"/>
      <c r="G353" s="12"/>
      <c r="H353" s="12"/>
      <c r="I353" s="12"/>
      <c r="J353" s="12"/>
    </row>
    <row r="354">
      <c r="A354">
        <f>IFERROR(__xludf.DUMMYFUNCTION("""COMPUTED_VALUE"""),489.0)</f>
        <v>489</v>
      </c>
      <c r="B354" s="12" t="str">
        <f>IFERROR(__xludf.DUMMYFUNCTION("""COMPUTED_VALUE"""),"I considered whether they truly needed access to some areas of my Google account. I would not allow it if the game or app made posts without my permission. Other than that, I do not think it mattered if it accesses some of my data, as long as it is not my"&amp;" password.")</f>
        <v>I considered whether they truly needed access to some areas of my Google account. I would not allow it if the game or app made posts without my permission. Other than that, I do not think it mattered if it accesses some of my data, as long as it is not my password.</v>
      </c>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t="str">
        <f>IFERROR(__xludf.DUMMYFUNCTION("""COMPUTED_VALUE"""),"Whether or not the site had the potential for hackers/data breaches from giving them all that permission.")</f>
        <v>Whether or not the site had the potential for hackers/data breaches from giving them all that permission.</v>
      </c>
      <c r="C356" s="12"/>
      <c r="D356" s="12"/>
      <c r="E356" s="12"/>
      <c r="F356" s="12"/>
      <c r="G356" s="12"/>
      <c r="H356" s="12"/>
      <c r="I356" s="12"/>
      <c r="J356" s="12"/>
    </row>
    <row r="357">
      <c r="A357">
        <f>IFERROR(__xludf.DUMMYFUNCTION("""COMPUTED_VALUE"""),493.0)</f>
        <v>493</v>
      </c>
      <c r="B357" s="12" t="str">
        <f>IFERROR(__xludf.DUMMYFUNCTION("""COMPUTED_VALUE"""),"Using my Facebook account")</f>
        <v>Using my Facebook account</v>
      </c>
      <c r="C357" s="12"/>
      <c r="D357" s="12"/>
      <c r="E357" s="12"/>
      <c r="F357" s="12"/>
      <c r="G357" s="12"/>
      <c r="H357" s="12"/>
      <c r="I357" s="12"/>
      <c r="J357" s="12"/>
    </row>
    <row r="358">
      <c r="A358">
        <f>IFERROR(__xludf.DUMMYFUNCTION("""COMPUTED_VALUE"""),496.0)</f>
        <v>496</v>
      </c>
      <c r="B358" s="12" t="str">
        <f>IFERROR(__xludf.DUMMYFUNCTION("""COMPUTED_VALUE"""),"I considered using the stock calendar app, but decided my solution was a better fit.")</f>
        <v>I considered using the stock calendar app, but decided my solution was a better fit.</v>
      </c>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t="str">
        <f>IFERROR(__xludf.DUMMYFUNCTION("""COMPUTED_VALUE"""),"I didn't think about much because I knew I didn't have much info on my calendar anyways, so I just allowed access.")</f>
        <v>I didn't think about much because I knew I didn't have much info on my calendar anyways, so I just allowed access.</v>
      </c>
      <c r="C360" s="12"/>
      <c r="D360" s="12"/>
      <c r="E360" s="12"/>
      <c r="F360" s="12"/>
      <c r="G360" s="12"/>
      <c r="H360" s="12"/>
      <c r="I360" s="12"/>
      <c r="J360" s="12"/>
    </row>
    <row r="361">
      <c r="A361">
        <f>IFERROR(__xludf.DUMMYFUNCTION("""COMPUTED_VALUE"""),499.0)</f>
        <v>499</v>
      </c>
      <c r="B361" s="12" t="str">
        <f>IFERROR(__xludf.DUMMYFUNCTION("""COMPUTED_VALUE"""),"What capabilities I was giving the third-party")</f>
        <v>What capabilities I was giving the third-party</v>
      </c>
      <c r="C361" s="12"/>
      <c r="D361" s="12"/>
      <c r="E361" s="12"/>
      <c r="F361" s="12"/>
      <c r="G361" s="12"/>
      <c r="H361" s="12"/>
      <c r="I361" s="12"/>
      <c r="J361" s="12"/>
    </row>
    <row r="362">
      <c r="A362">
        <f>IFERROR(__xludf.DUMMYFUNCTION("""COMPUTED_VALUE"""),501.0)</f>
        <v>501</v>
      </c>
      <c r="B362" s="12" t="str">
        <f>IFERROR(__xludf.DUMMYFUNCTION("""COMPUTED_VALUE"""),"What information Google will allow them to see.")</f>
        <v>What information Google will allow them to see.</v>
      </c>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t="str">
        <f>IFERROR(__xludf.DUMMYFUNCTION("""COMPUTED_VALUE"""),"I considered the convenience of having my data synced versus the risk of allowing my information to be accessed by another app.")</f>
        <v>I considered the convenience of having my data synced versus the risk of allowing my information to be accessed by another app.</v>
      </c>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t="str">
        <f>IFERROR(__xludf.DUMMYFUNCTION("""COMPUTED_VALUE"""),"do I have anything in my account I care enough about to not share with this company?")</f>
        <v>do I have anything in my account I care enough about to not share with this company?</v>
      </c>
      <c r="C369" s="12"/>
      <c r="D369" s="12"/>
      <c r="E369" s="12"/>
      <c r="F369" s="12"/>
      <c r="G369" s="12"/>
      <c r="H369" s="12"/>
      <c r="I369" s="12"/>
      <c r="J369" s="12"/>
    </row>
    <row r="370">
      <c r="A370">
        <f>IFERROR(__xludf.DUMMYFUNCTION("""COMPUTED_VALUE"""),510.0)</f>
        <v>510</v>
      </c>
      <c r="B370" s="12" t="str">
        <f>IFERROR(__xludf.DUMMYFUNCTION("""COMPUTED_VALUE"""),"same as before... security and privacy")</f>
        <v>same as before... security and privacy</v>
      </c>
      <c r="C370" s="12"/>
      <c r="D370" s="12"/>
      <c r="E370" s="12"/>
      <c r="F370" s="12"/>
      <c r="G370" s="12"/>
      <c r="H370" s="12"/>
      <c r="I370" s="12"/>
      <c r="J370" s="12"/>
    </row>
    <row r="371">
      <c r="A371">
        <f>IFERROR(__xludf.DUMMYFUNCTION("""COMPUTED_VALUE"""),511.0)</f>
        <v>511</v>
      </c>
      <c r="B371" s="12" t="str">
        <f>IFERROR(__xludf.DUMMYFUNCTION("""COMPUTED_VALUE"""),"nothing")</f>
        <v>nothing</v>
      </c>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t="str">
        <f>IFERROR(__xludf.DUMMYFUNCTION("""COMPUTED_VALUE"""),"not a lot")</f>
        <v>not a lot</v>
      </c>
      <c r="C373" s="12"/>
      <c r="D373" s="12"/>
      <c r="E373" s="12"/>
      <c r="F373" s="12"/>
      <c r="G373" s="12"/>
      <c r="H373" s="12"/>
      <c r="I373" s="12"/>
      <c r="J373" s="12"/>
    </row>
    <row r="374">
      <c r="A374">
        <f>IFERROR(__xludf.DUMMYFUNCTION("""COMPUTED_VALUE"""),514.0)</f>
        <v>514</v>
      </c>
      <c r="B374" s="12" t="str">
        <f>IFERROR(__xludf.DUMMYFUNCTION("""COMPUTED_VALUE"""),"I considered the risk of giving this service access to my account.")</f>
        <v>I considered the risk of giving this service access to my account.</v>
      </c>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t="str">
        <f>IFERROR(__xludf.DUMMYFUNCTION("""COMPUTED_VALUE"""),"I didn't consider anything")</f>
        <v>I didn't consider anything</v>
      </c>
      <c r="C377" s="12"/>
      <c r="D377" s="12"/>
      <c r="E377" s="12"/>
      <c r="F377" s="12"/>
      <c r="G377" s="12"/>
      <c r="H377" s="12"/>
      <c r="I377" s="12"/>
      <c r="J377" s="12"/>
    </row>
    <row r="378">
      <c r="A378">
        <f>IFERROR(__xludf.DUMMYFUNCTION("""COMPUTED_VALUE"""),518.0)</f>
        <v>518</v>
      </c>
      <c r="B378" s="12" t="str">
        <f>IFERROR(__xludf.DUMMYFUNCTION("""COMPUTED_VALUE"""),"N/A")</f>
        <v>N/A</v>
      </c>
      <c r="C378" s="12"/>
      <c r="D378" s="12"/>
      <c r="E378" s="12"/>
      <c r="F378" s="12"/>
      <c r="G378" s="12"/>
      <c r="H378" s="12"/>
      <c r="I378" s="12"/>
      <c r="J378" s="12"/>
    </row>
    <row r="379">
      <c r="A379">
        <f>IFERROR(__xludf.DUMMYFUNCTION("""COMPUTED_VALUE"""),519.0)</f>
        <v>519</v>
      </c>
      <c r="B379" s="12" t="str">
        <f>IFERROR(__xludf.DUMMYFUNCTION("""COMPUTED_VALUE"""),"The risks of granting account permissions vs. the convenience of creating a new account and password")</f>
        <v>The risks of granting account permissions vs. the convenience of creating a new account and password</v>
      </c>
      <c r="C379" s="12"/>
      <c r="D379" s="12"/>
      <c r="E379" s="12"/>
      <c r="F379" s="12"/>
      <c r="G379" s="12"/>
      <c r="H379" s="12"/>
      <c r="I379" s="12"/>
      <c r="J379" s="12"/>
    </row>
    <row r="380">
      <c r="A380">
        <f>IFERROR(__xludf.DUMMYFUNCTION("""COMPUTED_VALUE"""),521.0)</f>
        <v>521</v>
      </c>
      <c r="B380" s="12" t="str">
        <f>IFERROR(__xludf.DUMMYFUNCTION("""COMPUTED_VALUE"""),"I considered the convenience.")</f>
        <v>I considered the convenience.</v>
      </c>
      <c r="C380" s="12"/>
      <c r="D380" s="12"/>
      <c r="E380" s="12"/>
      <c r="F380" s="12"/>
      <c r="G380" s="12"/>
      <c r="H380" s="12"/>
      <c r="I380" s="12"/>
      <c r="J380" s="12"/>
    </row>
    <row r="381">
      <c r="A381">
        <f>IFERROR(__xludf.DUMMYFUNCTION("""COMPUTED_VALUE"""),522.0)</f>
        <v>522</v>
      </c>
      <c r="B381" s="12" t="str">
        <f>IFERROR(__xludf.DUMMYFUNCTION("""COMPUTED_VALUE"""),"I considered whether my privacy would be violated, but thought the risk necessary.")</f>
        <v>I considered whether my privacy would be violated, but thought the risk necessary.</v>
      </c>
      <c r="C381" s="12"/>
      <c r="D381" s="12"/>
      <c r="E381" s="12"/>
      <c r="F381" s="12"/>
      <c r="G381" s="12"/>
      <c r="H381" s="12"/>
      <c r="I381" s="12"/>
      <c r="J381" s="12"/>
    </row>
    <row r="382">
      <c r="A382">
        <f>IFERROR(__xludf.DUMMYFUNCTION("""COMPUTED_VALUE"""),523.0)</f>
        <v>523</v>
      </c>
      <c r="B382" s="12" t="str">
        <f>IFERROR(__xludf.DUMMYFUNCTION("""COMPUTED_VALUE"""),"If it is safe.")</f>
        <v>If it is safe.</v>
      </c>
      <c r="C382" s="12"/>
      <c r="D382" s="12"/>
      <c r="E382" s="12"/>
      <c r="F382" s="12"/>
      <c r="G382" s="12"/>
      <c r="H382" s="12"/>
      <c r="I382" s="12"/>
      <c r="J382" s="12"/>
    </row>
    <row r="383">
      <c r="A383">
        <f>IFERROR(__xludf.DUMMYFUNCTION("""COMPUTED_VALUE"""),527.0)</f>
        <v>527</v>
      </c>
      <c r="B383" s="12" t="str">
        <f>IFERROR(__xludf.DUMMYFUNCTION("""COMPUTED_VALUE"""),"I considered how often I would use the service before signing in with my Google account.")</f>
        <v>I considered how often I would use the service before signing in with my Google account.</v>
      </c>
      <c r="C383" s="12"/>
      <c r="D383" s="12"/>
      <c r="E383" s="12"/>
      <c r="F383" s="12"/>
      <c r="G383" s="12"/>
      <c r="H383" s="12"/>
      <c r="I383" s="12"/>
      <c r="J383" s="12"/>
    </row>
    <row r="384">
      <c r="A384">
        <f>IFERROR(__xludf.DUMMYFUNCTION("""COMPUTED_VALUE"""),528.0)</f>
        <v>528</v>
      </c>
      <c r="B384" s="12" t="str">
        <f>IFERROR(__xludf.DUMMYFUNCTION("""COMPUTED_VALUE"""),"creating a new account on the service")</f>
        <v>creating a new account on the service</v>
      </c>
      <c r="C384" s="12"/>
      <c r="D384" s="12"/>
      <c r="E384" s="12"/>
      <c r="F384" s="12"/>
      <c r="G384" s="12"/>
      <c r="H384" s="12"/>
      <c r="I384" s="12"/>
      <c r="J384" s="12"/>
    </row>
    <row r="385">
      <c r="A385">
        <f>IFERROR(__xludf.DUMMYFUNCTION("""COMPUTED_VALUE"""),529.0)</f>
        <v>529</v>
      </c>
      <c r="B385" s="12" t="str">
        <f>IFERROR(__xludf.DUMMYFUNCTION("""COMPUTED_VALUE"""),"The kinds of data they would see and whether this data would potentially be sold, whether it was ""worth"" it to allow access to the app for the extra services it would provide")</f>
        <v>The kinds of data they would see and whether this data would potentially be sold, whether it was "worth" it to allow access to the app for the extra services it would provide</v>
      </c>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t="str">
        <f>IFERROR(__xludf.DUMMYFUNCTION("""COMPUTED_VALUE"""),"I considered the benefits of letting the game have access I was getting bonus points for it.")</f>
        <v>I considered the benefits of letting the game have access I was getting bonus points for it.</v>
      </c>
      <c r="C388" s="12"/>
      <c r="D388" s="12"/>
      <c r="E388" s="12"/>
      <c r="F388" s="12"/>
      <c r="G388" s="12"/>
      <c r="H388" s="12"/>
      <c r="I388" s="12"/>
      <c r="J388" s="12"/>
    </row>
    <row r="389">
      <c r="A389">
        <f>IFERROR(__xludf.DUMMYFUNCTION("""COMPUTED_VALUE"""),536.0)</f>
        <v>536</v>
      </c>
      <c r="B389" s="12" t="str">
        <f>IFERROR(__xludf.DUMMYFUNCTION("""COMPUTED_VALUE"""),"Why would they need access to my gmail account")</f>
        <v>Why would they need access to my gmail account</v>
      </c>
      <c r="C389" s="12"/>
      <c r="D389" s="12"/>
      <c r="E389" s="12"/>
      <c r="F389" s="12"/>
      <c r="G389" s="12"/>
      <c r="H389" s="12"/>
      <c r="I389" s="12"/>
      <c r="J389" s="12"/>
    </row>
    <row r="390">
      <c r="A390">
        <f>IFERROR(__xludf.DUMMYFUNCTION("""COMPUTED_VALUE"""),537.0)</f>
        <v>537</v>
      </c>
      <c r="B390" s="12" t="str">
        <f>IFERROR(__xludf.DUMMYFUNCTION("""COMPUTED_VALUE"""),"I considered if allowing the third-party app access would be worth my time.")</f>
        <v>I considered if allowing the third-party app access would be worth my time.</v>
      </c>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t="str">
        <f>IFERROR(__xludf.DUMMYFUNCTION("""COMPUTED_VALUE"""),"nothing, privacy doesnt exist")</f>
        <v>nothing, privacy doesnt exist</v>
      </c>
      <c r="C395" s="12"/>
      <c r="D395" s="12"/>
      <c r="E395" s="12"/>
      <c r="F395" s="12"/>
      <c r="G395" s="12"/>
      <c r="H395" s="12"/>
      <c r="I395" s="12"/>
      <c r="J395" s="12"/>
    </row>
    <row r="396">
      <c r="A396">
        <f>IFERROR(__xludf.DUMMYFUNCTION("""COMPUTED_VALUE"""),544.0)</f>
        <v>544</v>
      </c>
      <c r="B396" s="12" t="str">
        <f>IFERROR(__xludf.DUMMYFUNCTION("""COMPUTED_VALUE"""),"Do I trust their security")</f>
        <v>Do I trust their security</v>
      </c>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t="str">
        <f>IFERROR(__xludf.DUMMYFUNCTION("""COMPUTED_VALUE"""),"Nothing. I don't really have any google contacts")</f>
        <v>Nothing. I don't really have any google contacts</v>
      </c>
      <c r="C401" s="12"/>
      <c r="D401" s="12"/>
      <c r="E401" s="12"/>
      <c r="F401" s="12"/>
      <c r="G401" s="12"/>
      <c r="H401" s="12"/>
      <c r="I401" s="12"/>
      <c r="J401" s="12"/>
    </row>
    <row r="402">
      <c r="A402">
        <f>IFERROR(__xludf.DUMMYFUNCTION("""COMPUTED_VALUE"""),552.0)</f>
        <v>552</v>
      </c>
      <c r="B402" s="12" t="str">
        <f>IFERROR(__xludf.DUMMYFUNCTION("""COMPUTED_VALUE"""),"I don't trust this")</f>
        <v>I don't trust this</v>
      </c>
      <c r="C402" s="12"/>
      <c r="D402" s="12"/>
      <c r="E402" s="12"/>
      <c r="F402" s="12"/>
      <c r="G402" s="12"/>
      <c r="H402" s="12"/>
      <c r="I402" s="12"/>
      <c r="J402" s="12"/>
    </row>
    <row r="403">
      <c r="A403">
        <f>IFERROR(__xludf.DUMMYFUNCTION("""COMPUTED_VALUE"""),553.0)</f>
        <v>553</v>
      </c>
      <c r="B403" s="12" t="str">
        <f>IFERROR(__xludf.DUMMYFUNCTION("""COMPUTED_VALUE"""),"I consider whether others would have access to information about me which I wanted it kept secret.")</f>
        <v>I consider whether others would have access to information about me which I wanted it kept secret.</v>
      </c>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t="str">
        <f>IFERROR(__xludf.DUMMYFUNCTION("""COMPUTED_VALUE"""),"Is this trust worthy?")</f>
        <v>Is this trust worthy?</v>
      </c>
      <c r="C407" s="12"/>
      <c r="D407" s="12"/>
      <c r="E407" s="12"/>
      <c r="F407" s="12"/>
      <c r="G407" s="12"/>
      <c r="H407" s="12"/>
      <c r="I407" s="12"/>
      <c r="J407" s="12"/>
    </row>
    <row r="408">
      <c r="A408">
        <f>IFERROR(__xludf.DUMMYFUNCTION("""COMPUTED_VALUE"""),558.0)</f>
        <v>558</v>
      </c>
      <c r="B408" s="12" t="str">
        <f>IFERROR(__xludf.DUMMYFUNCTION("""COMPUTED_VALUE"""),"Did not think much about out. I dont keep my personal information in emails. I write it in a book")</f>
        <v>Did not think much about out. I dont keep my personal information in emails. I write it in a book</v>
      </c>
      <c r="C408" s="12"/>
      <c r="D408" s="12"/>
      <c r="E408" s="12"/>
      <c r="F408" s="12"/>
      <c r="G408" s="12"/>
      <c r="H408" s="12"/>
      <c r="I408" s="12"/>
      <c r="J408" s="12"/>
    </row>
    <row r="409">
      <c r="A409">
        <f>IFERROR(__xludf.DUMMYFUNCTION("""COMPUTED_VALUE"""),559.0)</f>
        <v>559</v>
      </c>
      <c r="B409" s="12" t="str">
        <f>IFERROR(__xludf.DUMMYFUNCTION("""COMPUTED_VALUE"""),"I'm more restrictive about giving outside apps access to my Google. I think much more about the quality and privacy of the website and how much access it's requesting.")</f>
        <v>I'm more restrictive about giving outside apps access to my Google. I think much more about the quality and privacy of the website and how much access it's requesting.</v>
      </c>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t="str">
        <f>IFERROR(__xludf.DUMMYFUNCTION("""COMPUTED_VALUE"""),"I considered how much of my primary account information would be available. I would never allow this for unknown 3rd party sites.")</f>
        <v>I considered how much of my primary account information would be available. I would never allow this for unknown 3rd party sites.</v>
      </c>
      <c r="C411" s="12"/>
      <c r="D411" s="12"/>
      <c r="E411" s="12"/>
      <c r="F411" s="12"/>
      <c r="G411" s="12"/>
      <c r="H411" s="12"/>
      <c r="I411" s="12"/>
      <c r="J411" s="12"/>
    </row>
    <row r="412">
      <c r="A412">
        <f>IFERROR(__xludf.DUMMYFUNCTION("""COMPUTED_VALUE"""),564.0)</f>
        <v>564</v>
      </c>
      <c r="B412" s="12" t="str">
        <f>IFERROR(__xludf.DUMMYFUNCTION("""COMPUTED_VALUE"""),"I considered my privacy and security.")</f>
        <v>I considered my privacy and security.</v>
      </c>
      <c r="C412" s="12"/>
      <c r="D412" s="12"/>
      <c r="E412" s="12"/>
      <c r="F412" s="12"/>
      <c r="G412" s="12"/>
      <c r="H412" s="12"/>
      <c r="I412" s="12"/>
      <c r="J412" s="12"/>
    </row>
    <row r="413">
      <c r="A413">
        <f>IFERROR(__xludf.DUMMYFUNCTION("""COMPUTED_VALUE"""),566.0)</f>
        <v>566</v>
      </c>
      <c r="B413" s="12" t="str">
        <f>IFERROR(__xludf.DUMMYFUNCTION("""COMPUTED_VALUE"""),"How easy it would be to unsubscribe from the lists, how long the service would have access to my calendar when I delete lists or deactivate my account, what other aspects of my account could the service gain access to without my knowledge.")</f>
        <v>How easy it would be to unsubscribe from the lists, how long the service would have access to my calendar when I delete lists or deactivate my account, what other aspects of my account could the service gain access to without my knowledge.</v>
      </c>
      <c r="C413" s="12"/>
      <c r="D413" s="12"/>
      <c r="E413" s="12"/>
      <c r="F413" s="12"/>
      <c r="G413" s="12"/>
      <c r="H413" s="12"/>
      <c r="I413" s="12"/>
      <c r="J413" s="12"/>
    </row>
    <row r="414">
      <c r="A414">
        <f>IFERROR(__xludf.DUMMYFUNCTION("""COMPUTED_VALUE"""),569.0)</f>
        <v>569</v>
      </c>
      <c r="B414" s="12" t="str">
        <f>IFERROR(__xludf.DUMMYFUNCTION("""COMPUTED_VALUE"""),"I reviewed everything to ensure it was all necessary.")</f>
        <v>I reviewed everything to ensure it was all necessary.</v>
      </c>
      <c r="C414" s="12"/>
      <c r="D414" s="12"/>
      <c r="E414" s="12"/>
      <c r="F414" s="12"/>
      <c r="G414" s="12"/>
      <c r="H414" s="12"/>
      <c r="I414" s="12"/>
      <c r="J414" s="12"/>
    </row>
    <row r="415">
      <c r="A415">
        <f>IFERROR(__xludf.DUMMYFUNCTION("""COMPUTED_VALUE"""),570.0)</f>
        <v>570</v>
      </c>
      <c r="B415" s="12" t="str">
        <f>IFERROR(__xludf.DUMMYFUNCTION("""COMPUTED_VALUE"""),"If my privacy would be compromised.")</f>
        <v>If my privacy would be compromised.</v>
      </c>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t="str">
        <f>IFERROR(__xludf.DUMMYFUNCTION("""COMPUTED_VALUE"""),"Nothing really")</f>
        <v>Nothing really</v>
      </c>
      <c r="C418" s="12"/>
      <c r="D418" s="12"/>
      <c r="E418" s="12"/>
      <c r="F418" s="12"/>
      <c r="G418" s="12"/>
      <c r="H418" s="12"/>
      <c r="I418" s="12"/>
      <c r="J418" s="12"/>
    </row>
    <row r="419">
      <c r="A419">
        <f>IFERROR(__xludf.DUMMYFUNCTION("""COMPUTED_VALUE"""),580.0)</f>
        <v>580</v>
      </c>
      <c r="B419" s="12" t="str">
        <f>IFERROR(__xludf.DUMMYFUNCTION("""COMPUTED_VALUE"""),"The reputability of the app and the permissions requested.")</f>
        <v>The reputability of the app and the permissions requested.</v>
      </c>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t="str">
        <f>IFERROR(__xludf.DUMMYFUNCTION("""COMPUTED_VALUE"""),"Whether or not that app was legitimate.")</f>
        <v>Whether or not that app was legitimate.</v>
      </c>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t="str">
        <f>IFERROR(__xludf.DUMMYFUNCTION("""COMPUTED_VALUE"""),"Nothing really. I typically use really trusted software so don't have a concern sharing these permissions.")</f>
        <v>Nothing really. I typically use really trusted software so don't have a concern sharing these permissions.</v>
      </c>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t="str">
        <f>IFERROR(__xludf.DUMMYFUNCTION("""COMPUTED_VALUE"""),"I was concerned about the safety of my info.")</f>
        <v>I was concerned about the safety of my info.</v>
      </c>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t="str">
        <f>IFERROR(__xludf.DUMMYFUNCTION("""COMPUTED_VALUE"""),"If the site was reputable")</f>
        <v>If the site was reputable</v>
      </c>
      <c r="C428" s="12"/>
      <c r="D428" s="12"/>
      <c r="E428" s="12"/>
      <c r="F428" s="12"/>
      <c r="G428" s="12"/>
      <c r="H428" s="12"/>
      <c r="I428" s="12"/>
      <c r="J428" s="12"/>
    </row>
    <row r="429">
      <c r="A429">
        <f>IFERROR(__xludf.DUMMYFUNCTION("""COMPUTED_VALUE"""),593.0)</f>
        <v>593</v>
      </c>
      <c r="B429" s="12" t="str">
        <f>IFERROR(__xludf.DUMMYFUNCTION("""COMPUTED_VALUE"""),"Just the ease of use and how i rather use the google than facebook or apple")</f>
        <v>Just the ease of use and how i rather use the google than facebook or apple</v>
      </c>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t="str">
        <f>IFERROR(__xludf.DUMMYFUNCTION("""COMPUTED_VALUE"""),"Nothing")</f>
        <v>Nothing</v>
      </c>
      <c r="C431" s="12"/>
      <c r="D431" s="12"/>
      <c r="E431" s="12"/>
      <c r="F431" s="12"/>
      <c r="G431" s="12"/>
      <c r="H431" s="12"/>
      <c r="I431" s="12"/>
      <c r="J431" s="12"/>
    </row>
    <row r="432">
      <c r="A432">
        <f>IFERROR(__xludf.DUMMYFUNCTION("""COMPUTED_VALUE"""),598.0)</f>
        <v>598</v>
      </c>
      <c r="B432" s="12" t="str">
        <f>IFERROR(__xludf.DUMMYFUNCTION("""COMPUTED_VALUE"""),"I considered that this was probably risky, but I don't store any private information in my email and use a different email for passwords most of the time so it seemed like it was probably okay. I still worry about it a little bit though.")</f>
        <v>I considered that this was probably risky, but I don't store any private information in my email and use a different email for passwords most of the time so it seemed like it was probably okay. I still worry about it a little bit though.</v>
      </c>
      <c r="C432" s="12"/>
      <c r="D432" s="12"/>
      <c r="E432" s="12"/>
      <c r="F432" s="12"/>
      <c r="G432" s="12"/>
      <c r="H432" s="12"/>
      <c r="I432" s="12"/>
      <c r="J432" s="12"/>
    </row>
    <row r="433">
      <c r="A433">
        <f>IFERROR(__xludf.DUMMYFUNCTION("""COMPUTED_VALUE"""),600.0)</f>
        <v>600</v>
      </c>
      <c r="B433" s="12" t="str">
        <f>IFERROR(__xludf.DUMMYFUNCTION("""COMPUTED_VALUE"""),"I don't recall.")</f>
        <v>I don't recall.</v>
      </c>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IFERROR(__xludf.DUMMYFUNCTION("QUERY({'S12 (secondary)'!C2:C1000;'S12 (secondary)'!D2:D1000;'S12 (secondary)'!E2:E1000;'S12 (secondary)'!F2:F1000;'S12 (secondary)'!G2:G1000;'S12 (secondary)'!H2:H1000;'S12 (secondary)'!I2:I1000;'S12 (secondary)'!J2:J1000;'S12 (secondary)'!K2:K1000}, ""s"&amp;"elect Col1, count(Col1) where Col1 is not null group by Col1 order by Col1 asc"")"),"")</f>
        <v/>
      </c>
      <c r="B2" s="34" t="str">
        <f>IFERROR(__xludf.DUMMYFUNCTION("""COMPUTED_VALUE"""),"count ")</f>
        <v>count </v>
      </c>
      <c r="C2" s="34"/>
      <c r="D2" s="34"/>
      <c r="E2" s="34" t="str">
        <f>IFERROR(__xludf.DUMMYFUNCTION("QUERY({'S12 (secondary)'!C2:C1000;'S12 (secondary)'!D2:D1000;'S12 (secondary)'!E2:E1000;'S12 (secondary)'!F2:F1000;'S12 (secondary)'!G2:G1000;'S12 (secondary)'!H2:H1000;'S12 (secondary)'!I2:I1000;'S12 (secondary)'!J2:J1000;'S12 (secondary)'!K2:K1000}, ""s"&amp;"elect Col1, count(Col1) where Col1 is not null and not Col1 contains '-&gt;' group by Col1 order by count(Col1) asc"")"),"")</f>
        <v/>
      </c>
      <c r="F2" s="34" t="str">
        <f>IFERROR(__xludf.DUMMYFUNCTION("""COMPUTED_VALUE"""),"count ")</f>
        <v>count </v>
      </c>
    </row>
    <row r="3">
      <c r="A3" t="str">
        <f>IFERROR(__xludf.DUMMYFUNCTION("""COMPUTED_VALUE"""),"comfort_with_app_or_service")</f>
        <v>comfort_with_app_or_service</v>
      </c>
      <c r="B3">
        <f>IFERROR(__xludf.DUMMYFUNCTION("""COMPUTED_VALUE"""),5.0)</f>
        <v>5</v>
      </c>
      <c r="E3" t="str">
        <f>IFERROR(__xludf.DUMMYFUNCTION("""COMPUTED_VALUE"""),"other_options")</f>
        <v>other_options</v>
      </c>
      <c r="F3">
        <f>IFERROR(__xludf.DUMMYFUNCTION("""COMPUTED_VALUE"""),1.0)</f>
        <v>1</v>
      </c>
    </row>
    <row r="4">
      <c r="A4" t="str">
        <f>IFERROR(__xludf.DUMMYFUNCTION("""COMPUTED_VALUE"""),"comfort_with_app_or_service-&gt;access_to_information")</f>
        <v>comfort_with_app_or_service-&gt;access_to_information</v>
      </c>
      <c r="B4">
        <f>IFERROR(__xludf.DUMMYFUNCTION("""COMPUTED_VALUE"""),4.0)</f>
        <v>4</v>
      </c>
      <c r="E4" t="str">
        <f>IFERROR(__xludf.DUMMYFUNCTION("""COMPUTED_VALUE"""),"safety_of_app")</f>
        <v>safety_of_app</v>
      </c>
      <c r="F4">
        <f>IFERROR(__xludf.DUMMYFUNCTION("""COMPUTED_VALUE"""),1.0)</f>
        <v>1</v>
      </c>
    </row>
    <row r="5">
      <c r="A5" t="str">
        <f>IFERROR(__xludf.DUMMYFUNCTION("""COMPUTED_VALUE"""),"convenience")</f>
        <v>convenience</v>
      </c>
      <c r="B5">
        <f>IFERROR(__xludf.DUMMYFUNCTION("""COMPUTED_VALUE"""),5.0)</f>
        <v>5</v>
      </c>
      <c r="E5" t="str">
        <f>IFERROR(__xludf.DUMMYFUNCTION("""COMPUTED_VALUE"""),"transfer_of_trust")</f>
        <v>transfer_of_trust</v>
      </c>
      <c r="F5">
        <f>IFERROR(__xludf.DUMMYFUNCTION("""COMPUTED_VALUE"""),1.0)</f>
        <v>1</v>
      </c>
    </row>
    <row r="6">
      <c r="A6" t="str">
        <f>IFERROR(__xludf.DUMMYFUNCTION("""COMPUTED_VALUE"""),"convenience-&gt;account_creation")</f>
        <v>convenience-&gt;account_creation</v>
      </c>
      <c r="B6">
        <f>IFERROR(__xludf.DUMMYFUNCTION("""COMPUTED_VALUE"""),1.0)</f>
        <v>1</v>
      </c>
      <c r="E6" t="str">
        <f>IFERROR(__xludf.DUMMYFUNCTION("""COMPUTED_VALUE"""),"unconcerned")</f>
        <v>unconcerned</v>
      </c>
      <c r="F6">
        <f>IFERROR(__xludf.DUMMYFUNCTION("""COMPUTED_VALUE"""),1.0)</f>
        <v>1</v>
      </c>
    </row>
    <row r="7">
      <c r="A7" t="str">
        <f>IFERROR(__xludf.DUMMYFUNCTION("""COMPUTED_VALUE"""),"ease_of_use")</f>
        <v>ease_of_use</v>
      </c>
      <c r="B7">
        <f>IFERROR(__xludf.DUMMYFUNCTION("""COMPUTED_VALUE"""),2.0)</f>
        <v>2</v>
      </c>
      <c r="E7" t="str">
        <f>IFERROR(__xludf.DUMMYFUNCTION("""COMPUTED_VALUE"""),"unwanted_emails")</f>
        <v>unwanted_emails</v>
      </c>
      <c r="F7">
        <f>IFERROR(__xludf.DUMMYFUNCTION("""COMPUTED_VALUE"""),1.0)</f>
        <v>1</v>
      </c>
    </row>
    <row r="8">
      <c r="A8" t="str">
        <f>IFERROR(__xludf.DUMMYFUNCTION("""COMPUTED_VALUE"""),"ease_of_use-&gt;already_connected")</f>
        <v>ease_of_use-&gt;already_connected</v>
      </c>
      <c r="B8">
        <f>IFERROR(__xludf.DUMMYFUNCTION("""COMPUTED_VALUE"""),1.0)</f>
        <v>1</v>
      </c>
      <c r="E8" t="str">
        <f>IFERROR(__xludf.DUMMYFUNCTION("""COMPUTED_VALUE"""),"ease_of_use")</f>
        <v>ease_of_use</v>
      </c>
      <c r="F8">
        <f>IFERROR(__xludf.DUMMYFUNCTION("""COMPUTED_VALUE"""),2.0)</f>
        <v>2</v>
      </c>
    </row>
    <row r="9">
      <c r="A9" t="str">
        <f>IFERROR(__xludf.DUMMYFUNCTION("""COMPUTED_VALUE"""),"is_app_useful")</f>
        <v>is_app_useful</v>
      </c>
      <c r="B9">
        <f>IFERROR(__xludf.DUMMYFUNCTION("""COMPUTED_VALUE"""),2.0)</f>
        <v>2</v>
      </c>
      <c r="E9" t="str">
        <f>IFERROR(__xludf.DUMMYFUNCTION("""COMPUTED_VALUE"""),"is_app_useful")</f>
        <v>is_app_useful</v>
      </c>
      <c r="F9">
        <f>IFERROR(__xludf.DUMMYFUNCTION("""COMPUTED_VALUE"""),2.0)</f>
        <v>2</v>
      </c>
    </row>
    <row r="10">
      <c r="A10" t="str">
        <f>IFERROR(__xludf.DUMMYFUNCTION("""COMPUTED_VALUE"""),"is_trusted")</f>
        <v>is_trusted</v>
      </c>
      <c r="B10">
        <f>IFERROR(__xludf.DUMMYFUNCTION("""COMPUTED_VALUE"""),6.0)</f>
        <v>6</v>
      </c>
      <c r="E10" t="str">
        <f>IFERROR(__xludf.DUMMYFUNCTION("""COMPUTED_VALUE"""),"unsure")</f>
        <v>unsure</v>
      </c>
      <c r="F10">
        <f>IFERROR(__xludf.DUMMYFUNCTION("""COMPUTED_VALUE"""),2.0)</f>
        <v>2</v>
      </c>
    </row>
    <row r="11">
      <c r="A11" t="str">
        <f>IFERROR(__xludf.DUMMYFUNCTION("""COMPUTED_VALUE"""),"is_trusted-&gt;app")</f>
        <v>is_trusted-&gt;app</v>
      </c>
      <c r="B11">
        <f>IFERROR(__xludf.DUMMYFUNCTION("""COMPUTED_VALUE"""),3.0)</f>
        <v>3</v>
      </c>
      <c r="E11" t="str">
        <f>IFERROR(__xludf.DUMMYFUNCTION("""COMPUTED_VALUE"""),"privacy")</f>
        <v>privacy</v>
      </c>
      <c r="F11">
        <f>IFERROR(__xludf.DUMMYFUNCTION("""COMPUTED_VALUE"""),3.0)</f>
        <v>3</v>
      </c>
    </row>
    <row r="12">
      <c r="A12" t="str">
        <f>IFERROR(__xludf.DUMMYFUNCTION("""COMPUTED_VALUE"""),"is_trusted-&gt;company")</f>
        <v>is_trusted-&gt;company</v>
      </c>
      <c r="B12">
        <f>IFERROR(__xludf.DUMMYFUNCTION("""COMPUTED_VALUE"""),2.0)</f>
        <v>2</v>
      </c>
      <c r="E12" t="str">
        <f>IFERROR(__xludf.DUMMYFUNCTION("""COMPUTED_VALUE"""),"personal_information")</f>
        <v>personal_information</v>
      </c>
      <c r="F12">
        <f>IFERROR(__xludf.DUMMYFUNCTION("""COMPUTED_VALUE"""),4.0)</f>
        <v>4</v>
      </c>
    </row>
    <row r="13">
      <c r="A13" t="str">
        <f>IFERROR(__xludf.DUMMYFUNCTION("""COMPUTED_VALUE"""),"is_trusted-&gt;website")</f>
        <v>is_trusted-&gt;website</v>
      </c>
      <c r="B13">
        <f>IFERROR(__xludf.DUMMYFUNCTION("""COMPUTED_VALUE"""),1.0)</f>
        <v>1</v>
      </c>
      <c r="E13" t="str">
        <f>IFERROR(__xludf.DUMMYFUNCTION("""COMPUTED_VALUE"""),"comfort_with_app_or_service")</f>
        <v>comfort_with_app_or_service</v>
      </c>
      <c r="F13">
        <f>IFERROR(__xludf.DUMMYFUNCTION("""COMPUTED_VALUE"""),5.0)</f>
        <v>5</v>
      </c>
    </row>
    <row r="14">
      <c r="A14" t="str">
        <f>IFERROR(__xludf.DUMMYFUNCTION("""COMPUTED_VALUE"""),"nothing")</f>
        <v>nothing</v>
      </c>
      <c r="B14">
        <f>IFERROR(__xludf.DUMMYFUNCTION("""COMPUTED_VALUE"""),6.0)</f>
        <v>6</v>
      </c>
      <c r="E14" t="str">
        <f>IFERROR(__xludf.DUMMYFUNCTION("""COMPUTED_VALUE"""),"convenience")</f>
        <v>convenience</v>
      </c>
      <c r="F14">
        <f>IFERROR(__xludf.DUMMYFUNCTION("""COMPUTED_VALUE"""),5.0)</f>
        <v>5</v>
      </c>
    </row>
    <row r="15">
      <c r="A15" t="str">
        <f>IFERROR(__xludf.DUMMYFUNCTION("""COMPUTED_VALUE"""),"other_options")</f>
        <v>other_options</v>
      </c>
      <c r="B15">
        <f>IFERROR(__xludf.DUMMYFUNCTION("""COMPUTED_VALUE"""),1.0)</f>
        <v>1</v>
      </c>
      <c r="E15" t="str">
        <f>IFERROR(__xludf.DUMMYFUNCTION("""COMPUTED_VALUE"""),"is_trusted")</f>
        <v>is_trusted</v>
      </c>
      <c r="F15">
        <f>IFERROR(__xludf.DUMMYFUNCTION("""COMPUTED_VALUE"""),6.0)</f>
        <v>6</v>
      </c>
    </row>
    <row r="16">
      <c r="A16" t="str">
        <f>IFERROR(__xludf.DUMMYFUNCTION("""COMPUTED_VALUE"""),"permissions")</f>
        <v>permissions</v>
      </c>
      <c r="B16">
        <f>IFERROR(__xludf.DUMMYFUNCTION("""COMPUTED_VALUE"""),9.0)</f>
        <v>9</v>
      </c>
      <c r="E16" t="str">
        <f>IFERROR(__xludf.DUMMYFUNCTION("""COMPUTED_VALUE"""),"nothing")</f>
        <v>nothing</v>
      </c>
      <c r="F16">
        <f>IFERROR(__xludf.DUMMYFUNCTION("""COMPUTED_VALUE"""),6.0)</f>
        <v>6</v>
      </c>
    </row>
    <row r="17">
      <c r="A17" t="str">
        <f>IFERROR(__xludf.DUMMYFUNCTION("""COMPUTED_VALUE"""),"permissions-&gt;access")</f>
        <v>permissions-&gt;access</v>
      </c>
      <c r="B17">
        <f>IFERROR(__xludf.DUMMYFUNCTION("""COMPUTED_VALUE"""),1.0)</f>
        <v>1</v>
      </c>
      <c r="E17" t="str">
        <f>IFERROR(__xludf.DUMMYFUNCTION("""COMPUTED_VALUE"""),"security")</f>
        <v>security</v>
      </c>
      <c r="F17">
        <f>IFERROR(__xludf.DUMMYFUNCTION("""COMPUTED_VALUE"""),8.0)</f>
        <v>8</v>
      </c>
    </row>
    <row r="18">
      <c r="A18" t="str">
        <f>IFERROR(__xludf.DUMMYFUNCTION("""COMPUTED_VALUE"""),"permissions-&gt;alternate_app_with_fewer")</f>
        <v>permissions-&gt;alternate_app_with_fewer</v>
      </c>
      <c r="B18">
        <f>IFERROR(__xludf.DUMMYFUNCTION("""COMPUTED_VALUE"""),1.0)</f>
        <v>1</v>
      </c>
      <c r="E18" t="str">
        <f>IFERROR(__xludf.DUMMYFUNCTION("""COMPUTED_VALUE"""),"permissions")</f>
        <v>permissions</v>
      </c>
      <c r="F18">
        <f>IFERROR(__xludf.DUMMYFUNCTION("""COMPUTED_VALUE"""),9.0)</f>
        <v>9</v>
      </c>
    </row>
    <row r="19">
      <c r="A19" t="str">
        <f>IFERROR(__xludf.DUMMYFUNCTION("""COMPUTED_VALUE"""),"permissions-&gt;contact_info")</f>
        <v>permissions-&gt;contact_info</v>
      </c>
      <c r="B19">
        <f>IFERROR(__xludf.DUMMYFUNCTION("""COMPUTED_VALUE"""),1.0)</f>
        <v>1</v>
      </c>
    </row>
    <row r="20">
      <c r="A20" t="str">
        <f>IFERROR(__xludf.DUMMYFUNCTION("""COMPUTED_VALUE"""),"permissions-&gt;correct")</f>
        <v>permissions-&gt;correct</v>
      </c>
      <c r="B20">
        <f>IFERROR(__xludf.DUMMYFUNCTION("""COMPUTED_VALUE"""),1.0)</f>
        <v>1</v>
      </c>
    </row>
    <row r="21">
      <c r="A21" t="str">
        <f>IFERROR(__xludf.DUMMYFUNCTION("""COMPUTED_VALUE"""),"permissions-&gt;media")</f>
        <v>permissions-&gt;media</v>
      </c>
      <c r="B21">
        <f>IFERROR(__xludf.DUMMYFUNCTION("""COMPUTED_VALUE"""),1.0)</f>
        <v>1</v>
      </c>
    </row>
    <row r="22">
      <c r="A22" t="str">
        <f>IFERROR(__xludf.DUMMYFUNCTION("""COMPUTED_VALUE"""),"permissions-&gt;necessary")</f>
        <v>permissions-&gt;necessary</v>
      </c>
      <c r="B22">
        <f>IFERROR(__xludf.DUMMYFUNCTION("""COMPUTED_VALUE"""),2.0)</f>
        <v>2</v>
      </c>
    </row>
    <row r="23">
      <c r="A23" t="str">
        <f>IFERROR(__xludf.DUMMYFUNCTION("""COMPUTED_VALUE"""),"permissions-&gt;what_information_accessible")</f>
        <v>permissions-&gt;what_information_accessible</v>
      </c>
      <c r="B23">
        <f>IFERROR(__xludf.DUMMYFUNCTION("""COMPUTED_VALUE"""),1.0)</f>
        <v>1</v>
      </c>
    </row>
    <row r="24">
      <c r="A24" t="str">
        <f>IFERROR(__xludf.DUMMYFUNCTION("""COMPUTED_VALUE"""),"personal_information")</f>
        <v>personal_information</v>
      </c>
      <c r="B24">
        <f>IFERROR(__xludf.DUMMYFUNCTION("""COMPUTED_VALUE"""),4.0)</f>
        <v>4</v>
      </c>
    </row>
    <row r="25">
      <c r="A25" t="str">
        <f>IFERROR(__xludf.DUMMYFUNCTION("""COMPUTED_VALUE"""),"personal_information-&gt;amount_collected")</f>
        <v>personal_information-&gt;amount_collected</v>
      </c>
      <c r="B25">
        <f>IFERROR(__xludf.DUMMYFUNCTION("""COMPUTED_VALUE"""),2.0)</f>
        <v>2</v>
      </c>
    </row>
    <row r="26">
      <c r="A26" t="str">
        <f>IFERROR(__xludf.DUMMYFUNCTION("""COMPUTED_VALUE"""),"personal_information-&gt;email")</f>
        <v>personal_information-&gt;email</v>
      </c>
      <c r="B26">
        <f>IFERROR(__xludf.DUMMYFUNCTION("""COMPUTED_VALUE"""),1.0)</f>
        <v>1</v>
      </c>
    </row>
    <row r="27">
      <c r="A27" t="str">
        <f>IFERROR(__xludf.DUMMYFUNCTION("""COMPUTED_VALUE"""),"privacy")</f>
        <v>privacy</v>
      </c>
      <c r="B27">
        <f>IFERROR(__xludf.DUMMYFUNCTION("""COMPUTED_VALUE"""),3.0)</f>
        <v>3</v>
      </c>
    </row>
    <row r="28">
      <c r="A28" t="str">
        <f>IFERROR(__xludf.DUMMYFUNCTION("""COMPUTED_VALUE"""),"safety_of_app")</f>
        <v>safety_of_app</v>
      </c>
      <c r="B28">
        <f>IFERROR(__xludf.DUMMYFUNCTION("""COMPUTED_VALUE"""),1.0)</f>
        <v>1</v>
      </c>
    </row>
    <row r="29">
      <c r="A29" t="str">
        <f>IFERROR(__xludf.DUMMYFUNCTION("""COMPUTED_VALUE"""),"security")</f>
        <v>security</v>
      </c>
      <c r="B29">
        <f>IFERROR(__xludf.DUMMYFUNCTION("""COMPUTED_VALUE"""),8.0)</f>
        <v>8</v>
      </c>
    </row>
    <row r="30">
      <c r="A30" t="str">
        <f>IFERROR(__xludf.DUMMYFUNCTION("""COMPUTED_VALUE"""),"security-&gt;information_theft")</f>
        <v>security-&gt;information_theft</v>
      </c>
      <c r="B30">
        <f>IFERROR(__xludf.DUMMYFUNCTION("""COMPUTED_VALUE"""),1.0)</f>
        <v>1</v>
      </c>
    </row>
    <row r="31">
      <c r="A31" t="str">
        <f>IFERROR(__xludf.DUMMYFUNCTION("""COMPUTED_VALUE"""),"transfer_of_trust")</f>
        <v>transfer_of_trust</v>
      </c>
      <c r="B31">
        <f>IFERROR(__xludf.DUMMYFUNCTION("""COMPUTED_VALUE"""),1.0)</f>
        <v>1</v>
      </c>
    </row>
    <row r="32">
      <c r="A32" t="str">
        <f>IFERROR(__xludf.DUMMYFUNCTION("""COMPUTED_VALUE"""),"transfer_of_trust-&gt;from_google")</f>
        <v>transfer_of_trust-&gt;from_google</v>
      </c>
      <c r="B32">
        <f>IFERROR(__xludf.DUMMYFUNCTION("""COMPUTED_VALUE"""),1.0)</f>
        <v>1</v>
      </c>
    </row>
    <row r="33">
      <c r="A33" t="str">
        <f>IFERROR(__xludf.DUMMYFUNCTION("""COMPUTED_VALUE"""),"unconcerned")</f>
        <v>unconcerned</v>
      </c>
      <c r="B33">
        <f>IFERROR(__xludf.DUMMYFUNCTION("""COMPUTED_VALUE"""),1.0)</f>
        <v>1</v>
      </c>
    </row>
    <row r="34">
      <c r="A34" t="str">
        <f>IFERROR(__xludf.DUMMYFUNCTION("""COMPUTED_VALUE"""),"unsure")</f>
        <v>unsure</v>
      </c>
      <c r="B34">
        <f>IFERROR(__xludf.DUMMYFUNCTION("""COMPUTED_VALUE"""),2.0)</f>
        <v>2</v>
      </c>
    </row>
    <row r="35">
      <c r="A35" t="str">
        <f>IFERROR(__xludf.DUMMYFUNCTION("""COMPUTED_VALUE"""),"unwanted_emails")</f>
        <v>unwanted_emails</v>
      </c>
      <c r="B35">
        <f>IFERROR(__xludf.DUMMYFUNCTION("""COMPUTED_VALUE"""),1.0)</f>
        <v>1</v>
      </c>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A,G"")"),"Response ID")</f>
        <v>Response ID</v>
      </c>
      <c r="B1" s="17" t="str">
        <f>IFERROR(__xludf.DUMMYFUNCTION("""COMPUTED_VALUE"""),"google_recall_app_no_consider")</f>
        <v>google_recall_app_no_consider</v>
      </c>
      <c r="C1" s="17" t="s">
        <v>1399</v>
      </c>
      <c r="D1" s="17" t="s">
        <v>1400</v>
      </c>
      <c r="E1" s="17" t="s">
        <v>1401</v>
      </c>
      <c r="F1" s="17" t="s">
        <v>1402</v>
      </c>
      <c r="G1" s="17" t="s">
        <v>1403</v>
      </c>
      <c r="H1" s="17" t="s">
        <v>1404</v>
      </c>
      <c r="I1" s="17" t="s">
        <v>1405</v>
      </c>
      <c r="J1" s="17" t="s">
        <v>1406</v>
      </c>
    </row>
    <row r="2">
      <c r="A2" s="48">
        <f>IFERROR(__xludf.DUMMYFUNCTION("""COMPUTED_VALUE"""),1.0)</f>
        <v>1</v>
      </c>
      <c r="B2" s="19" t="str">
        <f>IFERROR(__xludf.DUMMYFUNCTION("""COMPUTED_VALUE"""),"Protection and privacy of my data.")</f>
        <v>Protection and privacy of my data.</v>
      </c>
      <c r="C2" s="45" t="s">
        <v>384</v>
      </c>
      <c r="D2" s="3" t="s">
        <v>1737</v>
      </c>
      <c r="E2" s="3"/>
      <c r="F2" s="3"/>
      <c r="G2" s="3"/>
      <c r="H2" s="12"/>
      <c r="I2" s="12"/>
      <c r="J2" s="12"/>
    </row>
    <row r="3">
      <c r="A3" s="48">
        <f>IFERROR(__xludf.DUMMYFUNCTION("""COMPUTED_VALUE"""),2.0)</f>
        <v>2</v>
      </c>
      <c r="B3" s="19" t="str">
        <f>IFERROR(__xludf.DUMMYFUNCTION("""COMPUTED_VALUE"""),"what information they would have access to")</f>
        <v>what information they would have access to</v>
      </c>
      <c r="C3" s="46" t="s">
        <v>1696</v>
      </c>
      <c r="D3" s="46" t="s">
        <v>1738</v>
      </c>
      <c r="E3" s="3"/>
      <c r="F3" s="3"/>
      <c r="G3" s="12"/>
      <c r="H3" s="12"/>
      <c r="I3" s="12"/>
      <c r="J3" s="12"/>
    </row>
    <row r="4">
      <c r="A4" s="48">
        <f>IFERROR(__xludf.DUMMYFUNCTION("""COMPUTED_VALUE"""),3.0)</f>
        <v>3</v>
      </c>
      <c r="B4" s="19" t="str">
        <f>IFERROR(__xludf.DUMMYFUNCTION("""COMPUTED_VALUE"""),"Protection and privacy of my data.")</f>
        <v>Protection and privacy of my data.</v>
      </c>
      <c r="C4" s="45" t="s">
        <v>384</v>
      </c>
      <c r="D4" s="3" t="s">
        <v>1737</v>
      </c>
      <c r="E4" s="3"/>
      <c r="F4" s="3"/>
      <c r="G4" s="12"/>
      <c r="H4" s="12"/>
      <c r="I4" s="12"/>
      <c r="J4" s="12"/>
    </row>
    <row r="5">
      <c r="A5" s="48">
        <f>IFERROR(__xludf.DUMMYFUNCTION("""COMPUTED_VALUE"""),4.0)</f>
        <v>4</v>
      </c>
      <c r="B5" s="19"/>
      <c r="C5" s="3"/>
      <c r="D5" s="3"/>
      <c r="E5" s="3"/>
      <c r="F5" s="3"/>
      <c r="G5" s="3"/>
      <c r="H5" s="12"/>
      <c r="I5" s="12"/>
      <c r="J5" s="12"/>
      <c r="K5" s="53"/>
      <c r="L5" s="53"/>
      <c r="M5" s="53"/>
      <c r="N5" s="53"/>
      <c r="O5" s="53"/>
      <c r="P5" s="53"/>
      <c r="Q5" s="53"/>
      <c r="R5" s="53"/>
      <c r="S5" s="53"/>
      <c r="T5" s="53"/>
      <c r="U5" s="53"/>
      <c r="V5" s="53"/>
      <c r="W5" s="53"/>
      <c r="X5" s="53"/>
      <c r="Y5" s="53"/>
      <c r="Z5" s="53"/>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t="str">
        <f>IFERROR(__xludf.DUMMYFUNCTION("""COMPUTED_VALUE"""),"i would want to know that i could disengage this feature easily at any time and that the app was trusted by Google.")</f>
        <v>i would want to know that i could disengage this feature easily at any time and that the app was trusted by Google.</v>
      </c>
      <c r="C8" s="45" t="s">
        <v>1708</v>
      </c>
      <c r="D8" s="45" t="s">
        <v>1709</v>
      </c>
      <c r="E8" s="34" t="s">
        <v>1598</v>
      </c>
      <c r="F8" s="34" t="s">
        <v>1731</v>
      </c>
      <c r="G8" s="12"/>
      <c r="H8" s="12"/>
      <c r="I8" s="12"/>
      <c r="J8" s="12"/>
    </row>
    <row r="9">
      <c r="A9" s="48">
        <f>IFERROR(__xludf.DUMMYFUNCTION("""COMPUTED_VALUE"""),13.0)</f>
        <v>13</v>
      </c>
      <c r="B9" s="19" t="str">
        <f>IFERROR(__xludf.DUMMYFUNCTION("""COMPUTED_VALUE"""),"How much access to my info they would have")</f>
        <v>How much access to my info they would have</v>
      </c>
      <c r="C9" s="46" t="s">
        <v>1696</v>
      </c>
      <c r="D9" s="46" t="s">
        <v>1738</v>
      </c>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t="str">
        <f>IFERROR(__xludf.DUMMYFUNCTION("""COMPUTED_VALUE"""),"If the app was safe and legitimate.")</f>
        <v>If the app was safe and legitimate.</v>
      </c>
      <c r="C12" s="45" t="s">
        <v>1707</v>
      </c>
      <c r="D12" s="45" t="s">
        <v>1701</v>
      </c>
      <c r="E12" s="34" t="s">
        <v>1702</v>
      </c>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45"/>
      <c r="D15" s="3"/>
      <c r="E15" s="12"/>
      <c r="F15" s="12"/>
      <c r="G15" s="12"/>
      <c r="H15" s="12"/>
      <c r="I15" s="12"/>
      <c r="J15" s="12"/>
      <c r="K15" s="53"/>
      <c r="L15" s="53"/>
      <c r="M15" s="53"/>
      <c r="N15" s="53"/>
      <c r="O15" s="53"/>
      <c r="P15" s="53"/>
      <c r="Q15" s="53"/>
      <c r="R15" s="53"/>
      <c r="S15" s="53"/>
      <c r="T15" s="53"/>
      <c r="U15" s="53"/>
      <c r="V15" s="53"/>
      <c r="W15" s="53"/>
      <c r="X15" s="53"/>
      <c r="Y15" s="53"/>
      <c r="Z15" s="53"/>
    </row>
    <row r="16">
      <c r="A16" s="48">
        <f>IFERROR(__xludf.DUMMYFUNCTION("""COMPUTED_VALUE"""),25.0)</f>
        <v>25</v>
      </c>
      <c r="B16" s="19"/>
      <c r="C16" s="45"/>
      <c r="D16" s="3"/>
      <c r="E16" s="3"/>
      <c r="F16" s="12"/>
      <c r="G16" s="12"/>
      <c r="H16" s="12"/>
      <c r="I16" s="12"/>
      <c r="J16" s="12"/>
      <c r="K16" s="53"/>
      <c r="L16" s="53"/>
      <c r="M16" s="53"/>
      <c r="N16" s="53"/>
      <c r="O16" s="53"/>
      <c r="P16" s="53"/>
      <c r="Q16" s="53"/>
      <c r="R16" s="53"/>
      <c r="S16" s="53"/>
      <c r="T16" s="53"/>
      <c r="U16" s="53"/>
      <c r="V16" s="53"/>
      <c r="W16" s="53"/>
      <c r="X16" s="53"/>
      <c r="Y16" s="53"/>
      <c r="Z16" s="53"/>
    </row>
    <row r="17">
      <c r="A17" s="48">
        <f>IFERROR(__xludf.DUMMYFUNCTION("""COMPUTED_VALUE"""),26.0)</f>
        <v>26</v>
      </c>
      <c r="B17" s="19" t="str">
        <f>IFERROR(__xludf.DUMMYFUNCTION("""COMPUTED_VALUE"""),"what they are being given access to")</f>
        <v>what they are being given access to</v>
      </c>
      <c r="C17" s="46" t="s">
        <v>1696</v>
      </c>
      <c r="D17" s="46" t="s">
        <v>1738</v>
      </c>
      <c r="E17" s="26"/>
      <c r="F17" s="12"/>
      <c r="G17" s="12"/>
      <c r="H17" s="12"/>
      <c r="I17" s="12"/>
      <c r="J17" s="12"/>
    </row>
    <row r="18">
      <c r="A18" s="48">
        <f>IFERROR(__xludf.DUMMYFUNCTION("""COMPUTED_VALUE"""),28.0)</f>
        <v>28</v>
      </c>
      <c r="B18" s="19"/>
      <c r="C18" s="63"/>
      <c r="D18" s="37"/>
      <c r="E18" s="3"/>
      <c r="F18" s="12"/>
      <c r="G18" s="12"/>
      <c r="H18" s="12"/>
      <c r="I18" s="12"/>
      <c r="J18" s="12"/>
    </row>
    <row r="19">
      <c r="A19" s="48">
        <f>IFERROR(__xludf.DUMMYFUNCTION("""COMPUTED_VALUE"""),29.0)</f>
        <v>29</v>
      </c>
      <c r="B19" s="19"/>
      <c r="C19" s="63"/>
      <c r="D19" s="26"/>
      <c r="E19" s="3"/>
      <c r="F19" s="12"/>
      <c r="G19" s="12"/>
      <c r="H19" s="12"/>
      <c r="I19" s="12"/>
      <c r="J19" s="12"/>
    </row>
    <row r="20">
      <c r="A20" s="48">
        <f>IFERROR(__xludf.DUMMYFUNCTION("""COMPUTED_VALUE"""),30.0)</f>
        <v>30</v>
      </c>
      <c r="B20" s="19"/>
      <c r="C20" s="63"/>
      <c r="D20" s="3"/>
      <c r="E20" s="3"/>
      <c r="F20" s="12"/>
      <c r="G20" s="12"/>
      <c r="H20" s="12"/>
      <c r="I20" s="12"/>
      <c r="J20" s="12"/>
    </row>
    <row r="21">
      <c r="A21" s="48">
        <f>IFERROR(__xludf.DUMMYFUNCTION("""COMPUTED_VALUE"""),31.0)</f>
        <v>31</v>
      </c>
      <c r="B21" s="19" t="str">
        <f>IFERROR(__xludf.DUMMYFUNCTION("""COMPUTED_VALUE"""),"I would need to see if that app is safe, I do not want to just grant access to anyone.")</f>
        <v>I would need to see if that app is safe, I do not want to just grant access to anyone.</v>
      </c>
      <c r="C21" s="34" t="s">
        <v>1707</v>
      </c>
      <c r="D21" s="45"/>
      <c r="E21" s="34"/>
      <c r="F21" s="12"/>
      <c r="G21" s="12"/>
      <c r="H21" s="12"/>
      <c r="I21" s="12"/>
      <c r="J21" s="12"/>
    </row>
    <row r="22">
      <c r="A22" s="48">
        <f>IFERROR(__xludf.DUMMYFUNCTION("""COMPUTED_VALUE"""),32.0)</f>
        <v>32</v>
      </c>
      <c r="B22" s="19" t="str">
        <f>IFERROR(__xludf.DUMMYFUNCTION("""COMPUTED_VALUE"""),"Whether I trusted the program or company or not - or if I thought they were trying to scam me.")</f>
        <v>Whether I trusted the program or company or not - or if I thought they were trying to scam me.</v>
      </c>
      <c r="C22" s="45" t="s">
        <v>1701</v>
      </c>
      <c r="D22" s="45" t="s">
        <v>1702</v>
      </c>
      <c r="E22" s="34" t="s">
        <v>1718</v>
      </c>
      <c r="F22" s="3"/>
      <c r="G22" s="12"/>
      <c r="H22" s="12"/>
      <c r="I22" s="12"/>
      <c r="J22" s="12"/>
    </row>
    <row r="23">
      <c r="A23" s="48">
        <f>IFERROR(__xludf.DUMMYFUNCTION("""COMPUTED_VALUE"""),35.0)</f>
        <v>35</v>
      </c>
      <c r="B23" s="19"/>
      <c r="C23" s="63"/>
      <c r="D23" s="3"/>
      <c r="E23" s="3"/>
      <c r="F23" s="12"/>
      <c r="G23" s="12"/>
      <c r="H23" s="12"/>
      <c r="I23" s="12"/>
      <c r="J23" s="12"/>
    </row>
    <row r="24">
      <c r="A24" s="48">
        <f>IFERROR(__xludf.DUMMYFUNCTION("""COMPUTED_VALUE"""),36.0)</f>
        <v>36</v>
      </c>
      <c r="B24" s="19"/>
      <c r="C24" s="54"/>
      <c r="D24" s="3"/>
      <c r="E24" s="12"/>
      <c r="F24" s="12"/>
      <c r="G24" s="12"/>
      <c r="H24" s="12"/>
      <c r="I24" s="12"/>
      <c r="J24" s="12"/>
    </row>
    <row r="25">
      <c r="A25" s="48">
        <f>IFERROR(__xludf.DUMMYFUNCTION("""COMPUTED_VALUE"""),39.0)</f>
        <v>39</v>
      </c>
      <c r="B25" s="19" t="str">
        <f>IFERROR(__xludf.DUMMYFUNCTION("""COMPUTED_VALUE"""),"I would make sure that my information is confidential and won't be given out to all sorts of third parties.")</f>
        <v>I would make sure that my information is confidential and won't be given out to all sorts of third parties.</v>
      </c>
      <c r="C25" s="45" t="s">
        <v>1696</v>
      </c>
      <c r="D25" s="46" t="s">
        <v>1739</v>
      </c>
      <c r="E25" s="3" t="s">
        <v>1740</v>
      </c>
      <c r="F25" s="12"/>
      <c r="G25" s="12"/>
      <c r="H25" s="12"/>
      <c r="I25" s="12"/>
      <c r="J25" s="12"/>
    </row>
    <row r="26">
      <c r="A26" s="48">
        <f>IFERROR(__xludf.DUMMYFUNCTION("""COMPUTED_VALUE"""),40.0)</f>
        <v>40</v>
      </c>
      <c r="B26" s="19" t="str">
        <f>IFERROR(__xludf.DUMMYFUNCTION("""COMPUTED_VALUE"""),"I mean I don't have anything important in my calendar. If they wanted email access I probably wouldn't do it")</f>
        <v>I mean I don't have anything important in my calendar. If they wanted email access I probably wouldn't do it</v>
      </c>
      <c r="C26" s="45" t="s">
        <v>1703</v>
      </c>
      <c r="D26" s="46" t="s">
        <v>1741</v>
      </c>
      <c r="E26" s="3"/>
      <c r="F26" s="12"/>
      <c r="G26" s="12"/>
      <c r="H26" s="12"/>
      <c r="I26" s="12"/>
      <c r="J26" s="12"/>
    </row>
    <row r="27">
      <c r="A27" s="48">
        <f>IFERROR(__xludf.DUMMYFUNCTION("""COMPUTED_VALUE"""),42.0)</f>
        <v>42</v>
      </c>
      <c r="B27" s="19"/>
      <c r="C27" s="54"/>
      <c r="D27" s="3"/>
      <c r="E27" s="12"/>
      <c r="F27" s="12"/>
      <c r="G27" s="12"/>
      <c r="H27" s="12"/>
      <c r="I27" s="12"/>
      <c r="J27" s="12"/>
    </row>
    <row r="28">
      <c r="A28" s="48">
        <f>IFERROR(__xludf.DUMMYFUNCTION("""COMPUTED_VALUE"""),46.0)</f>
        <v>46</v>
      </c>
      <c r="B28" s="19"/>
      <c r="C28" s="63"/>
      <c r="D28" s="3"/>
      <c r="E28" s="3"/>
      <c r="F28" s="26"/>
      <c r="G28" s="12"/>
      <c r="H28" s="12"/>
      <c r="I28" s="12"/>
      <c r="J28" s="12"/>
    </row>
    <row r="29">
      <c r="A29">
        <f>IFERROR(__xludf.DUMMYFUNCTION("""COMPUTED_VALUE"""),47.0)</f>
        <v>47</v>
      </c>
      <c r="B29" s="12" t="str">
        <f>IFERROR(__xludf.DUMMYFUNCTION("""COMPUTED_VALUE"""),"Access to photos or microphone.")</f>
        <v>Access to photos or microphone.</v>
      </c>
      <c r="C29" s="45" t="s">
        <v>1703</v>
      </c>
      <c r="D29" s="45" t="s">
        <v>1716</v>
      </c>
      <c r="E29" s="26"/>
      <c r="F29" s="26"/>
      <c r="G29" s="12"/>
      <c r="H29" s="12"/>
      <c r="I29" s="12"/>
      <c r="J29" s="12"/>
    </row>
    <row r="30">
      <c r="A30">
        <f>IFERROR(__xludf.DUMMYFUNCTION("""COMPUTED_VALUE"""),50.0)</f>
        <v>50</v>
      </c>
      <c r="B30" s="12"/>
      <c r="C30" s="63"/>
      <c r="D30" s="28"/>
      <c r="E30" s="28"/>
      <c r="F30" s="12"/>
      <c r="G30" s="12"/>
      <c r="H30" s="12"/>
      <c r="I30" s="12"/>
      <c r="J30" s="12"/>
    </row>
    <row r="31">
      <c r="A31">
        <f>IFERROR(__xludf.DUMMYFUNCTION("""COMPUTED_VALUE"""),51.0)</f>
        <v>51</v>
      </c>
      <c r="B31" s="12" t="str">
        <f>IFERROR(__xludf.DUMMYFUNCTION("""COMPUTED_VALUE"""),"I would consider what kind of information that they were collecting from my google account, how easy it would be to remove it from my google account if I was no longer interested in using that third-party app.")</f>
        <v>I would consider what kind of information that they were collecting from my google account, how easy it would be to remove it from my google account if I was no longer interested in using that third-party app.</v>
      </c>
      <c r="C31" s="45" t="s">
        <v>1598</v>
      </c>
      <c r="D31" s="34" t="s">
        <v>1731</v>
      </c>
      <c r="E31" s="46" t="s">
        <v>1696</v>
      </c>
      <c r="F31" s="46" t="s">
        <v>1738</v>
      </c>
      <c r="G31" s="12"/>
      <c r="H31" s="12"/>
      <c r="I31" s="12"/>
      <c r="J31" s="12"/>
    </row>
    <row r="32">
      <c r="A32">
        <f>IFERROR(__xludf.DUMMYFUNCTION("""COMPUTED_VALUE"""),52.0)</f>
        <v>52</v>
      </c>
      <c r="B32" s="12" t="str">
        <f>IFERROR(__xludf.DUMMYFUNCTION("""COMPUTED_VALUE"""),"If it would be easier to login to my google account than to create a new account on that app")</f>
        <v>If it would be easier to login to my google account than to create a new account on that app</v>
      </c>
      <c r="C32" s="45" t="s">
        <v>1598</v>
      </c>
      <c r="D32" s="3" t="s">
        <v>1609</v>
      </c>
      <c r="E32" s="12"/>
      <c r="F32" s="12"/>
      <c r="G32" s="12"/>
      <c r="H32" s="12"/>
      <c r="I32" s="12"/>
      <c r="J32" s="12"/>
    </row>
    <row r="33">
      <c r="A33">
        <f>IFERROR(__xludf.DUMMYFUNCTION("""COMPUTED_VALUE"""),53.0)</f>
        <v>53</v>
      </c>
      <c r="B33" s="12"/>
      <c r="C33" s="63"/>
      <c r="D33" s="3"/>
      <c r="E33" s="12"/>
      <c r="F33" s="12"/>
      <c r="G33" s="12"/>
      <c r="H33" s="12"/>
      <c r="I33" s="12"/>
      <c r="J33" s="12"/>
    </row>
    <row r="34">
      <c r="A34">
        <f>IFERROR(__xludf.DUMMYFUNCTION("""COMPUTED_VALUE"""),55.0)</f>
        <v>55</v>
      </c>
      <c r="B34" s="12" t="str">
        <f>IFERROR(__xludf.DUMMYFUNCTION("""COMPUTED_VALUE"""),"The trustworthiness of the app")</f>
        <v>The trustworthiness of the app</v>
      </c>
      <c r="C34" s="45" t="s">
        <v>1701</v>
      </c>
      <c r="D34" s="45" t="s">
        <v>1702</v>
      </c>
      <c r="E34" s="12"/>
      <c r="F34" s="12"/>
      <c r="G34" s="12"/>
      <c r="H34" s="12"/>
      <c r="I34" s="12"/>
      <c r="J34" s="12"/>
    </row>
    <row r="35">
      <c r="A35">
        <f>IFERROR(__xludf.DUMMYFUNCTION("""COMPUTED_VALUE"""),56.0)</f>
        <v>56</v>
      </c>
      <c r="B35" s="12"/>
      <c r="C35" s="63"/>
      <c r="E35" s="12"/>
      <c r="F35" s="12"/>
      <c r="G35" s="12"/>
      <c r="H35" s="12"/>
      <c r="I35" s="12"/>
      <c r="J35" s="12"/>
    </row>
    <row r="36">
      <c r="A36">
        <f>IFERROR(__xludf.DUMMYFUNCTION("""COMPUTED_VALUE"""),58.0)</f>
        <v>58</v>
      </c>
      <c r="B36" s="12"/>
      <c r="C36" s="3"/>
      <c r="D36" s="3"/>
      <c r="E36" s="12"/>
      <c r="F36" s="12"/>
      <c r="G36" s="12"/>
      <c r="H36" s="12"/>
      <c r="I36" s="12"/>
      <c r="J36" s="12"/>
      <c r="K36" s="53"/>
      <c r="L36" s="53"/>
      <c r="M36" s="53"/>
      <c r="N36" s="53"/>
      <c r="O36" s="53"/>
      <c r="P36" s="53"/>
      <c r="Q36" s="53"/>
      <c r="R36" s="53"/>
      <c r="S36" s="53"/>
      <c r="T36" s="53"/>
      <c r="U36" s="53"/>
      <c r="V36" s="53"/>
      <c r="W36" s="53"/>
      <c r="X36" s="53"/>
      <c r="Y36" s="53"/>
      <c r="Z36" s="53"/>
    </row>
    <row r="37">
      <c r="A37">
        <f>IFERROR(__xludf.DUMMYFUNCTION("""COMPUTED_VALUE"""),59.0)</f>
        <v>59</v>
      </c>
      <c r="B37" s="12"/>
      <c r="C37" s="28"/>
      <c r="D37" s="26"/>
      <c r="E37" s="54"/>
      <c r="F37" s="3"/>
      <c r="G37" s="3"/>
      <c r="H37" s="12"/>
      <c r="I37" s="12"/>
      <c r="J37" s="12"/>
    </row>
    <row r="38">
      <c r="A38">
        <f>IFERROR(__xludf.DUMMYFUNCTION("""COMPUTED_VALUE"""),60.0)</f>
        <v>60</v>
      </c>
      <c r="B38" s="12"/>
      <c r="C38" s="28"/>
      <c r="E38" s="12"/>
      <c r="F38" s="12"/>
      <c r="G38" s="12"/>
      <c r="H38" s="12"/>
      <c r="I38" s="12"/>
      <c r="J38" s="12"/>
    </row>
    <row r="39">
      <c r="A39">
        <f>IFERROR(__xludf.DUMMYFUNCTION("""COMPUTED_VALUE"""),61.0)</f>
        <v>61</v>
      </c>
      <c r="B39" s="12" t="str">
        <f>IFERROR(__xludf.DUMMYFUNCTION("""COMPUTED_VALUE"""),"I'd be concerned what kind of data they would be able to see and how this data would be used")</f>
        <v>I'd be concerned what kind of data they would be able to see and how this data would be used</v>
      </c>
      <c r="C39" s="45" t="s">
        <v>1696</v>
      </c>
      <c r="D39" s="46" t="s">
        <v>1738</v>
      </c>
      <c r="E39" s="46" t="s">
        <v>1742</v>
      </c>
      <c r="F39" s="12"/>
      <c r="G39" s="12"/>
      <c r="H39" s="12"/>
      <c r="I39" s="12"/>
      <c r="J39" s="12"/>
    </row>
    <row r="40">
      <c r="A40">
        <f>IFERROR(__xludf.DUMMYFUNCTION("""COMPUTED_VALUE"""),62.0)</f>
        <v>62</v>
      </c>
      <c r="B40" s="12" t="str">
        <f>IFERROR(__xludf.DUMMYFUNCTION("""COMPUTED_VALUE"""),"Whether I wanted to share that information both with Google (presumably the application will be collecting additional information), and with the app in question.")</f>
        <v>Whether I wanted to share that information both with Google (presumably the application will be collecting additional information), and with the app in question.</v>
      </c>
      <c r="C40" s="28"/>
      <c r="D40" s="28"/>
      <c r="F40" s="12"/>
      <c r="G40" s="12"/>
      <c r="H40" s="12"/>
      <c r="I40" s="12"/>
      <c r="J40" s="12"/>
    </row>
    <row r="41">
      <c r="A41">
        <f>IFERROR(__xludf.DUMMYFUNCTION("""COMPUTED_VALUE"""),64.0)</f>
        <v>64</v>
      </c>
      <c r="B41" s="12" t="str">
        <f>IFERROR(__xludf.DUMMYFUNCTION("""COMPUTED_VALUE"""),"If the website was legitimate")</f>
        <v>If the website was legitimate</v>
      </c>
      <c r="C41" s="46" t="s">
        <v>1701</v>
      </c>
      <c r="D41" s="46" t="s">
        <v>1713</v>
      </c>
      <c r="G41" s="12"/>
      <c r="H41" s="12"/>
      <c r="I41" s="12"/>
      <c r="J41" s="12"/>
      <c r="K41" s="53"/>
      <c r="L41" s="53"/>
      <c r="M41" s="53"/>
      <c r="N41" s="53"/>
      <c r="O41" s="53"/>
      <c r="P41" s="53"/>
      <c r="Q41" s="53"/>
      <c r="R41" s="53"/>
      <c r="S41" s="53"/>
      <c r="T41" s="53"/>
      <c r="U41" s="53"/>
      <c r="V41" s="53"/>
      <c r="W41" s="53"/>
      <c r="X41" s="53"/>
      <c r="Y41" s="53"/>
      <c r="Z41" s="53"/>
    </row>
    <row r="42">
      <c r="A42">
        <f>IFERROR(__xludf.DUMMYFUNCTION("""COMPUTED_VALUE"""),66.0)</f>
        <v>66</v>
      </c>
      <c r="B42" s="12" t="str">
        <f>IFERROR(__xludf.DUMMYFUNCTION("""COMPUTED_VALUE"""),"What specific things they need access to, how reputable the app is")</f>
        <v>What specific things they need access to, how reputable the app is</v>
      </c>
      <c r="C42" s="45" t="s">
        <v>1701</v>
      </c>
      <c r="D42" s="45" t="s">
        <v>1702</v>
      </c>
      <c r="E42" s="46" t="s">
        <v>1696</v>
      </c>
      <c r="F42" s="46" t="s">
        <v>1738</v>
      </c>
      <c r="G42" s="12"/>
      <c r="H42" s="12"/>
      <c r="I42" s="12"/>
      <c r="J42" s="12"/>
    </row>
    <row r="43">
      <c r="A43">
        <f>IFERROR(__xludf.DUMMYFUNCTION("""COMPUTED_VALUE"""),67.0)</f>
        <v>67</v>
      </c>
      <c r="B43" s="12" t="str">
        <f>IFERROR(__xludf.DUMMYFUNCTION("""COMPUTED_VALUE"""),"If private information would be given to them or not.")</f>
        <v>If private information would be given to them or not.</v>
      </c>
      <c r="C43" s="45" t="s">
        <v>1696</v>
      </c>
      <c r="D43" s="46" t="s">
        <v>1738</v>
      </c>
      <c r="F43" s="3"/>
      <c r="G43" s="3"/>
      <c r="H43" s="3"/>
      <c r="I43" s="12"/>
      <c r="J43" s="12"/>
    </row>
    <row r="44">
      <c r="A44">
        <f>IFERROR(__xludf.DUMMYFUNCTION("""COMPUTED_VALUE"""),69.0)</f>
        <v>69</v>
      </c>
      <c r="B44" s="12" t="str">
        <f>IFERROR(__xludf.DUMMYFUNCTION("""COMPUTED_VALUE"""),"If I need to use that particular app at all")</f>
        <v>If I need to use that particular app at all</v>
      </c>
      <c r="C44" s="45" t="s">
        <v>1714</v>
      </c>
      <c r="D44" s="3"/>
      <c r="E44" s="12"/>
      <c r="F44" s="12"/>
      <c r="G44" s="12"/>
      <c r="H44" s="12"/>
      <c r="I44" s="12"/>
      <c r="J44" s="12"/>
      <c r="K44" s="53"/>
      <c r="L44" s="53"/>
      <c r="M44" s="53"/>
      <c r="N44" s="53"/>
      <c r="O44" s="53"/>
      <c r="P44" s="53"/>
      <c r="Q44" s="53"/>
      <c r="R44" s="53"/>
      <c r="S44" s="53"/>
      <c r="T44" s="53"/>
      <c r="U44" s="53"/>
      <c r="V44" s="53"/>
      <c r="W44" s="53"/>
      <c r="X44" s="53"/>
      <c r="Y44" s="53"/>
      <c r="Z44" s="53"/>
    </row>
    <row r="45">
      <c r="A45">
        <f>IFERROR(__xludf.DUMMYFUNCTION("""COMPUTED_VALUE"""),70.0)</f>
        <v>70</v>
      </c>
      <c r="B45" s="12" t="str">
        <f>IFERROR(__xludf.DUMMYFUNCTION("""COMPUTED_VALUE"""),"I would consider my data privacy when considering granting access to a third party app. I wouldn't want the company to have any access to my Google data.")</f>
        <v>I would consider my data privacy when considering granting access to a third party app. I wouldn't want the company to have any access to my Google data.</v>
      </c>
      <c r="C45" s="3" t="s">
        <v>384</v>
      </c>
      <c r="D45" s="45" t="s">
        <v>1696</v>
      </c>
      <c r="E45" s="12"/>
      <c r="F45" s="12"/>
      <c r="G45" s="12"/>
      <c r="H45" s="12"/>
      <c r="I45" s="12"/>
      <c r="J45" s="12"/>
    </row>
    <row r="46">
      <c r="A46">
        <f>IFERROR(__xludf.DUMMYFUNCTION("""COMPUTED_VALUE"""),72.0)</f>
        <v>72</v>
      </c>
      <c r="B46" s="12"/>
      <c r="C46" s="28"/>
      <c r="D46" s="28"/>
      <c r="E46" s="12"/>
      <c r="F46" s="12"/>
      <c r="G46" s="12"/>
      <c r="H46" s="12"/>
      <c r="I46" s="12"/>
      <c r="J46" s="12"/>
    </row>
    <row r="47">
      <c r="A47">
        <f>IFERROR(__xludf.DUMMYFUNCTION("""COMPUTED_VALUE"""),73.0)</f>
        <v>73</v>
      </c>
      <c r="B47" s="12"/>
      <c r="C47" s="54"/>
      <c r="D47" s="3"/>
      <c r="E47" s="3"/>
      <c r="F47" s="12"/>
      <c r="G47" s="12"/>
      <c r="H47" s="12"/>
      <c r="I47" s="12"/>
      <c r="J47" s="12"/>
    </row>
    <row r="48">
      <c r="A48">
        <f>IFERROR(__xludf.DUMMYFUNCTION("""COMPUTED_VALUE"""),74.0)</f>
        <v>74</v>
      </c>
      <c r="B48" s="12" t="str">
        <f>IFERROR(__xludf.DUMMYFUNCTION("""COMPUTED_VALUE"""),"what they would be able to do from my account")</f>
        <v>what they would be able to do from my account</v>
      </c>
      <c r="C48" s="45" t="s">
        <v>1703</v>
      </c>
      <c r="D48" s="45" t="s">
        <v>1696</v>
      </c>
      <c r="E48" s="3" t="s">
        <v>1742</v>
      </c>
      <c r="F48" s="12"/>
      <c r="G48" s="12"/>
      <c r="H48" s="12"/>
      <c r="I48" s="12"/>
      <c r="J48" s="12"/>
    </row>
    <row r="49">
      <c r="A49">
        <f>IFERROR(__xludf.DUMMYFUNCTION("""COMPUTED_VALUE"""),75.0)</f>
        <v>75</v>
      </c>
      <c r="B49" s="12"/>
      <c r="C49" s="54"/>
      <c r="D49" s="3"/>
      <c r="E49" s="12"/>
      <c r="F49" s="12"/>
      <c r="G49" s="12"/>
      <c r="H49" s="12"/>
      <c r="I49" s="12"/>
      <c r="J49" s="12"/>
    </row>
    <row r="50">
      <c r="A50">
        <f>IFERROR(__xludf.DUMMYFUNCTION("""COMPUTED_VALUE"""),78.0)</f>
        <v>78</v>
      </c>
      <c r="B50" s="12" t="str">
        <f>IFERROR(__xludf.DUMMYFUNCTION("""COMPUTED_VALUE"""),"Privacy, how they would use information")</f>
        <v>Privacy, how they would use information</v>
      </c>
      <c r="C50" s="3" t="s">
        <v>384</v>
      </c>
      <c r="D50" s="45" t="s">
        <v>1696</v>
      </c>
      <c r="E50" s="46" t="s">
        <v>1742</v>
      </c>
      <c r="G50" s="12"/>
      <c r="H50" s="12"/>
      <c r="I50" s="12"/>
      <c r="J50" s="12"/>
    </row>
    <row r="51">
      <c r="A51">
        <f>IFERROR(__xludf.DUMMYFUNCTION("""COMPUTED_VALUE"""),80.0)</f>
        <v>80</v>
      </c>
      <c r="B51" s="12" t="str">
        <f>IFERROR(__xludf.DUMMYFUNCTION("""COMPUTED_VALUE"""),"no")</f>
        <v>no</v>
      </c>
      <c r="C51" s="28" t="s">
        <v>188</v>
      </c>
      <c r="D51" s="3"/>
      <c r="E51" s="3"/>
      <c r="F51" s="12"/>
      <c r="G51" s="12"/>
      <c r="H51" s="12"/>
      <c r="I51" s="12"/>
      <c r="J51" s="12"/>
    </row>
    <row r="52">
      <c r="A52">
        <f>IFERROR(__xludf.DUMMYFUNCTION("""COMPUTED_VALUE"""),81.0)</f>
        <v>81</v>
      </c>
      <c r="B52" s="12" t="str">
        <f>IFERROR(__xludf.DUMMYFUNCTION("""COMPUTED_VALUE"""),"I would consider whether my account could be compromised, as well as whether my data would be obtained.")</f>
        <v>I would consider whether my account could be compromised, as well as whether my data would be obtained.</v>
      </c>
      <c r="C52" s="45" t="s">
        <v>65</v>
      </c>
      <c r="D52" s="45" t="s">
        <v>1726</v>
      </c>
      <c r="E52" s="12"/>
      <c r="F52" s="12"/>
      <c r="G52" s="12"/>
      <c r="H52" s="12"/>
      <c r="I52" s="12"/>
      <c r="J52" s="12"/>
    </row>
    <row r="53">
      <c r="A53">
        <f>IFERROR(__xludf.DUMMYFUNCTION("""COMPUTED_VALUE"""),84.0)</f>
        <v>84</v>
      </c>
      <c r="B53" s="12" t="str">
        <f>IFERROR(__xludf.DUMMYFUNCTION("""COMPUTED_VALUE"""),"Where it came from, security, what parts it wants access to")</f>
        <v>Where it came from, security, what parts it wants access to</v>
      </c>
      <c r="C53" s="45" t="s">
        <v>65</v>
      </c>
      <c r="D53" s="46" t="s">
        <v>1701</v>
      </c>
      <c r="E53" s="45" t="s">
        <v>1703</v>
      </c>
      <c r="F53" s="34" t="s">
        <v>1721</v>
      </c>
      <c r="G53" s="12"/>
      <c r="H53" s="12"/>
      <c r="I53" s="12"/>
      <c r="J53" s="12"/>
    </row>
    <row r="54">
      <c r="A54">
        <f>IFERROR(__xludf.DUMMYFUNCTION("""COMPUTED_VALUE"""),86.0)</f>
        <v>86</v>
      </c>
      <c r="B54" s="12" t="str">
        <f>IFERROR(__xludf.DUMMYFUNCTION("""COMPUTED_VALUE"""),"Privacy and security.")</f>
        <v>Privacy and security.</v>
      </c>
      <c r="C54" s="45" t="s">
        <v>384</v>
      </c>
      <c r="D54" s="45" t="s">
        <v>65</v>
      </c>
      <c r="E54" s="12"/>
      <c r="F54" s="12"/>
      <c r="G54" s="12"/>
      <c r="H54" s="12"/>
      <c r="I54" s="12"/>
      <c r="J54" s="12"/>
    </row>
    <row r="55">
      <c r="A55">
        <f>IFERROR(__xludf.DUMMYFUNCTION("""COMPUTED_VALUE"""),87.0)</f>
        <v>87</v>
      </c>
      <c r="B55" s="12" t="str">
        <f>IFERROR(__xludf.DUMMYFUNCTION("""COMPUTED_VALUE"""),"I would consider if they could view my emails, Google Drive information, etc. This seems more invasive than other instances that I recall using.")</f>
        <v>I would consider if they could view my emails, Google Drive information, etc. This seems more invasive than other instances that I recall using.</v>
      </c>
      <c r="C55" s="45" t="s">
        <v>1703</v>
      </c>
      <c r="D55" s="46" t="s">
        <v>1741</v>
      </c>
      <c r="E55" s="46" t="s">
        <v>1743</v>
      </c>
      <c r="F55" s="12"/>
      <c r="G55" s="12"/>
      <c r="H55" s="12"/>
      <c r="I55" s="12"/>
      <c r="J55" s="12"/>
    </row>
    <row r="56">
      <c r="A56">
        <f>IFERROR(__xludf.DUMMYFUNCTION("""COMPUTED_VALUE"""),88.0)</f>
        <v>88</v>
      </c>
      <c r="B56" s="12" t="str">
        <f>IFERROR(__xludf.DUMMYFUNCTION("""COMPUTED_VALUE"""),"I would consider what they are hoping to get access to (like which parts), whether I felt those parts were even a necessity for using that app, and how secure I felt the app itself was.")</f>
        <v>I would consider what they are hoping to get access to (like which parts), whether I felt those parts were even a necessity for using that app, and how secure I felt the app itself was.</v>
      </c>
      <c r="C56" s="45" t="s">
        <v>65</v>
      </c>
      <c r="D56" s="45" t="s">
        <v>1703</v>
      </c>
      <c r="E56" s="34" t="s">
        <v>1720</v>
      </c>
      <c r="F56" s="3" t="s">
        <v>1722</v>
      </c>
      <c r="G56" s="12"/>
      <c r="H56" s="12"/>
      <c r="I56" s="12"/>
      <c r="J56" s="12"/>
    </row>
    <row r="57">
      <c r="A57">
        <f>IFERROR(__xludf.DUMMYFUNCTION("""COMPUTED_VALUE"""),89.0)</f>
        <v>89</v>
      </c>
      <c r="B57" s="12"/>
      <c r="C57" s="28"/>
      <c r="D57" s="3"/>
      <c r="E57" s="12"/>
      <c r="F57" s="12"/>
      <c r="G57" s="12"/>
      <c r="H57" s="12"/>
      <c r="I57" s="12"/>
      <c r="J57" s="12"/>
    </row>
    <row r="58">
      <c r="A58">
        <f>IFERROR(__xludf.DUMMYFUNCTION("""COMPUTED_VALUE"""),90.0)</f>
        <v>90</v>
      </c>
      <c r="B58" s="12" t="str">
        <f>IFERROR(__xludf.DUMMYFUNCTION("""COMPUTED_VALUE"""),"I'm not very reluctant to grant this type of access, so I would probably just agree to it.")</f>
        <v>I'm not very reluctant to grant this type of access, so I would probably just agree to it.</v>
      </c>
      <c r="C58" s="28" t="s">
        <v>1608</v>
      </c>
      <c r="D58" s="28"/>
      <c r="E58" s="3"/>
      <c r="F58" s="12"/>
      <c r="G58" s="12"/>
      <c r="H58" s="12"/>
      <c r="I58" s="12"/>
      <c r="J58" s="12"/>
    </row>
    <row r="59">
      <c r="A59">
        <f>IFERROR(__xludf.DUMMYFUNCTION("""COMPUTED_VALUE"""),93.0)</f>
        <v>93</v>
      </c>
      <c r="B59" s="12"/>
      <c r="C59" s="28"/>
      <c r="D59" s="3"/>
      <c r="E59" s="3"/>
      <c r="F59" s="12"/>
      <c r="G59" s="12"/>
      <c r="H59" s="12"/>
      <c r="I59" s="12"/>
      <c r="J59" s="12"/>
    </row>
    <row r="60">
      <c r="A60">
        <f>IFERROR(__xludf.DUMMYFUNCTION("""COMPUTED_VALUE"""),95.0)</f>
        <v>95</v>
      </c>
      <c r="B60" s="12"/>
      <c r="C60" s="28"/>
      <c r="D60" s="3"/>
      <c r="F60" s="3"/>
      <c r="G60" s="3"/>
      <c r="H60" s="12"/>
      <c r="I60" s="12"/>
      <c r="J60" s="12"/>
    </row>
    <row r="61">
      <c r="A61">
        <f>IFERROR(__xludf.DUMMYFUNCTION("""COMPUTED_VALUE"""),97.0)</f>
        <v>97</v>
      </c>
      <c r="B61" s="12" t="str">
        <f>IFERROR(__xludf.DUMMYFUNCTION("""COMPUTED_VALUE"""),"It depends on whether I really need or want to use it or not.")</f>
        <v>It depends on whether I really need or want to use it or not.</v>
      </c>
      <c r="C61" t="s">
        <v>1714</v>
      </c>
      <c r="D61" s="3"/>
      <c r="E61" s="28"/>
      <c r="G61" s="12"/>
      <c r="H61" s="12"/>
      <c r="I61" s="12"/>
      <c r="J61" s="12"/>
    </row>
    <row r="62">
      <c r="A62">
        <f>IFERROR(__xludf.DUMMYFUNCTION("""COMPUTED_VALUE"""),98.0)</f>
        <v>98</v>
      </c>
      <c r="B62" s="12" t="str">
        <f>IFERROR(__xludf.DUMMYFUNCTION("""COMPUTED_VALUE"""),"Since I am not sure why a third-party app would need access to my Google account, I would not grant it and then I might research to find the reason")</f>
        <v>Since I am not sure why a third-party app would need access to my Google account, I would not grant it and then I might research to find the reason</v>
      </c>
      <c r="C62" s="45" t="s">
        <v>1605</v>
      </c>
      <c r="D62" s="46" t="s">
        <v>1744</v>
      </c>
      <c r="E62" s="12"/>
      <c r="F62" s="12"/>
      <c r="G62" s="12"/>
      <c r="H62" s="12"/>
      <c r="I62" s="12"/>
      <c r="J62" s="12"/>
    </row>
    <row r="63">
      <c r="A63">
        <f>IFERROR(__xludf.DUMMYFUNCTION("""COMPUTED_VALUE"""),99.0)</f>
        <v>99</v>
      </c>
      <c r="B63" s="12"/>
      <c r="C63" s="28"/>
      <c r="D63" s="3"/>
      <c r="F63" s="3"/>
      <c r="G63" s="3"/>
      <c r="H63" s="12"/>
      <c r="I63" s="12"/>
      <c r="J63" s="12"/>
    </row>
    <row r="64">
      <c r="A64">
        <f>IFERROR(__xludf.DUMMYFUNCTION("""COMPUTED_VALUE"""),100.0)</f>
        <v>100</v>
      </c>
      <c r="B64" s="12" t="str">
        <f>IFERROR(__xludf.DUMMYFUNCTION("""COMPUTED_VALUE"""),"Why does it need access to certain elements of my google account and which ones")</f>
        <v>Why does it need access to certain elements of my google account and which ones</v>
      </c>
      <c r="C64" s="45" t="s">
        <v>1605</v>
      </c>
      <c r="D64" s="46" t="s">
        <v>1744</v>
      </c>
      <c r="E64" s="45" t="s">
        <v>1703</v>
      </c>
      <c r="F64" s="12"/>
      <c r="G64" s="12"/>
      <c r="H64" s="12"/>
      <c r="I64" s="12"/>
      <c r="J64" s="12"/>
    </row>
    <row r="65">
      <c r="A65">
        <f>IFERROR(__xludf.DUMMYFUNCTION("""COMPUTED_VALUE"""),101.0)</f>
        <v>101</v>
      </c>
      <c r="B65" s="12" t="str">
        <f>IFERROR(__xludf.DUMMYFUNCTION("""COMPUTED_VALUE"""),"I would want to know why they need the information.")</f>
        <v>I would want to know why they need the information.</v>
      </c>
      <c r="C65" s="45" t="s">
        <v>1605</v>
      </c>
      <c r="D65" s="46" t="s">
        <v>1745</v>
      </c>
      <c r="E65" s="3"/>
      <c r="F65" s="3"/>
      <c r="G65" s="26"/>
      <c r="H65" s="12"/>
      <c r="I65" s="12"/>
      <c r="J65" s="12"/>
    </row>
    <row r="66">
      <c r="A66">
        <f>IFERROR(__xludf.DUMMYFUNCTION("""COMPUTED_VALUE"""),103.0)</f>
        <v>103</v>
      </c>
      <c r="B66" s="12"/>
      <c r="C66" s="28"/>
      <c r="D66" s="3"/>
      <c r="F66" s="12"/>
      <c r="G66" s="12"/>
      <c r="H66" s="12"/>
      <c r="I66" s="12"/>
      <c r="J66" s="12"/>
    </row>
    <row r="67">
      <c r="A67">
        <f>IFERROR(__xludf.DUMMYFUNCTION("""COMPUTED_VALUE"""),104.0)</f>
        <v>104</v>
      </c>
      <c r="B67" s="12"/>
      <c r="C67" s="3"/>
      <c r="D67" s="3"/>
      <c r="E67" s="26"/>
      <c r="F67" s="26"/>
      <c r="G67" s="3"/>
      <c r="H67" s="3"/>
      <c r="J67" s="12"/>
      <c r="K67" s="53"/>
      <c r="L67" s="53"/>
      <c r="M67" s="53"/>
      <c r="N67" s="53"/>
      <c r="O67" s="53"/>
      <c r="P67" s="53"/>
      <c r="Q67" s="53"/>
      <c r="R67" s="53"/>
      <c r="S67" s="53"/>
      <c r="T67" s="53"/>
      <c r="U67" s="53"/>
      <c r="V67" s="53"/>
      <c r="W67" s="53"/>
      <c r="X67" s="53"/>
      <c r="Y67" s="53"/>
      <c r="Z67" s="53"/>
    </row>
    <row r="68">
      <c r="A68">
        <f>IFERROR(__xludf.DUMMYFUNCTION("""COMPUTED_VALUE"""),105.0)</f>
        <v>105</v>
      </c>
      <c r="B68" s="12" t="str">
        <f>IFERROR(__xludf.DUMMYFUNCTION("""COMPUTED_VALUE"""),"What permissions am I giving up? Will this mine my data?")</f>
        <v>What permissions am I giving up? Will this mine my data?</v>
      </c>
      <c r="C68" s="45" t="s">
        <v>1703</v>
      </c>
      <c r="D68" s="45" t="s">
        <v>1722</v>
      </c>
      <c r="E68" s="12"/>
      <c r="F68" s="12"/>
      <c r="G68" s="12"/>
      <c r="J68" s="12"/>
    </row>
    <row r="69">
      <c r="A69">
        <f>IFERROR(__xludf.DUMMYFUNCTION("""COMPUTED_VALUE"""),107.0)</f>
        <v>107</v>
      </c>
      <c r="B69" s="12" t="str">
        <f>IFERROR(__xludf.DUMMYFUNCTION("""COMPUTED_VALUE"""),"The sensitive information needed to access the app")</f>
        <v>The sensitive information needed to access the app</v>
      </c>
      <c r="C69" s="3"/>
      <c r="D69" s="28"/>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t="str">
        <f>IFERROR(__xludf.DUMMYFUNCTION("""COMPUTED_VALUE"""),"How my data was going to be used.")</f>
        <v>How my data was going to be used.</v>
      </c>
      <c r="C71" s="45" t="s">
        <v>1696</v>
      </c>
      <c r="D71" s="46" t="s">
        <v>1742</v>
      </c>
      <c r="E71" s="3"/>
      <c r="F71" s="3"/>
      <c r="G71" s="3"/>
      <c r="H71" s="3"/>
      <c r="I71" s="3"/>
      <c r="J71" s="12"/>
      <c r="K71" s="53"/>
      <c r="L71" s="53"/>
      <c r="M71" s="53"/>
      <c r="N71" s="53"/>
      <c r="O71" s="53"/>
      <c r="P71" s="53"/>
      <c r="Q71" s="53"/>
      <c r="R71" s="53"/>
      <c r="S71" s="53"/>
      <c r="T71" s="53"/>
      <c r="U71" s="53"/>
      <c r="V71" s="53"/>
      <c r="W71" s="53"/>
      <c r="X71" s="53"/>
      <c r="Y71" s="53"/>
      <c r="Z71" s="53"/>
    </row>
    <row r="72">
      <c r="A72">
        <f>IFERROR(__xludf.DUMMYFUNCTION("""COMPUTED_VALUE"""),111.0)</f>
        <v>111</v>
      </c>
      <c r="B72" s="12"/>
      <c r="C72" s="28"/>
      <c r="D72" s="3"/>
      <c r="E72" s="12"/>
      <c r="F72" s="12"/>
      <c r="G72" s="12"/>
      <c r="H72" s="12"/>
      <c r="I72" s="12"/>
      <c r="J72" s="12"/>
    </row>
    <row r="73">
      <c r="A73">
        <f>IFERROR(__xludf.DUMMYFUNCTION("""COMPUTED_VALUE"""),112.0)</f>
        <v>112</v>
      </c>
      <c r="B73" s="12" t="str">
        <f>IFERROR(__xludf.DUMMYFUNCTION("""COMPUTED_VALUE"""),"I would think about why they would want this access and if I trusted them.")</f>
        <v>I would think about why they would want this access and if I trusted them.</v>
      </c>
      <c r="C73" s="45" t="s">
        <v>1605</v>
      </c>
      <c r="D73" s="46" t="s">
        <v>1744</v>
      </c>
      <c r="E73" s="45" t="s">
        <v>1701</v>
      </c>
      <c r="F73" s="3"/>
      <c r="G73" s="3"/>
      <c r="H73" s="3"/>
      <c r="I73" s="12"/>
      <c r="J73" s="12"/>
    </row>
    <row r="74">
      <c r="A74">
        <f>IFERROR(__xludf.DUMMYFUNCTION("""COMPUTED_VALUE"""),113.0)</f>
        <v>113</v>
      </c>
      <c r="B74" s="12" t="str">
        <f>IFERROR(__xludf.DUMMYFUNCTION("""COMPUTED_VALUE"""),"What information would be shared, what kind of access/permissions the third-party would have to my information, account, and ability to make specific actions, as well as whether or not I could use the third party service without having to sign in.")</f>
        <v>What information would be shared, what kind of access/permissions the third-party would have to my information, account, and ability to make specific actions, as well as whether or not I could use the third party service without having to sign in.</v>
      </c>
      <c r="C74" s="45" t="s">
        <v>1703</v>
      </c>
      <c r="D74" s="45" t="s">
        <v>1722</v>
      </c>
      <c r="E74" s="45" t="s">
        <v>1620</v>
      </c>
      <c r="F74" s="46" t="s">
        <v>1746</v>
      </c>
      <c r="G74" s="12"/>
      <c r="H74" s="12"/>
      <c r="I74" s="12"/>
      <c r="J74" s="12"/>
    </row>
    <row r="75">
      <c r="A75">
        <f>IFERROR(__xludf.DUMMYFUNCTION("""COMPUTED_VALUE"""),115.0)</f>
        <v>115</v>
      </c>
      <c r="B75" s="12" t="str">
        <f>IFERROR(__xludf.DUMMYFUNCTION("""COMPUTED_VALUE"""),"Why would I want it to attach to the calendar apps and so on - this is a bad idea generally speaking")</f>
        <v>Why would I want it to attach to the calendar apps and so on - this is a bad idea generally speaking</v>
      </c>
      <c r="C75" s="46" t="s">
        <v>1703</v>
      </c>
      <c r="D75" s="3" t="s">
        <v>1747</v>
      </c>
      <c r="E75" s="3"/>
      <c r="F75" s="12"/>
      <c r="G75" s="12"/>
      <c r="H75" s="12"/>
      <c r="I75" s="12"/>
      <c r="J75" s="12"/>
    </row>
    <row r="76">
      <c r="A76">
        <f>IFERROR(__xludf.DUMMYFUNCTION("""COMPUTED_VALUE"""),116.0)</f>
        <v>116</v>
      </c>
      <c r="B76" s="12"/>
      <c r="C76" s="54"/>
      <c r="D76" s="3"/>
      <c r="E76" s="3"/>
      <c r="F76" s="12"/>
      <c r="G76" s="12"/>
      <c r="H76" s="12"/>
      <c r="I76" s="12"/>
      <c r="J76" s="12"/>
    </row>
    <row r="77">
      <c r="A77">
        <f>IFERROR(__xludf.DUMMYFUNCTION("""COMPUTED_VALUE"""),117.0)</f>
        <v>117</v>
      </c>
      <c r="B77" s="12"/>
      <c r="C77" s="28"/>
      <c r="D77" s="28"/>
      <c r="E77" s="3"/>
      <c r="F77" s="12"/>
      <c r="G77" s="12"/>
      <c r="H77" s="12"/>
      <c r="I77" s="12"/>
      <c r="J77" s="12"/>
    </row>
    <row r="78">
      <c r="A78">
        <f>IFERROR(__xludf.DUMMYFUNCTION("""COMPUTED_VALUE"""),122.0)</f>
        <v>122</v>
      </c>
      <c r="B78" s="12" t="str">
        <f>IFERROR(__xludf.DUMMYFUNCTION("""COMPUTED_VALUE"""),"What specifically they're asking to gain access to. Many times I deny if it's too invading.")</f>
        <v>What specifically they're asking to gain access to. Many times I deny if it's too invading.</v>
      </c>
      <c r="C78" s="46" t="s">
        <v>1703</v>
      </c>
      <c r="D78" s="45" t="s">
        <v>1721</v>
      </c>
      <c r="E78" s="12"/>
      <c r="F78" s="12"/>
      <c r="G78" s="12"/>
      <c r="H78" s="12"/>
      <c r="I78" s="12"/>
      <c r="J78" s="12"/>
    </row>
    <row r="79">
      <c r="A79">
        <f>IFERROR(__xludf.DUMMYFUNCTION("""COMPUTED_VALUE"""),123.0)</f>
        <v>123</v>
      </c>
      <c r="B79" s="12"/>
      <c r="C79" s="28"/>
      <c r="D79" s="3"/>
      <c r="E79" s="12"/>
      <c r="F79" s="12"/>
      <c r="G79" s="12"/>
      <c r="H79" s="12"/>
      <c r="I79" s="12"/>
      <c r="J79" s="12"/>
    </row>
    <row r="80">
      <c r="A80">
        <f>IFERROR(__xludf.DUMMYFUNCTION("""COMPUTED_VALUE"""),124.0)</f>
        <v>124</v>
      </c>
      <c r="B80" s="12"/>
      <c r="C80" s="54"/>
      <c r="D80" s="3"/>
      <c r="E80" s="3"/>
      <c r="F80" s="12"/>
      <c r="G80" s="12"/>
      <c r="H80" s="12"/>
      <c r="I80" s="12"/>
      <c r="J80" s="12"/>
    </row>
    <row r="81">
      <c r="A81">
        <f>IFERROR(__xludf.DUMMYFUNCTION("""COMPUTED_VALUE"""),125.0)</f>
        <v>125</v>
      </c>
      <c r="B81" s="12" t="str">
        <f>IFERROR(__xludf.DUMMYFUNCTION("""COMPUTED_VALUE"""),"What parts of my account the app wanted access to, whether the app seemed safe/secure enough, how much privacy I wanted to maintain from the app, whether it was more important to be able to use the app or maintain privacy")</f>
        <v>What parts of my account the app wanted access to, whether the app seemed safe/secure enough, how much privacy I wanted to maintain from the app, whether it was more important to be able to use the app or maintain privacy</v>
      </c>
      <c r="C81" s="45" t="s">
        <v>1707</v>
      </c>
      <c r="D81" s="45" t="s">
        <v>65</v>
      </c>
      <c r="E81" s="45" t="s">
        <v>384</v>
      </c>
      <c r="F81" s="45" t="s">
        <v>1610</v>
      </c>
      <c r="G81" s="34" t="s">
        <v>1700</v>
      </c>
      <c r="H81" s="12"/>
      <c r="I81" s="12"/>
      <c r="J81" s="12"/>
    </row>
    <row r="82">
      <c r="A82">
        <f>IFERROR(__xludf.DUMMYFUNCTION("""COMPUTED_VALUE"""),126.0)</f>
        <v>126</v>
      </c>
      <c r="B82" s="12"/>
      <c r="C82" s="28"/>
      <c r="D82" s="28"/>
      <c r="E82" s="12"/>
      <c r="F82" s="12"/>
      <c r="G82" s="12"/>
      <c r="H82" s="12"/>
      <c r="I82" s="12"/>
      <c r="J82" s="12"/>
    </row>
    <row r="83">
      <c r="A83">
        <f>IFERROR(__xludf.DUMMYFUNCTION("""COMPUTED_VALUE"""),127.0)</f>
        <v>127</v>
      </c>
      <c r="B83" s="12" t="str">
        <f>IFERROR(__xludf.DUMMYFUNCTION("""COMPUTED_VALUE"""),"I would consider how they plan on using my information before giving them access.")</f>
        <v>I would consider how they plan on using my information before giving them access.</v>
      </c>
      <c r="C83" s="45" t="s">
        <v>1696</v>
      </c>
      <c r="D83" t="s">
        <v>1742</v>
      </c>
      <c r="E83" s="3"/>
      <c r="F83" s="3"/>
      <c r="G83" s="12"/>
      <c r="H83" s="12"/>
      <c r="I83" s="12"/>
      <c r="J83" s="12"/>
      <c r="K83" s="53"/>
      <c r="L83" s="53"/>
      <c r="M83" s="53"/>
      <c r="N83" s="53"/>
      <c r="O83" s="53"/>
      <c r="P83" s="53"/>
      <c r="Q83" s="53"/>
      <c r="R83" s="53"/>
      <c r="S83" s="53"/>
      <c r="T83" s="53"/>
      <c r="U83" s="53"/>
      <c r="V83" s="53"/>
      <c r="W83" s="53"/>
      <c r="X83" s="53"/>
      <c r="Y83" s="53"/>
      <c r="Z83" s="53"/>
    </row>
    <row r="84">
      <c r="A84">
        <f>IFERROR(__xludf.DUMMYFUNCTION("""COMPUTED_VALUE"""),128.0)</f>
        <v>128</v>
      </c>
      <c r="B84" s="12" t="str">
        <f>IFERROR(__xludf.DUMMYFUNCTION("""COMPUTED_VALUE"""),"NO...I don't normally allow third party apps access to my account information")</f>
        <v>NO...I don't normally allow third party apps access to my account information</v>
      </c>
      <c r="C84" s="28" t="s">
        <v>188</v>
      </c>
      <c r="D84" s="28"/>
      <c r="E84" s="3"/>
      <c r="F84" s="3"/>
      <c r="G84" s="3"/>
      <c r="H84" s="12"/>
      <c r="I84" s="12"/>
      <c r="J84" s="12"/>
    </row>
    <row r="85">
      <c r="A85">
        <f>IFERROR(__xludf.DUMMYFUNCTION("""COMPUTED_VALUE"""),129.0)</f>
        <v>129</v>
      </c>
      <c r="B85" s="12"/>
      <c r="C85" s="28"/>
      <c r="D85" s="3"/>
      <c r="E85" s="3"/>
      <c r="F85" s="12"/>
      <c r="G85" s="12"/>
      <c r="H85" s="12"/>
      <c r="I85" s="12"/>
      <c r="J85" s="12"/>
    </row>
    <row r="86">
      <c r="A86">
        <f>IFERROR(__xludf.DUMMYFUNCTION("""COMPUTED_VALUE"""),130.0)</f>
        <v>130</v>
      </c>
      <c r="B86" s="12"/>
      <c r="C86" s="28"/>
      <c r="D86" s="28"/>
      <c r="E86" s="3"/>
      <c r="F86" s="3"/>
      <c r="G86" s="3"/>
      <c r="H86" s="12"/>
      <c r="I86" s="12"/>
      <c r="J86" s="12"/>
    </row>
    <row r="87">
      <c r="A87">
        <f>IFERROR(__xludf.DUMMYFUNCTION("""COMPUTED_VALUE"""),132.0)</f>
        <v>132</v>
      </c>
      <c r="B87" s="12"/>
      <c r="C87" s="28"/>
      <c r="D87" s="12"/>
      <c r="E87" s="12"/>
      <c r="F87" s="12"/>
      <c r="G87" s="12"/>
      <c r="H87" s="12"/>
      <c r="I87" s="12"/>
      <c r="J87" s="12"/>
    </row>
    <row r="88">
      <c r="A88">
        <f>IFERROR(__xludf.DUMMYFUNCTION("""COMPUTED_VALUE"""),135.0)</f>
        <v>135</v>
      </c>
      <c r="B88" s="12"/>
      <c r="C88" s="28"/>
      <c r="D88" s="3"/>
      <c r="E88" s="12"/>
      <c r="F88" s="12"/>
      <c r="G88" s="12"/>
      <c r="H88" s="12"/>
      <c r="I88" s="12"/>
      <c r="J88" s="12"/>
    </row>
    <row r="89">
      <c r="A89">
        <f>IFERROR(__xludf.DUMMYFUNCTION("""COMPUTED_VALUE"""),137.0)</f>
        <v>137</v>
      </c>
      <c r="B89" s="12" t="str">
        <f>IFERROR(__xludf.DUMMYFUNCTION("""COMPUTED_VALUE"""),"how much information associated with my Google account that app has access to")</f>
        <v>how much information associated with my Google account that app has access to</v>
      </c>
      <c r="C89" s="45" t="s">
        <v>1696</v>
      </c>
      <c r="D89" s="46" t="s">
        <v>1697</v>
      </c>
      <c r="E89" s="3"/>
      <c r="F89" s="3"/>
      <c r="G89" s="12"/>
      <c r="H89" s="12"/>
      <c r="I89" s="12"/>
      <c r="J89" s="12"/>
    </row>
    <row r="90">
      <c r="A90">
        <f>IFERROR(__xludf.DUMMYFUNCTION("""COMPUTED_VALUE"""),138.0)</f>
        <v>138</v>
      </c>
      <c r="B90" s="12" t="str">
        <f>IFERROR(__xludf.DUMMYFUNCTION("""COMPUTED_VALUE"""),"If it takes my personal information and if it can track my location 24/7")</f>
        <v>If it takes my personal information and if it can track my location 24/7</v>
      </c>
      <c r="C90" s="46" t="s">
        <v>1696</v>
      </c>
      <c r="D90" s="3" t="s">
        <v>1748</v>
      </c>
      <c r="E90" s="12"/>
      <c r="F90" s="12"/>
      <c r="G90" s="12"/>
      <c r="H90" s="12"/>
      <c r="I90" s="12"/>
      <c r="J90" s="12"/>
    </row>
    <row r="91">
      <c r="A91">
        <f>IFERROR(__xludf.DUMMYFUNCTION("""COMPUTED_VALUE"""),140.0)</f>
        <v>140</v>
      </c>
      <c r="B91" s="12" t="str">
        <f>IFERROR(__xludf.DUMMYFUNCTION("""COMPUTED_VALUE"""),"If this was a legitimate access request.")</f>
        <v>If this was a legitimate access request.</v>
      </c>
      <c r="C91" s="46" t="s">
        <v>1701</v>
      </c>
      <c r="D91" s="3"/>
      <c r="E91" s="3"/>
      <c r="F91" s="12"/>
      <c r="G91" s="12"/>
      <c r="H91" s="12"/>
      <c r="I91" s="12"/>
      <c r="J91" s="12"/>
      <c r="K91" s="53"/>
      <c r="L91" s="53"/>
      <c r="M91" s="53"/>
      <c r="N91" s="53"/>
      <c r="O91" s="53"/>
      <c r="P91" s="53"/>
      <c r="Q91" s="53"/>
      <c r="R91" s="53"/>
      <c r="S91" s="53"/>
      <c r="T91" s="53"/>
      <c r="U91" s="53"/>
      <c r="V91" s="53"/>
      <c r="W91" s="53"/>
      <c r="X91" s="53"/>
      <c r="Y91" s="53"/>
      <c r="Z91" s="53"/>
    </row>
    <row r="92">
      <c r="A92">
        <f>IFERROR(__xludf.DUMMYFUNCTION("""COMPUTED_VALUE"""),141.0)</f>
        <v>141</v>
      </c>
      <c r="B92" s="12" t="str">
        <f>IFERROR(__xludf.DUMMYFUNCTION("""COMPUTED_VALUE"""),"How much do they see from my phone? They shouldn't have access to pictures.")</f>
        <v>How much do they see from my phone? They shouldn't have access to pictures.</v>
      </c>
      <c r="C92" s="46" t="s">
        <v>1696</v>
      </c>
      <c r="D92" s="46" t="s">
        <v>1749</v>
      </c>
      <c r="E92" s="3" t="s">
        <v>1750</v>
      </c>
      <c r="F92" s="12"/>
      <c r="G92" s="12"/>
      <c r="H92" s="12"/>
      <c r="I92" s="12"/>
      <c r="J92" s="12"/>
    </row>
    <row r="93">
      <c r="A93">
        <f>IFERROR(__xludf.DUMMYFUNCTION("""COMPUTED_VALUE"""),142.0)</f>
        <v>142</v>
      </c>
      <c r="B93" s="12" t="str">
        <f>IFERROR(__xludf.DUMMYFUNCTION("""COMPUTED_VALUE"""),"if it was safe")</f>
        <v>if it was safe</v>
      </c>
      <c r="C93" s="45" t="s">
        <v>1707</v>
      </c>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t="str">
        <f>IFERROR(__xludf.DUMMYFUNCTION("""COMPUTED_VALUE"""),"How much it would add to my calendar and emails.")</f>
        <v>How much it would add to my calendar and emails.</v>
      </c>
      <c r="C95" s="46" t="s">
        <v>1696</v>
      </c>
      <c r="D95" s="46" t="s">
        <v>1751</v>
      </c>
      <c r="E95" s="46" t="s">
        <v>1730</v>
      </c>
      <c r="F95" s="12"/>
      <c r="G95" s="12"/>
      <c r="H95" s="12"/>
      <c r="I95" s="12"/>
      <c r="J95" s="12"/>
    </row>
    <row r="96">
      <c r="A96">
        <f>IFERROR(__xludf.DUMMYFUNCTION("""COMPUTED_VALUE"""),147.0)</f>
        <v>147</v>
      </c>
      <c r="B96" s="12" t="str">
        <f>IFERROR(__xludf.DUMMYFUNCTION("""COMPUTED_VALUE"""),"I would not grant such invase acess")</f>
        <v>I would not grant such invase acess</v>
      </c>
      <c r="C96" s="28" t="s">
        <v>188</v>
      </c>
      <c r="D96" s="3"/>
      <c r="E96" s="3"/>
      <c r="F96" s="12"/>
      <c r="G96" s="12"/>
      <c r="H96" s="12"/>
      <c r="I96" s="12"/>
      <c r="J96" s="12"/>
    </row>
    <row r="97">
      <c r="A97">
        <f>IFERROR(__xludf.DUMMYFUNCTION("""COMPUTED_VALUE"""),148.0)</f>
        <v>148</v>
      </c>
      <c r="B97" s="12" t="str">
        <f>IFERROR(__xludf.DUMMYFUNCTION("""COMPUTED_VALUE"""),"what information they would have access to. What would they be doing with that information.")</f>
        <v>what information they would have access to. What would they be doing with that information.</v>
      </c>
      <c r="C97" s="45" t="s">
        <v>1696</v>
      </c>
      <c r="D97" t="s">
        <v>1742</v>
      </c>
      <c r="E97" s="20" t="s">
        <v>1738</v>
      </c>
      <c r="F97" s="12"/>
      <c r="G97" s="12"/>
      <c r="H97" s="12"/>
      <c r="I97" s="12"/>
      <c r="J97" s="12"/>
    </row>
    <row r="98">
      <c r="A98">
        <f>IFERROR(__xludf.DUMMYFUNCTION("""COMPUTED_VALUE"""),149.0)</f>
        <v>149</v>
      </c>
      <c r="B98" s="12" t="str">
        <f>IFERROR(__xludf.DUMMYFUNCTION("""COMPUTED_VALUE"""),"I would consider how much information they would receive and if giving up my privacy was worth the service.")</f>
        <v>I would consider how much information they would receive and if giving up my privacy was worth the service.</v>
      </c>
      <c r="C98" s="45" t="s">
        <v>1696</v>
      </c>
      <c r="D98" s="46" t="s">
        <v>1697</v>
      </c>
      <c r="E98" s="45" t="s">
        <v>1610</v>
      </c>
      <c r="F98" s="45" t="s">
        <v>1700</v>
      </c>
      <c r="G98" s="12"/>
      <c r="H98" s="12"/>
      <c r="I98" s="12"/>
      <c r="J98" s="12"/>
    </row>
    <row r="99">
      <c r="A99">
        <f>IFERROR(__xludf.DUMMYFUNCTION("""COMPUTED_VALUE"""),150.0)</f>
        <v>150</v>
      </c>
      <c r="B99" s="12" t="str">
        <f>IFERROR(__xludf.DUMMYFUNCTION("""COMPUTED_VALUE"""),"It would need to be an app I planned to use and rely on often, from a trusted developer.")</f>
        <v>It would need to be an app I planned to use and rely on often, from a trusted developer.</v>
      </c>
      <c r="C99" s="45" t="s">
        <v>1701</v>
      </c>
      <c r="D99" s="46" t="s">
        <v>1752</v>
      </c>
      <c r="E99" s="34" t="s">
        <v>1714</v>
      </c>
      <c r="F99" s="12"/>
      <c r="G99" s="12"/>
      <c r="H99" s="12"/>
      <c r="I99" s="12"/>
      <c r="J99" s="12"/>
    </row>
    <row r="100">
      <c r="A100">
        <f>IFERROR(__xludf.DUMMYFUNCTION("""COMPUTED_VALUE"""),151.0)</f>
        <v>151</v>
      </c>
      <c r="B100" s="12"/>
      <c r="C100" s="28"/>
      <c r="D100" s="12"/>
      <c r="E100" s="12"/>
      <c r="F100" s="12"/>
      <c r="G100" s="12"/>
      <c r="H100" s="12"/>
      <c r="I100" s="12"/>
      <c r="J100" s="12"/>
    </row>
    <row r="101">
      <c r="A101">
        <f>IFERROR(__xludf.DUMMYFUNCTION("""COMPUTED_VALUE"""),152.0)</f>
        <v>152</v>
      </c>
      <c r="B101" s="12"/>
      <c r="C101" s="28"/>
      <c r="D101" s="3"/>
      <c r="E101" s="3"/>
      <c r="F101" s="12"/>
      <c r="G101" s="12"/>
      <c r="H101" s="12"/>
      <c r="I101" s="12"/>
      <c r="J101" s="12"/>
    </row>
    <row r="102">
      <c r="A102">
        <f>IFERROR(__xludf.DUMMYFUNCTION("""COMPUTED_VALUE"""),154.0)</f>
        <v>154</v>
      </c>
      <c r="B102" s="12"/>
      <c r="C102" s="28"/>
      <c r="D102" s="3"/>
      <c r="E102" s="3"/>
      <c r="F102" s="12"/>
      <c r="G102" s="12"/>
      <c r="H102" s="12"/>
      <c r="I102" s="12"/>
      <c r="J102" s="12"/>
    </row>
    <row r="103">
      <c r="A103">
        <f>IFERROR(__xludf.DUMMYFUNCTION("""COMPUTED_VALUE"""),155.0)</f>
        <v>155</v>
      </c>
      <c r="B103" s="12" t="str">
        <f>IFERROR(__xludf.DUMMYFUNCTION("""COMPUTED_VALUE"""),"I consider how much access the app is requesting and I try to determine if it's reasonable.")</f>
        <v>I consider how much access the app is requesting and I try to determine if it's reasonable.</v>
      </c>
      <c r="C103" s="45" t="s">
        <v>1703</v>
      </c>
      <c r="D103" s="45" t="s">
        <v>1721</v>
      </c>
      <c r="E103" s="34" t="s">
        <v>1720</v>
      </c>
      <c r="F103" s="12"/>
      <c r="G103" s="12"/>
      <c r="H103" s="12"/>
      <c r="I103" s="12"/>
      <c r="J103" s="12"/>
    </row>
    <row r="104">
      <c r="A104">
        <f>IFERROR(__xludf.DUMMYFUNCTION("""COMPUTED_VALUE"""),156.0)</f>
        <v>156</v>
      </c>
      <c r="B104" s="12" t="str">
        <f>IFERROR(__xludf.DUMMYFUNCTION("""COMPUTED_VALUE"""),"Whether it was necessary and what it did for me")</f>
        <v>Whether it was necessary and what it did for me</v>
      </c>
      <c r="C104" s="45" t="s">
        <v>1703</v>
      </c>
      <c r="D104" s="34" t="s">
        <v>1720</v>
      </c>
      <c r="E104" s="12"/>
      <c r="F104" s="12"/>
      <c r="G104" s="12"/>
      <c r="H104" s="12"/>
      <c r="I104" s="12"/>
      <c r="J104" s="12"/>
    </row>
    <row r="105">
      <c r="A105">
        <f>IFERROR(__xludf.DUMMYFUNCTION("""COMPUTED_VALUE"""),157.0)</f>
        <v>157</v>
      </c>
      <c r="B105" s="12" t="str">
        <f>IFERROR(__xludf.DUMMYFUNCTION("""COMPUTED_VALUE"""),"How it would use my information and if they were secure")</f>
        <v>How it would use my information and if they were secure</v>
      </c>
      <c r="C105" s="45" t="s">
        <v>65</v>
      </c>
      <c r="D105" s="45" t="s">
        <v>1696</v>
      </c>
      <c r="E105" t="s">
        <v>1742</v>
      </c>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t="str">
        <f>IFERROR(__xludf.DUMMYFUNCTION("""COMPUTED_VALUE"""),"privacy and cost")</f>
        <v>privacy and cost</v>
      </c>
      <c r="C112" s="3" t="s">
        <v>384</v>
      </c>
      <c r="D112" s="3" t="s">
        <v>1753</v>
      </c>
      <c r="E112" s="3"/>
      <c r="F112" s="12"/>
      <c r="G112" s="12"/>
      <c r="H112" s="12"/>
      <c r="I112" s="12"/>
      <c r="J112" s="12"/>
    </row>
    <row r="113">
      <c r="A113">
        <f>IFERROR(__xludf.DUMMYFUNCTION("""COMPUTED_VALUE"""),166.0)</f>
        <v>166</v>
      </c>
      <c r="B113" s="12" t="str">
        <f>IFERROR(__xludf.DUMMYFUNCTION("""COMPUTED_VALUE"""),"I would consider the privacy aspect before granting any form of access.")</f>
        <v>I would consider the privacy aspect before granting any form of access.</v>
      </c>
      <c r="C113" s="3" t="s">
        <v>384</v>
      </c>
      <c r="D113" s="3"/>
      <c r="E113" s="12"/>
      <c r="F113" s="12"/>
      <c r="G113" s="12"/>
      <c r="H113" s="12"/>
      <c r="I113" s="12"/>
      <c r="J113" s="12"/>
    </row>
    <row r="114">
      <c r="A114">
        <f>IFERROR(__xludf.DUMMYFUNCTION("""COMPUTED_VALUE"""),167.0)</f>
        <v>167</v>
      </c>
      <c r="B114" s="12" t="str">
        <f>IFERROR(__xludf.DUMMYFUNCTION("""COMPUTED_VALUE"""),"I'd need to know how much it would actually help me, and in what ways it would make my life easier. I'd also question if they'll be sending unnecessary emails.")</f>
        <v>I'd need to know how much it would actually help me, and in what ways it would make my life easier. I'd also question if they'll be sending unnecessary emails.</v>
      </c>
      <c r="C114" s="34" t="s">
        <v>1714</v>
      </c>
      <c r="D114" t="s">
        <v>1706</v>
      </c>
      <c r="E114" s="3"/>
      <c r="F114" s="3"/>
      <c r="G114" s="12"/>
      <c r="H114" s="12"/>
      <c r="I114" s="12"/>
      <c r="J114" s="12"/>
    </row>
    <row r="115">
      <c r="A115">
        <f>IFERROR(__xludf.DUMMYFUNCTION("""COMPUTED_VALUE"""),168.0)</f>
        <v>168</v>
      </c>
      <c r="B115" s="12" t="str">
        <f>IFERROR(__xludf.DUMMYFUNCTION("""COMPUTED_VALUE"""),"That there would/could be a loss of privacy")</f>
        <v>That there would/could be a loss of privacy</v>
      </c>
      <c r="C115" s="3" t="s">
        <v>384</v>
      </c>
      <c r="D115" s="12"/>
      <c r="E115" s="12"/>
      <c r="F115" s="12"/>
      <c r="G115" s="12"/>
      <c r="H115" s="12"/>
      <c r="I115" s="12"/>
      <c r="J115" s="12"/>
    </row>
    <row r="116">
      <c r="A116">
        <f>IFERROR(__xludf.DUMMYFUNCTION("""COMPUTED_VALUE"""),170.0)</f>
        <v>170</v>
      </c>
      <c r="B116" s="12" t="str">
        <f>IFERROR(__xludf.DUMMYFUNCTION("""COMPUTED_VALUE"""),"I would consider nothing again, I probably put too much trust in Google and it's become a crutch at this point, I would easily allow it to be used in 3rd party situations.")</f>
        <v>I would consider nothing again, I probably put too much trust in Google and it's become a crutch at this point, I would easily allow it to be used in 3rd party situations.</v>
      </c>
      <c r="C116" s="3" t="s">
        <v>188</v>
      </c>
      <c r="D116" s="45" t="s">
        <v>1708</v>
      </c>
      <c r="E116" s="45" t="s">
        <v>1709</v>
      </c>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t="str">
        <f>IFERROR(__xludf.DUMMYFUNCTION("""COMPUTED_VALUE"""),"Security. Privacy.")</f>
        <v>Security. Privacy.</v>
      </c>
      <c r="C118" s="3" t="s">
        <v>384</v>
      </c>
      <c r="D118" s="45" t="s">
        <v>65</v>
      </c>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t="str">
        <f>IFERROR(__xludf.DUMMYFUNCTION("""COMPUTED_VALUE"""),"No")</f>
        <v>No</v>
      </c>
      <c r="C120" s="3" t="s">
        <v>188</v>
      </c>
      <c r="D120" s="12"/>
      <c r="E120" s="12"/>
      <c r="F120" s="12"/>
      <c r="G120" s="12"/>
      <c r="H120" s="12"/>
      <c r="I120" s="12"/>
      <c r="J120" s="12"/>
    </row>
    <row r="121">
      <c r="A121">
        <f>IFERROR(__xludf.DUMMYFUNCTION("""COMPUTED_VALUE"""),177.0)</f>
        <v>177</v>
      </c>
      <c r="B121" s="12" t="str">
        <f>IFERROR(__xludf.DUMMYFUNCTION("""COMPUTED_VALUE"""),"I might use it, but I would have to strongly consider what app I am using and whether I would really want that app to have access to my other Google information.")</f>
        <v>I might use it, but I would have to strongly consider what app I am using and whether I would really want that app to have access to my other Google information.</v>
      </c>
      <c r="C121" s="46" t="s">
        <v>1701</v>
      </c>
      <c r="D121" s="45" t="s">
        <v>1702</v>
      </c>
      <c r="E121" s="3"/>
      <c r="F121" s="3"/>
      <c r="G121" s="12"/>
      <c r="H121" s="12"/>
      <c r="I121" s="12"/>
      <c r="J121" s="12"/>
    </row>
    <row r="122">
      <c r="A122">
        <f>IFERROR(__xludf.DUMMYFUNCTION("""COMPUTED_VALUE"""),179.0)</f>
        <v>179</v>
      </c>
      <c r="B122" s="12" t="str">
        <f>IFERROR(__xludf.DUMMYFUNCTION("""COMPUTED_VALUE"""),"Will this information be shared? If the EULA for Google says no, what loopholes exist to allow them to share my data?")</f>
        <v>Will this information be shared? If the EULA for Google says no, what loopholes exist to allow them to share my data?</v>
      </c>
      <c r="C122" s="20" t="s">
        <v>1696</v>
      </c>
      <c r="D122" s="20" t="s">
        <v>1740</v>
      </c>
      <c r="E122" s="3"/>
      <c r="F122" s="12"/>
      <c r="G122" s="12"/>
      <c r="H122" s="12"/>
      <c r="I122" s="12"/>
      <c r="J122" s="12"/>
    </row>
    <row r="123">
      <c r="A123">
        <f>IFERROR(__xludf.DUMMYFUNCTION("""COMPUTED_VALUE"""),180.0)</f>
        <v>180</v>
      </c>
      <c r="B123" s="12" t="str">
        <f>IFERROR(__xludf.DUMMYFUNCTION("""COMPUTED_VALUE"""),"What information is being accessed by the third-party app.")</f>
        <v>What information is being accessed by the third-party app.</v>
      </c>
      <c r="C123" s="20" t="s">
        <v>1696</v>
      </c>
      <c r="D123" s="20" t="s">
        <v>1738</v>
      </c>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t="str">
        <f>IFERROR(__xludf.DUMMYFUNCTION("""COMPUTED_VALUE"""),"not sure")</f>
        <v>not sure</v>
      </c>
      <c r="C125" s="3" t="s">
        <v>1607</v>
      </c>
      <c r="D125" s="3"/>
      <c r="E125" s="12"/>
      <c r="F125" s="12"/>
      <c r="G125" s="12"/>
      <c r="H125" s="12"/>
      <c r="I125" s="12"/>
      <c r="J125" s="12"/>
    </row>
    <row r="126">
      <c r="A126">
        <f>IFERROR(__xludf.DUMMYFUNCTION("""COMPUTED_VALUE"""),186.0)</f>
        <v>186</v>
      </c>
      <c r="B126" s="12" t="str">
        <f>IFERROR(__xludf.DUMMYFUNCTION("""COMPUTED_VALUE"""),"I would have to know I can trust the app before I would grant them access to my account.")</f>
        <v>I would have to know I can trust the app before I would grant them access to my account.</v>
      </c>
      <c r="C126" s="46" t="s">
        <v>1701</v>
      </c>
      <c r="D126" s="45" t="s">
        <v>1702</v>
      </c>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t="str">
        <f>IFERROR(__xludf.DUMMYFUNCTION("""COMPUTED_VALUE"""),"If I want that app to be synced with my Google such as calendar.")</f>
        <v>If I want that app to be synced with my Google such as calendar.</v>
      </c>
      <c r="C129" s="45" t="s">
        <v>1714</v>
      </c>
      <c r="D129" s="46"/>
      <c r="E129" s="12"/>
      <c r="F129" s="12"/>
      <c r="G129" s="12"/>
      <c r="H129" s="12"/>
      <c r="I129" s="12"/>
      <c r="J129" s="12"/>
    </row>
    <row r="130">
      <c r="A130">
        <f>IFERROR(__xludf.DUMMYFUNCTION("""COMPUTED_VALUE"""),191.0)</f>
        <v>191</v>
      </c>
      <c r="B130" s="12"/>
      <c r="D130" s="3"/>
      <c r="E130" s="3"/>
      <c r="F130" s="3"/>
      <c r="G130" s="12"/>
      <c r="H130" s="12"/>
      <c r="I130" s="12"/>
      <c r="J130" s="12"/>
    </row>
    <row r="131">
      <c r="A131">
        <f>IFERROR(__xludf.DUMMYFUNCTION("""COMPUTED_VALUE"""),192.0)</f>
        <v>192</v>
      </c>
      <c r="B131" s="12" t="str">
        <f>IFERROR(__xludf.DUMMYFUNCTION("""COMPUTED_VALUE"""),"If it is safe to do so.")</f>
        <v>If it is safe to do so.</v>
      </c>
      <c r="C131" s="45" t="s">
        <v>1707</v>
      </c>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t="str">
        <f>IFERROR(__xludf.DUMMYFUNCTION("""COMPUTED_VALUE"""),"I would consider my privacy and if it was safe to be sharing that info with that website.")</f>
        <v>I would consider my privacy and if it was safe to be sharing that info with that website.</v>
      </c>
      <c r="C138" s="3" t="s">
        <v>384</v>
      </c>
      <c r="D138" s="46" t="s">
        <v>1701</v>
      </c>
      <c r="E138" s="46" t="s">
        <v>1713</v>
      </c>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t="str">
        <f>IFERROR(__xludf.DUMMYFUNCTION("""COMPUTED_VALUE"""),"what the service does, and the reputation that it has overall")</f>
        <v>what the service does, and the reputation that it has overall</v>
      </c>
      <c r="C140" s="46" t="s">
        <v>1701</v>
      </c>
      <c r="D140" s="45" t="s">
        <v>1702</v>
      </c>
      <c r="E140" s="45" t="s">
        <v>1714</v>
      </c>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t="str">
        <f>IFERROR(__xludf.DUMMYFUNCTION("""COMPUTED_VALUE"""),"What in particular it needed access to, it's privacy policy.")</f>
        <v>What in particular it needed access to, it's privacy policy.</v>
      </c>
      <c r="C142" s="3" t="s">
        <v>384</v>
      </c>
      <c r="D142" s="3" t="s">
        <v>1754</v>
      </c>
      <c r="E142" s="46" t="s">
        <v>1703</v>
      </c>
      <c r="F142" s="34" t="s">
        <v>1721</v>
      </c>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t="str">
        <f>IFERROR(__xludf.DUMMYFUNCTION("""COMPUTED_VALUE"""),"I want to have full control over my account, and not let another app have anything to do with it. I'd not trust the app, and wouldn't want them invading my privacy.")</f>
        <v>I want to have full control over my account, and not let another app have anything to do with it. I'd not trust the app, and wouldn't want them invading my privacy.</v>
      </c>
      <c r="C147" s="3" t="s">
        <v>384</v>
      </c>
      <c r="D147" s="46" t="s">
        <v>1701</v>
      </c>
      <c r="E147" s="45" t="s">
        <v>1702</v>
      </c>
      <c r="F147" s="3"/>
      <c r="H147" s="12"/>
      <c r="I147" s="12"/>
      <c r="J147" s="12"/>
    </row>
    <row r="148">
      <c r="A148">
        <f>IFERROR(__xludf.DUMMYFUNCTION("""COMPUTED_VALUE"""),215.0)</f>
        <v>215</v>
      </c>
      <c r="B148" s="12" t="str">
        <f>IFERROR(__xludf.DUMMYFUNCTION("""COMPUTED_VALUE"""),"I'd consider whether that third party app will send me lots of emails or what the third party app is for.")</f>
        <v>I'd consider whether that third party app will send me lots of emails or what the third party app is for.</v>
      </c>
      <c r="C148" s="45" t="s">
        <v>1714</v>
      </c>
      <c r="D148" s="45" t="s">
        <v>1706</v>
      </c>
      <c r="E148" s="12"/>
      <c r="F148" s="12"/>
      <c r="H148" s="12"/>
      <c r="I148" s="12"/>
      <c r="J148" s="12"/>
    </row>
    <row r="149">
      <c r="A149">
        <f>IFERROR(__xludf.DUMMYFUNCTION("""COMPUTED_VALUE"""),216.0)</f>
        <v>216</v>
      </c>
      <c r="B149" s="12" t="str">
        <f>IFERROR(__xludf.DUMMYFUNCTION("""COMPUTED_VALUE"""),"I would wonder what benefit it would be to me and if it were completely necessary to give a third party app any additional access.")</f>
        <v>I would wonder what benefit it would be to me and if it were completely necessary to give a third party app any additional access.</v>
      </c>
      <c r="C149" s="46" t="s">
        <v>1703</v>
      </c>
      <c r="D149" s="34" t="s">
        <v>1720</v>
      </c>
      <c r="E149" s="12"/>
      <c r="F149" s="12"/>
      <c r="H149" s="12"/>
      <c r="I149" s="12"/>
      <c r="J149" s="12"/>
    </row>
    <row r="150">
      <c r="A150">
        <f>IFERROR(__xludf.DUMMYFUNCTION("""COMPUTED_VALUE"""),217.0)</f>
        <v>217</v>
      </c>
      <c r="B150" s="12" t="str">
        <f>IFERROR(__xludf.DUMMYFUNCTION("""COMPUTED_VALUE"""),"Im not sure")</f>
        <v>Im not sure</v>
      </c>
      <c r="C150" s="3" t="s">
        <v>1607</v>
      </c>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t="str">
        <f>IFERROR(__xludf.DUMMYFUNCTION("""COMPUTED_VALUE"""),"Sure, I think there are enough measures in place to ensure privacy.")</f>
        <v>Sure, I think there are enough measures in place to ensure privacy.</v>
      </c>
      <c r="C154" s="3" t="s">
        <v>384</v>
      </c>
      <c r="D154" s="3"/>
      <c r="E154" s="3"/>
      <c r="F154" s="3"/>
      <c r="H154" s="12"/>
      <c r="I154" s="12"/>
      <c r="J154" s="12"/>
    </row>
    <row r="155">
      <c r="A155">
        <f>IFERROR(__xludf.DUMMYFUNCTION("""COMPUTED_VALUE"""),225.0)</f>
        <v>225</v>
      </c>
      <c r="B155" s="12" t="str">
        <f>IFERROR(__xludf.DUMMYFUNCTION("""COMPUTED_VALUE"""),"What kind of information they are accessing.")</f>
        <v>What kind of information they are accessing.</v>
      </c>
      <c r="C155" s="20" t="s">
        <v>1696</v>
      </c>
      <c r="D155" s="20" t="s">
        <v>1738</v>
      </c>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t="str">
        <f>IFERROR(__xludf.DUMMYFUNCTION("""COMPUTED_VALUE"""),"I would consider if I really need the services that the app offer. Also, do I trust the app to access my Google information.")</f>
        <v>I would consider if I really need the services that the app offer. Also, do I trust the app to access my Google information.</v>
      </c>
      <c r="C158" s="45" t="s">
        <v>1714</v>
      </c>
      <c r="D158" s="46" t="s">
        <v>1701</v>
      </c>
      <c r="E158" s="45" t="s">
        <v>1702</v>
      </c>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t="str">
        <f>IFERROR(__xludf.DUMMYFUNCTION("""COMPUTED_VALUE"""),"privacy")</f>
        <v>privacy</v>
      </c>
      <c r="C165" s="3" t="s">
        <v>384</v>
      </c>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t="str">
        <f>IFERROR(__xludf.DUMMYFUNCTION("""COMPUTED_VALUE"""),"I don't recall ever granting access to third party apps but I'm sure I have. I wouldn't consider anything before granting access, I already have a google account and a smartphone my privacy is already compromised so why overthink it.")</f>
        <v>I don't recall ever granting access to third party apps but I'm sure I have. I wouldn't consider anything before granting access, I already have a google account and a smartphone my privacy is already compromised so why overthink it.</v>
      </c>
      <c r="C170" s="3" t="s">
        <v>188</v>
      </c>
      <c r="D170" s="12"/>
      <c r="E170" s="12"/>
      <c r="F170" s="12"/>
      <c r="G170" s="12"/>
      <c r="H170" s="12"/>
      <c r="I170" s="12"/>
      <c r="J170" s="12"/>
    </row>
    <row r="171">
      <c r="A171">
        <f>IFERROR(__xludf.DUMMYFUNCTION("""COMPUTED_VALUE"""),248.0)</f>
        <v>248</v>
      </c>
      <c r="B171" s="12" t="str">
        <f>IFERROR(__xludf.DUMMYFUNCTION("""COMPUTED_VALUE"""),"Will they be storing my personal information.")</f>
        <v>Will they be storing my personal information.</v>
      </c>
      <c r="C171" s="20" t="s">
        <v>1696</v>
      </c>
      <c r="D171" s="12"/>
      <c r="E171" s="12"/>
      <c r="F171" s="12"/>
      <c r="G171" s="12"/>
      <c r="H171" s="12"/>
      <c r="I171" s="12"/>
      <c r="J171" s="12"/>
    </row>
    <row r="172">
      <c r="A172">
        <f>IFERROR(__xludf.DUMMYFUNCTION("""COMPUTED_VALUE"""),249.0)</f>
        <v>249</v>
      </c>
      <c r="B172" s="12" t="str">
        <f>IFERROR(__xludf.DUMMYFUNCTION("""COMPUTED_VALUE"""),"How necessary it was. I would not grant access unless doing so would be extremely beneficial to me.")</f>
        <v>How necessary it was. I would not grant access unless doing so would be extremely beneficial to me.</v>
      </c>
      <c r="C172" s="46" t="s">
        <v>1703</v>
      </c>
      <c r="D172" s="34" t="s">
        <v>1720</v>
      </c>
      <c r="E172" s="45" t="s">
        <v>1714</v>
      </c>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t="str">
        <f>IFERROR(__xludf.DUMMYFUNCTION("""COMPUTED_VALUE"""),"thats too much permissions for something")</f>
        <v>thats too much permissions for something</v>
      </c>
      <c r="C176" s="46" t="s">
        <v>1703</v>
      </c>
      <c r="D176" s="34" t="s">
        <v>1720</v>
      </c>
      <c r="E176" s="12"/>
      <c r="F176" s="12"/>
      <c r="G176" s="12"/>
      <c r="H176" s="12"/>
      <c r="I176" s="12"/>
      <c r="J176" s="12"/>
    </row>
    <row r="177">
      <c r="A177">
        <f>IFERROR(__xludf.DUMMYFUNCTION("""COMPUTED_VALUE"""),256.0)</f>
        <v>256</v>
      </c>
      <c r="B177" s="12" t="str">
        <f>IFERROR(__xludf.DUMMYFUNCTION("""COMPUTED_VALUE"""),"If the service I was granting access to was trustworthy and exactly what information they were trying to gain access to in my Google Account.")</f>
        <v>If the service I was granting access to was trustworthy and exactly what information they were trying to gain access to in my Google Account.</v>
      </c>
      <c r="C177" s="46" t="s">
        <v>1701</v>
      </c>
      <c r="D177" s="45" t="s">
        <v>1702</v>
      </c>
      <c r="E177" s="46" t="s">
        <v>1703</v>
      </c>
      <c r="F177" s="34" t="s">
        <v>1722</v>
      </c>
      <c r="G177" s="12"/>
      <c r="H177" s="12"/>
      <c r="I177" s="12"/>
      <c r="J177" s="12"/>
    </row>
    <row r="178">
      <c r="A178">
        <f>IFERROR(__xludf.DUMMYFUNCTION("""COMPUTED_VALUE"""),257.0)</f>
        <v>257</v>
      </c>
      <c r="B178" s="12" t="str">
        <f>IFERROR(__xludf.DUMMYFUNCTION("""COMPUTED_VALUE"""),"Why the app needs the access it does. I would also be concerned about what they did with the information after they got it")</f>
        <v>Why the app needs the access it does. I would also be concerned about what they did with the information after they got it</v>
      </c>
      <c r="C178" s="46" t="s">
        <v>1703</v>
      </c>
      <c r="D178" s="34" t="s">
        <v>1720</v>
      </c>
      <c r="E178" s="20" t="s">
        <v>1696</v>
      </c>
      <c r="F178" t="s">
        <v>1742</v>
      </c>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t="str">
        <f>IFERROR(__xludf.DUMMYFUNCTION("""COMPUTED_VALUE"""),"Privacy and security")</f>
        <v>Privacy and security</v>
      </c>
      <c r="C181" s="3" t="s">
        <v>384</v>
      </c>
      <c r="D181" s="3" t="s">
        <v>65</v>
      </c>
      <c r="E181" s="12"/>
      <c r="F181" s="12"/>
      <c r="G181" s="12"/>
      <c r="H181" s="12"/>
      <c r="I181" s="12"/>
      <c r="J181" s="12"/>
    </row>
    <row r="182">
      <c r="A182">
        <f>IFERROR(__xludf.DUMMYFUNCTION("""COMPUTED_VALUE"""),261.0)</f>
        <v>261</v>
      </c>
      <c r="B182" s="12" t="str">
        <f>IFERROR(__xludf.DUMMYFUNCTION("""COMPUTED_VALUE"""),"How my information is being used and what they can access.")</f>
        <v>How my information is being used and what they can access.</v>
      </c>
      <c r="C182" s="46" t="s">
        <v>1703</v>
      </c>
      <c r="D182" s="34" t="s">
        <v>1722</v>
      </c>
      <c r="E182" s="20" t="s">
        <v>1696</v>
      </c>
      <c r="F182" t="s">
        <v>1742</v>
      </c>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t="str">
        <f>IFERROR(__xludf.DUMMYFUNCTION("""COMPUTED_VALUE"""),"what it is asking for access for.")</f>
        <v>what it is asking for access for.</v>
      </c>
      <c r="C184" s="46" t="s">
        <v>1703</v>
      </c>
      <c r="D184" s="34" t="s">
        <v>1721</v>
      </c>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t="str">
        <f>IFERROR(__xludf.DUMMYFUNCTION("""COMPUTED_VALUE"""),"I would consider what they were asking to access. They shouldn't be able to access my webcam or identity.")</f>
        <v>I would consider what they were asking to access. They shouldn't be able to access my webcam or identity.</v>
      </c>
      <c r="C186" s="46" t="s">
        <v>1703</v>
      </c>
      <c r="D186" s="46" t="s">
        <v>1755</v>
      </c>
      <c r="E186" s="34" t="s">
        <v>1696</v>
      </c>
      <c r="F186" s="34" t="s">
        <v>1735</v>
      </c>
      <c r="H186" s="12"/>
      <c r="I186" s="12"/>
      <c r="J186" s="12"/>
    </row>
    <row r="187">
      <c r="A187">
        <f>IFERROR(__xludf.DUMMYFUNCTION("""COMPUTED_VALUE"""),268.0)</f>
        <v>268</v>
      </c>
      <c r="B187" s="12" t="str">
        <f>IFERROR(__xludf.DUMMYFUNCTION("""COMPUTED_VALUE"""),"Big brother would know my schedule. No, thank you.")</f>
        <v>Big brother would know my schedule. No, thank you.</v>
      </c>
      <c r="C187" s="34" t="s">
        <v>1696</v>
      </c>
      <c r="D187" s="46" t="s">
        <v>1756</v>
      </c>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t="str">
        <f>IFERROR(__xludf.DUMMYFUNCTION("""COMPUTED_VALUE"""),"if it was going to spam me with unnecessary notifications/emails")</f>
        <v>if it was going to spam me with unnecessary notifications/emails</v>
      </c>
      <c r="C189" s="34" t="s">
        <v>1706</v>
      </c>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t="str">
        <f>IFERROR(__xludf.DUMMYFUNCTION("""COMPUTED_VALUE"""),"I would just want to make sure it was safe for Google and my account.")</f>
        <v>I would just want to make sure it was safe for Google and my account.</v>
      </c>
      <c r="C191" s="34" t="s">
        <v>1707</v>
      </c>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t="str">
        <f>IFERROR(__xludf.DUMMYFUNCTION("""COMPUTED_VALUE"""),"I would consider what personal info connected to my Google Account that they would receive.")</f>
        <v>I would consider what personal info connected to my Google Account that they would receive.</v>
      </c>
      <c r="C193" s="20" t="s">
        <v>1696</v>
      </c>
      <c r="D193" s="20" t="s">
        <v>1738</v>
      </c>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t="str">
        <f>IFERROR(__xludf.DUMMYFUNCTION("""COMPUTED_VALUE"""),"If I trust the app or not")</f>
        <v>If I trust the app or not</v>
      </c>
      <c r="C196" s="46" t="s">
        <v>1701</v>
      </c>
      <c r="D196" s="34" t="s">
        <v>1702</v>
      </c>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t="str">
        <f>IFERROR(__xludf.DUMMYFUNCTION("""COMPUTED_VALUE"""),"protection of my information")</f>
        <v>protection of my information</v>
      </c>
      <c r="C198" s="20" t="s">
        <v>1696</v>
      </c>
      <c r="D198" s="12"/>
      <c r="E198" s="12"/>
      <c r="F198" s="12"/>
      <c r="G198" s="12"/>
      <c r="H198" s="12"/>
      <c r="I198" s="12"/>
      <c r="J198" s="12"/>
    </row>
    <row r="199">
      <c r="A199">
        <f>IFERROR(__xludf.DUMMYFUNCTION("""COMPUTED_VALUE"""),289.0)</f>
        <v>289</v>
      </c>
      <c r="B199" s="12" t="str">
        <f>IFERROR(__xludf.DUMMYFUNCTION("""COMPUTED_VALUE"""),"How well-known and secure the app is and if it is worth the risk")</f>
        <v>How well-known and secure the app is and if it is worth the risk</v>
      </c>
      <c r="C199" s="46" t="s">
        <v>1701</v>
      </c>
      <c r="D199" s="34" t="s">
        <v>1702</v>
      </c>
      <c r="E199" s="34" t="s">
        <v>65</v>
      </c>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t="str">
        <f>IFERROR(__xludf.DUMMYFUNCTION("""COMPUTED_VALUE"""),"I'd read everything it was granting access to before deciding to approve")</f>
        <v>I'd read everything it was granting access to before deciding to approve</v>
      </c>
      <c r="C202" s="46" t="s">
        <v>1703</v>
      </c>
      <c r="D202" t="s">
        <v>1721</v>
      </c>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t="str">
        <f>IFERROR(__xludf.DUMMYFUNCTION("""COMPUTED_VALUE"""),"I would be very concerned about my data being shared without my permission")</f>
        <v>I would be very concerned about my data being shared without my permission</v>
      </c>
      <c r="C204" s="20" t="s">
        <v>1696</v>
      </c>
      <c r="D204" t="s">
        <v>1740</v>
      </c>
      <c r="E204" s="12"/>
      <c r="F204" s="12"/>
      <c r="G204" s="12"/>
      <c r="H204" s="12"/>
      <c r="I204" s="12"/>
      <c r="J204" s="12"/>
    </row>
    <row r="205">
      <c r="A205">
        <f>IFERROR(__xludf.DUMMYFUNCTION("""COMPUTED_VALUE"""),298.0)</f>
        <v>298</v>
      </c>
      <c r="B205" s="12" t="str">
        <f>IFERROR(__xludf.DUMMYFUNCTION("""COMPUTED_VALUE"""),"I first have to consider the credibility of the website (is it legitimate/has good reviews/security), how much I would use the third-party app, and how much I need to have reminders for it.")</f>
        <v>I first have to consider the credibility of the website (is it legitimate/has good reviews/security), how much I would use the third-party app, and how much I need to have reminders for it.</v>
      </c>
      <c r="C205" s="46" t="s">
        <v>1701</v>
      </c>
      <c r="D205" s="46" t="s">
        <v>1713</v>
      </c>
      <c r="E205" s="34" t="s">
        <v>1714</v>
      </c>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t="str">
        <f>IFERROR(__xludf.DUMMYFUNCTION("""COMPUTED_VALUE"""),"what data it wanted to access")</f>
        <v>what data it wanted to access</v>
      </c>
      <c r="C208" s="20" t="s">
        <v>1696</v>
      </c>
      <c r="D208" s="20" t="s">
        <v>1738</v>
      </c>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t="str">
        <f>IFERROR(__xludf.DUMMYFUNCTION("""COMPUTED_VALUE"""),"I would consider how trustworthy the 3rd party site is/has been.")</f>
        <v>I would consider how trustworthy the 3rd party site is/has been.</v>
      </c>
      <c r="C210" s="46" t="s">
        <v>1701</v>
      </c>
      <c r="D210" s="46" t="s">
        <v>1713</v>
      </c>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t="str">
        <f>IFERROR(__xludf.DUMMYFUNCTION("""COMPUTED_VALUE"""),"How important that app is to me")</f>
        <v>How important that app is to me</v>
      </c>
      <c r="C212" s="34" t="s">
        <v>1714</v>
      </c>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t="str">
        <f>IFERROR(__xludf.DUMMYFUNCTION("""COMPUTED_VALUE"""),"data shared")</f>
        <v>data shared</v>
      </c>
      <c r="C214" s="20" t="s">
        <v>1696</v>
      </c>
      <c r="D214" s="20" t="s">
        <v>1738</v>
      </c>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t="str">
        <f>IFERROR(__xludf.DUMMYFUNCTION("""COMPUTED_VALUE"""),"Privacy and where my data was going and how it was being used.")</f>
        <v>Privacy and where my data was going and how it was being used.</v>
      </c>
      <c r="C216" s="3" t="s">
        <v>384</v>
      </c>
      <c r="D216" s="20" t="s">
        <v>1696</v>
      </c>
      <c r="E216" t="s">
        <v>1742</v>
      </c>
      <c r="F216" t="s">
        <v>1740</v>
      </c>
      <c r="G216" s="12"/>
      <c r="H216" s="12"/>
      <c r="I216" s="12"/>
      <c r="J216" s="12"/>
    </row>
    <row r="217">
      <c r="A217">
        <f>IFERROR(__xludf.DUMMYFUNCTION("""COMPUTED_VALUE"""),311.0)</f>
        <v>311</v>
      </c>
      <c r="B217" s="12" t="str">
        <f>IFERROR(__xludf.DUMMYFUNCTION("""COMPUTED_VALUE"""),"what they would have access to")</f>
        <v>what they would have access to</v>
      </c>
      <c r="C217" s="46" t="s">
        <v>1703</v>
      </c>
      <c r="D217" t="s">
        <v>1721</v>
      </c>
      <c r="E217" s="12"/>
      <c r="F217" s="12"/>
      <c r="G217" s="12"/>
      <c r="H217" s="12"/>
      <c r="I217" s="12"/>
      <c r="J217" s="12"/>
    </row>
    <row r="218">
      <c r="A218">
        <f>IFERROR(__xludf.DUMMYFUNCTION("""COMPUTED_VALUE"""),312.0)</f>
        <v>312</v>
      </c>
      <c r="B218" s="12" t="str">
        <f>IFERROR(__xludf.DUMMYFUNCTION("""COMPUTED_VALUE"""),"How much of my account they would have access to")</f>
        <v>How much of my account they would have access to</v>
      </c>
      <c r="C218" s="46" t="s">
        <v>1703</v>
      </c>
      <c r="D218" t="s">
        <v>1721</v>
      </c>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t="str">
        <f>IFERROR(__xludf.DUMMYFUNCTION("""COMPUTED_VALUE"""),"I would not want them to access the whole account, just what is needed. and definitely NOT my direct gmail emails")</f>
        <v>I would not want them to access the whole account, just what is needed. and definitely NOT my direct gmail emails</v>
      </c>
      <c r="C220" s="46" t="s">
        <v>1703</v>
      </c>
      <c r="D220" t="s">
        <v>1720</v>
      </c>
      <c r="E220" t="s">
        <v>1741</v>
      </c>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t="str">
        <f>IFERROR(__xludf.DUMMYFUNCTION("""COMPUTED_VALUE"""),"I would consider if I would use this feature at all. I would not be worried about security.")</f>
        <v>I would consider if I would use this feature at all. I would not be worried about security.</v>
      </c>
      <c r="C222" s="34" t="s">
        <v>1714</v>
      </c>
      <c r="D222" s="34" t="s">
        <v>65</v>
      </c>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t="str">
        <f>IFERROR(__xludf.DUMMYFUNCTION("""COMPUTED_VALUE"""),"The necessity of the app.")</f>
        <v>The necessity of the app.</v>
      </c>
      <c r="C226" s="34" t="s">
        <v>1714</v>
      </c>
      <c r="D226" s="12"/>
      <c r="E226" s="12"/>
      <c r="F226" s="12"/>
      <c r="G226" s="12"/>
      <c r="H226" s="12"/>
      <c r="I226" s="12"/>
      <c r="J226" s="12"/>
    </row>
    <row r="227">
      <c r="A227">
        <f>IFERROR(__xludf.DUMMYFUNCTION("""COMPUTED_VALUE"""),323.0)</f>
        <v>323</v>
      </c>
      <c r="B227" s="12" t="str">
        <f>IFERROR(__xludf.DUMMYFUNCTION("""COMPUTED_VALUE"""),"I would consider if it was able to send things to my contacts without my consent.")</f>
        <v>I would consider if it was able to send things to my contacts without my consent.</v>
      </c>
      <c r="C227" s="46" t="s">
        <v>1703</v>
      </c>
      <c r="D227" t="s">
        <v>1741</v>
      </c>
      <c r="E227" s="20" t="s">
        <v>1757</v>
      </c>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t="str">
        <f>IFERROR(__xludf.DUMMYFUNCTION("""COMPUTED_VALUE"""),"I would consider potential privacy concerns.")</f>
        <v>I would consider potential privacy concerns.</v>
      </c>
      <c r="C229" s="3" t="s">
        <v>384</v>
      </c>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t="str">
        <f>IFERROR(__xludf.DUMMYFUNCTION("""COMPUTED_VALUE"""),"What parts of my account it can access (outside of its intended purpose), if it can make changes/posts without my permission or not")</f>
        <v>What parts of my account it can access (outside of its intended purpose), if it can make changes/posts without my permission or not</v>
      </c>
      <c r="C232" s="12"/>
      <c r="D232" s="12"/>
      <c r="E232" s="12"/>
      <c r="F232" s="12"/>
      <c r="G232" s="12"/>
      <c r="H232" s="12"/>
      <c r="I232" s="12"/>
      <c r="J232" s="12"/>
    </row>
    <row r="233">
      <c r="A233">
        <f>IFERROR(__xludf.DUMMYFUNCTION("""COMPUTED_VALUE"""),330.0)</f>
        <v>330</v>
      </c>
      <c r="B233" s="12" t="str">
        <f>IFERROR(__xludf.DUMMYFUNCTION("""COMPUTED_VALUE"""),"Cannot imagine anything I would do this for")</f>
        <v>Cannot imagine anything I would do this for</v>
      </c>
      <c r="C233" s="3" t="s">
        <v>188</v>
      </c>
      <c r="D233" s="12"/>
      <c r="E233" s="12"/>
      <c r="F233" s="12"/>
      <c r="G233" s="12"/>
      <c r="H233" s="12"/>
      <c r="I233" s="12"/>
      <c r="J233" s="12"/>
    </row>
    <row r="234">
      <c r="A234">
        <f>IFERROR(__xludf.DUMMYFUNCTION("""COMPUTED_VALUE"""),331.0)</f>
        <v>331</v>
      </c>
      <c r="B234" s="12" t="str">
        <f>IFERROR(__xludf.DUMMYFUNCTION("""COMPUTED_VALUE"""),"Reputation")</f>
        <v>Reputation</v>
      </c>
      <c r="C234" s="34" t="s">
        <v>1701</v>
      </c>
      <c r="D234" s="12"/>
      <c r="E234" s="12"/>
      <c r="F234" s="12"/>
      <c r="G234" s="12"/>
      <c r="H234" s="12"/>
      <c r="I234" s="12"/>
      <c r="J234" s="12"/>
    </row>
    <row r="235">
      <c r="A235">
        <f>IFERROR(__xludf.DUMMYFUNCTION("""COMPUTED_VALUE"""),332.0)</f>
        <v>332</v>
      </c>
      <c r="B235" s="12" t="str">
        <f>IFERROR(__xludf.DUMMYFUNCTION("""COMPUTED_VALUE"""),"What information they would access and record, and what information Google would access and record. Also, if I would start getting emails from that place.")</f>
        <v>What information they would access and record, and what information Google would access and record. Also, if I would start getting emails from that place.</v>
      </c>
      <c r="C235" t="s">
        <v>1706</v>
      </c>
      <c r="D235" s="20" t="s">
        <v>1696</v>
      </c>
      <c r="E235" s="20" t="s">
        <v>1738</v>
      </c>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t="str">
        <f>IFERROR(__xludf.DUMMYFUNCTION("""COMPUTED_VALUE"""),"what they have access to. Sometimes apps want my location, or access to all of the files on my device, and I'm like nope.")</f>
        <v>what they have access to. Sometimes apps want my location, or access to all of the files on my device, and I'm like nope.</v>
      </c>
      <c r="C239" s="46" t="s">
        <v>1703</v>
      </c>
      <c r="D239" s="46" t="s">
        <v>1758</v>
      </c>
      <c r="E239" s="46" t="s">
        <v>1759</v>
      </c>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t="str">
        <f>IFERROR(__xludf.DUMMYFUNCTION("""COMPUTED_VALUE"""),"what other accounts are being linked")</f>
        <v>what other accounts are being linked</v>
      </c>
      <c r="C246" t="s">
        <v>1696</v>
      </c>
      <c r="D246" s="20" t="s">
        <v>1760</v>
      </c>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t="str">
        <f>IFERROR(__xludf.DUMMYFUNCTION("""COMPUTED_VALUE"""),"yes")</f>
        <v>yes</v>
      </c>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t="str">
        <f>IFERROR(__xludf.DUMMYFUNCTION("""COMPUTED_VALUE"""),"I would consider how much of my information they would be collecting")</f>
        <v>I would consider how much of my information they would be collecting</v>
      </c>
      <c r="C251" s="20" t="s">
        <v>1696</v>
      </c>
      <c r="D251" s="20" t="s">
        <v>1697</v>
      </c>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t="str">
        <f>IFERROR(__xludf.DUMMYFUNCTION("""COMPUTED_VALUE"""),"privacy and ownership of information")</f>
        <v>privacy and ownership of information</v>
      </c>
      <c r="C256" s="3" t="s">
        <v>384</v>
      </c>
      <c r="D256" s="12"/>
      <c r="E256" s="12"/>
      <c r="F256" s="12"/>
      <c r="G256" s="12"/>
      <c r="H256" s="12"/>
      <c r="I256" s="12"/>
      <c r="J256" s="12"/>
    </row>
    <row r="257">
      <c r="A257">
        <f>IFERROR(__xludf.DUMMYFUNCTION("""COMPUTED_VALUE"""),363.0)</f>
        <v>363</v>
      </c>
      <c r="B257" s="12" t="str">
        <f>IFERROR(__xludf.DUMMYFUNCTION("""COMPUTED_VALUE"""),"I would consider my privacy before granting access.")</f>
        <v>I would consider my privacy before granting access.</v>
      </c>
      <c r="C257" s="3" t="s">
        <v>384</v>
      </c>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t="str">
        <f>IFERROR(__xludf.DUMMYFUNCTION("""COMPUTED_VALUE"""),"yes I would determine if the risk is worth it.")</f>
        <v>yes I would determine if the risk is worth it.</v>
      </c>
      <c r="C259" s="34" t="s">
        <v>1610</v>
      </c>
      <c r="D259" s="45" t="s">
        <v>1700</v>
      </c>
      <c r="E259" s="12"/>
      <c r="F259" s="12"/>
      <c r="G259" s="12"/>
      <c r="H259" s="12"/>
      <c r="I259" s="12"/>
      <c r="J259" s="12"/>
    </row>
    <row r="260">
      <c r="A260">
        <f>IFERROR(__xludf.DUMMYFUNCTION("""COMPUTED_VALUE"""),366.0)</f>
        <v>366</v>
      </c>
      <c r="B260" s="12" t="str">
        <f>IFERROR(__xludf.DUMMYFUNCTION("""COMPUTED_VALUE"""),"I would consider the insidious nature of the inter connectivity and the probability that I am agreeing to way more access than I realize.")</f>
        <v>I would consider the insidious nature of the inter connectivity and the probability that I am agreeing to way more access than I realize.</v>
      </c>
      <c r="C260" s="3" t="s">
        <v>384</v>
      </c>
      <c r="D260" s="12"/>
      <c r="E260" s="12"/>
      <c r="F260" s="12"/>
      <c r="G260" s="12"/>
      <c r="H260" s="12"/>
      <c r="I260" s="12"/>
      <c r="J260" s="12"/>
    </row>
    <row r="261">
      <c r="A261">
        <f>IFERROR(__xludf.DUMMYFUNCTION("""COMPUTED_VALUE"""),367.0)</f>
        <v>367</v>
      </c>
      <c r="B261" s="12" t="str">
        <f>IFERROR(__xludf.DUMMYFUNCTION("""COMPUTED_VALUE"""),"Security risks")</f>
        <v>Security risks</v>
      </c>
      <c r="C261" s="3" t="s">
        <v>65</v>
      </c>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t="str">
        <f>IFERROR(__xludf.DUMMYFUNCTION("""COMPUTED_VALUE"""),"I would want to google it to make sure it was safe.")</f>
        <v>I would want to google it to make sure it was safe.</v>
      </c>
      <c r="C265" s="64" t="s">
        <v>1707</v>
      </c>
      <c r="D265" s="46" t="s">
        <v>1708</v>
      </c>
      <c r="E265" s="34" t="s">
        <v>1709</v>
      </c>
      <c r="F265" s="12"/>
      <c r="G265" s="12"/>
      <c r="H265" s="12"/>
      <c r="I265" s="12"/>
      <c r="J265" s="12"/>
    </row>
    <row r="266">
      <c r="A266">
        <f>IFERROR(__xludf.DUMMYFUNCTION("""COMPUTED_VALUE"""),376.0)</f>
        <v>376</v>
      </c>
      <c r="B266" s="12" t="str">
        <f>IFERROR(__xludf.DUMMYFUNCTION("""COMPUTED_VALUE"""),"I would want there to be a method of doing so that doesn't involve using my account password.")</f>
        <v>I would want there to be a method of doing so that doesn't involve using my account password.</v>
      </c>
      <c r="C266" t="s">
        <v>1696</v>
      </c>
      <c r="D266" s="20" t="s">
        <v>1761</v>
      </c>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t="str">
        <f>IFERROR(__xludf.DUMMYFUNCTION("""COMPUTED_VALUE"""),"I would not like it if the service needed to run in the background on my phone. I would not want it to have too much personal information, such as my full name or address.")</f>
        <v>I would not like it if the service needed to run in the background on my phone. I would not want it to have too much personal information, such as my full name or address.</v>
      </c>
      <c r="C268" t="s">
        <v>1696</v>
      </c>
      <c r="D268" s="12"/>
      <c r="E268" s="12"/>
      <c r="F268" s="12"/>
      <c r="G268" s="12"/>
      <c r="H268" s="12"/>
      <c r="I268" s="12"/>
      <c r="J268" s="12"/>
    </row>
    <row r="269">
      <c r="A269">
        <f>IFERROR(__xludf.DUMMYFUNCTION("""COMPUTED_VALUE"""),381.0)</f>
        <v>381</v>
      </c>
      <c r="B269" s="12" t="str">
        <f>IFERROR(__xludf.DUMMYFUNCTION("""COMPUTED_VALUE"""),"I would not consider it because I don't like the idea of an app having access to my contacts.")</f>
        <v>I would not consider it because I don't like the idea of an app having access to my contacts.</v>
      </c>
      <c r="C269" s="20" t="s">
        <v>1703</v>
      </c>
      <c r="D269" t="s">
        <v>1757</v>
      </c>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t="str">
        <f>IFERROR(__xludf.DUMMYFUNCTION("""COMPUTED_VALUE"""),"How much they are able to view of my google account and whether or not I can customize my privacy.")</f>
        <v>How much they are able to view of my google account and whether or not I can customize my privacy.</v>
      </c>
      <c r="C272" s="3" t="s">
        <v>384</v>
      </c>
      <c r="D272" s="20" t="s">
        <v>1703</v>
      </c>
      <c r="E272" t="s">
        <v>1721</v>
      </c>
      <c r="F272" s="12"/>
      <c r="G272" s="12"/>
      <c r="H272" s="12"/>
      <c r="I272" s="12"/>
      <c r="J272" s="12"/>
    </row>
    <row r="273">
      <c r="A273">
        <f>IFERROR(__xludf.DUMMYFUNCTION("""COMPUTED_VALUE"""),385.0)</f>
        <v>385</v>
      </c>
      <c r="B273" s="12" t="str">
        <f>IFERROR(__xludf.DUMMYFUNCTION("""COMPUTED_VALUE"""),"I would consider the potential security leaks that could come from me allowing this third-party access to my information.")</f>
        <v>I would consider the potential security leaks that could come from me allowing this third-party access to my information.</v>
      </c>
      <c r="C273" s="34" t="s">
        <v>65</v>
      </c>
      <c r="D273" s="34" t="s">
        <v>1726</v>
      </c>
      <c r="E273" s="12"/>
      <c r="F273" s="12"/>
      <c r="G273" s="12"/>
      <c r="H273" s="12"/>
      <c r="I273" s="12"/>
      <c r="J273" s="12"/>
    </row>
    <row r="274">
      <c r="A274">
        <f>IFERROR(__xludf.DUMMYFUNCTION("""COMPUTED_VALUE"""),386.0)</f>
        <v>386</v>
      </c>
      <c r="B274" s="12" t="str">
        <f>IFERROR(__xludf.DUMMYFUNCTION("""COMPUTED_VALUE"""),"Whether it was convenient. My only consideration would be whether it would save time or effort.")</f>
        <v>Whether it was convenient. My only consideration would be whether it would save time or effort.</v>
      </c>
      <c r="C274" s="34" t="s">
        <v>1698</v>
      </c>
      <c r="D274" s="12"/>
      <c r="E274" s="12"/>
      <c r="F274" s="12"/>
      <c r="G274" s="12"/>
      <c r="H274" s="12"/>
      <c r="I274" s="12"/>
      <c r="J274" s="12"/>
    </row>
    <row r="275">
      <c r="A275">
        <f>IFERROR(__xludf.DUMMYFUNCTION("""COMPUTED_VALUE"""),387.0)</f>
        <v>387</v>
      </c>
      <c r="B275" s="12" t="str">
        <f>IFERROR(__xludf.DUMMYFUNCTION("""COMPUTED_VALUE"""),"I would think first about whether I might be bothered by having this third party jump into my normal google functions. For example, I wouldn't want an app to mess with my google calendar when I would maybe just rather go into the app to check on its own e"&amp;"xternal calendar.")</f>
        <v>I would think first about whether I might be bothered by having this third party jump into my normal google functions. For example, I wouldn't want an app to mess with my google calendar when I would maybe just rather go into the app to check on its own external calendar.</v>
      </c>
      <c r="C275" s="20" t="s">
        <v>1703</v>
      </c>
      <c r="D275" s="20" t="s">
        <v>1747</v>
      </c>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t="str">
        <f>IFERROR(__xludf.DUMMYFUNCTION("""COMPUTED_VALUE"""),"How easy it would be to unsubcribe if I wanted to, how interested I was in the process")</f>
        <v>How easy it would be to unsubcribe if I wanted to, how interested I was in the process</v>
      </c>
      <c r="C278" s="46" t="s">
        <v>1598</v>
      </c>
      <c r="D278" s="34" t="s">
        <v>1731</v>
      </c>
      <c r="E278" s="12"/>
      <c r="F278" s="12"/>
      <c r="G278" s="12"/>
      <c r="H278" s="12"/>
      <c r="I278" s="12"/>
      <c r="J278" s="12"/>
    </row>
    <row r="279">
      <c r="A279">
        <f>IFERROR(__xludf.DUMMYFUNCTION("""COMPUTED_VALUE"""),392.0)</f>
        <v>392</v>
      </c>
      <c r="B279" s="12" t="str">
        <f>IFERROR(__xludf.DUMMYFUNCTION("""COMPUTED_VALUE"""),"What they would have access to and If I trust the site")</f>
        <v>What they would have access to and If I trust the site</v>
      </c>
      <c r="C279" s="34" t="s">
        <v>1701</v>
      </c>
      <c r="D279" s="46" t="s">
        <v>1713</v>
      </c>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t="str">
        <f>IFERROR(__xludf.DUMMYFUNCTION("""COMPUTED_VALUE"""),"If the information was really necessary to share or if doing so would benefit me in any way.")</f>
        <v>If the information was really necessary to share or if doing so would benefit me in any way.</v>
      </c>
      <c r="C281" s="34" t="s">
        <v>1714</v>
      </c>
      <c r="D281" s="20" t="s">
        <v>1703</v>
      </c>
      <c r="E281" t="s">
        <v>1720</v>
      </c>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t="str">
        <f>IFERROR(__xludf.DUMMYFUNCTION("""COMPUTED_VALUE"""),"no, giving them too much information")</f>
        <v>no, giving them too much information</v>
      </c>
      <c r="C283" s="20" t="s">
        <v>1696</v>
      </c>
      <c r="D283" t="s">
        <v>1697</v>
      </c>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t="str">
        <f>IFERROR(__xludf.DUMMYFUNCTION("""COMPUTED_VALUE"""),"The security and and privacy of these other apps.")</f>
        <v>The security and and privacy of these other apps.</v>
      </c>
      <c r="C285" s="3" t="s">
        <v>65</v>
      </c>
      <c r="D285" s="3" t="s">
        <v>384</v>
      </c>
      <c r="E285" s="12"/>
      <c r="F285" s="12"/>
      <c r="G285" s="12"/>
      <c r="H285" s="12"/>
      <c r="I285" s="12"/>
      <c r="J285" s="12"/>
    </row>
    <row r="286">
      <c r="A286">
        <f>IFERROR(__xludf.DUMMYFUNCTION("""COMPUTED_VALUE"""),399.0)</f>
        <v>399</v>
      </c>
      <c r="B286" s="12" t="str">
        <f>IFERROR(__xludf.DUMMYFUNCTION("""COMPUTED_VALUE"""),"Privacy and what the information is going to be used for.")</f>
        <v>Privacy and what the information is going to be used for.</v>
      </c>
      <c r="C286" s="3" t="s">
        <v>384</v>
      </c>
      <c r="D286" s="20" t="s">
        <v>1696</v>
      </c>
      <c r="E286" t="s">
        <v>1742</v>
      </c>
      <c r="F286" s="12"/>
      <c r="G286" s="12"/>
      <c r="H286" s="12"/>
      <c r="I286" s="12"/>
      <c r="J286" s="12"/>
    </row>
    <row r="287">
      <c r="A287">
        <f>IFERROR(__xludf.DUMMYFUNCTION("""COMPUTED_VALUE"""),400.0)</f>
        <v>400</v>
      </c>
      <c r="B287" s="12" t="str">
        <f>IFERROR(__xludf.DUMMYFUNCTION("""COMPUTED_VALUE"""),"If the scenario that you just suggested was to actually happen, I would consider giving the app access. I would like to see that Google trusts the app and suggests that you allow the access")</f>
        <v>If the scenario that you just suggested was to actually happen, I would consider giving the app access. I would like to see that Google trusts the app and suggests that you allow the access</v>
      </c>
      <c r="C287" s="46" t="s">
        <v>1708</v>
      </c>
      <c r="D287" s="34" t="s">
        <v>1709</v>
      </c>
      <c r="E287" s="12"/>
      <c r="F287" s="12"/>
      <c r="G287" s="12"/>
      <c r="H287" s="12"/>
      <c r="I287" s="12"/>
      <c r="J287" s="12"/>
    </row>
    <row r="288">
      <c r="A288">
        <f>IFERROR(__xludf.DUMMYFUNCTION("""COMPUTED_VALUE"""),401.0)</f>
        <v>401</v>
      </c>
      <c r="B288" s="12" t="str">
        <f>IFERROR(__xludf.DUMMYFUNCTION("""COMPUTED_VALUE"""),"If the third party is reliable. If they're likely to share my information.")</f>
        <v>If the third party is reliable. If they're likely to share my information.</v>
      </c>
      <c r="C288" s="34" t="s">
        <v>1701</v>
      </c>
      <c r="D288" s="20" t="s">
        <v>1696</v>
      </c>
      <c r="E288" t="s">
        <v>1740</v>
      </c>
      <c r="F288" s="12"/>
      <c r="G288" s="12"/>
      <c r="H288" s="12"/>
      <c r="I288" s="12"/>
      <c r="J288" s="12"/>
    </row>
    <row r="289">
      <c r="A289">
        <f>IFERROR(__xludf.DUMMYFUNCTION("""COMPUTED_VALUE"""),402.0)</f>
        <v>402</v>
      </c>
      <c r="B289" s="12" t="str">
        <f>IFERROR(__xludf.DUMMYFUNCTION("""COMPUTED_VALUE"""),"privacy")</f>
        <v>privacy</v>
      </c>
      <c r="C289" s="3" t="s">
        <v>384</v>
      </c>
      <c r="D289" s="12"/>
      <c r="E289" s="12"/>
      <c r="F289" s="12"/>
      <c r="G289" s="12"/>
      <c r="H289" s="12"/>
      <c r="I289" s="12"/>
      <c r="J289" s="12"/>
    </row>
    <row r="290">
      <c r="A290">
        <f>IFERROR(__xludf.DUMMYFUNCTION("""COMPUTED_VALUE"""),403.0)</f>
        <v>403</v>
      </c>
      <c r="B290" s="12" t="str">
        <f>IFERROR(__xludf.DUMMYFUNCTION("""COMPUTED_VALUE"""),"no")</f>
        <v>no</v>
      </c>
      <c r="C290" s="3" t="s">
        <v>188</v>
      </c>
      <c r="D290" s="12"/>
      <c r="E290" s="12"/>
      <c r="F290" s="12"/>
      <c r="G290" s="12"/>
      <c r="H290" s="12"/>
      <c r="I290" s="12"/>
      <c r="J290" s="12"/>
    </row>
    <row r="291">
      <c r="A291">
        <f>IFERROR(__xludf.DUMMYFUNCTION("""COMPUTED_VALUE"""),404.0)</f>
        <v>404</v>
      </c>
      <c r="B291" s="12" t="str">
        <f>IFERROR(__xludf.DUMMYFUNCTION("""COMPUTED_VALUE"""),"I would consider what am I at risk of.")</f>
        <v>I would consider what am I at risk of.</v>
      </c>
      <c r="C291" s="3" t="s">
        <v>1707</v>
      </c>
      <c r="D291" s="12"/>
      <c r="E291" s="12"/>
      <c r="F291" s="12"/>
      <c r="G291" s="12"/>
      <c r="H291" s="12"/>
      <c r="I291" s="12"/>
      <c r="J291" s="12"/>
    </row>
    <row r="292">
      <c r="A292">
        <f>IFERROR(__xludf.DUMMYFUNCTION("""COMPUTED_VALUE"""),405.0)</f>
        <v>405</v>
      </c>
      <c r="B292" s="12" t="str">
        <f>IFERROR(__xludf.DUMMYFUNCTION("""COMPUTED_VALUE"""),"I don't remember ever seeing an option to do it or have that come up before.")</f>
        <v>I don't remember ever seeing an option to do it or have that come up before.</v>
      </c>
      <c r="C292" s="3" t="s">
        <v>1607</v>
      </c>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t="str">
        <f>IFERROR(__xludf.DUMMYFUNCTION("""COMPUTED_VALUE"""),"whether or not it was a third-party app I felt comfortable with having my information.")</f>
        <v>whether or not it was a third-party app I felt comfortable with having my information.</v>
      </c>
      <c r="C294" s="34" t="s">
        <v>1701</v>
      </c>
      <c r="D294" s="12"/>
      <c r="E294" s="12"/>
      <c r="F294" s="12"/>
      <c r="G294" s="12"/>
      <c r="H294" s="12"/>
      <c r="I294" s="12"/>
      <c r="J294" s="12"/>
    </row>
    <row r="295">
      <c r="A295">
        <f>IFERROR(__xludf.DUMMYFUNCTION("""COMPUTED_VALUE"""),408.0)</f>
        <v>408</v>
      </c>
      <c r="B295" s="12" t="str">
        <f>IFERROR(__xludf.DUMMYFUNCTION("""COMPUTED_VALUE"""),"The developers of the app in question")</f>
        <v>The developers of the app in question</v>
      </c>
      <c r="C295" s="34" t="s">
        <v>1701</v>
      </c>
      <c r="D295" t="s">
        <v>1752</v>
      </c>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t="str">
        <f>IFERROR(__xludf.DUMMYFUNCTION("""COMPUTED_VALUE"""),"I'd consider it, but it would really depend on the company behind the app.")</f>
        <v>I'd consider it, but it would really depend on the company behind the app.</v>
      </c>
      <c r="C297" s="34" t="s">
        <v>1701</v>
      </c>
      <c r="D297" s="34" t="s">
        <v>1718</v>
      </c>
      <c r="E297" s="12"/>
      <c r="F297" s="12"/>
      <c r="G297" s="12"/>
      <c r="H297" s="12"/>
      <c r="I297" s="12"/>
      <c r="J297" s="12"/>
    </row>
    <row r="298">
      <c r="A298">
        <f>IFERROR(__xludf.DUMMYFUNCTION("""COMPUTED_VALUE"""),413.0)</f>
        <v>413</v>
      </c>
      <c r="B298" s="12" t="str">
        <f>IFERROR(__xludf.DUMMYFUNCTION("""COMPUTED_VALUE"""),"If it were safe.")</f>
        <v>If it were safe.</v>
      </c>
      <c r="C298" s="3" t="s">
        <v>1707</v>
      </c>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t="str">
        <f>IFERROR(__xludf.DUMMYFUNCTION("""COMPUTED_VALUE"""),"Privacy and data collection which I know Google is not so good with")</f>
        <v>Privacy and data collection which I know Google is not so good with</v>
      </c>
      <c r="C302" s="3" t="s">
        <v>384</v>
      </c>
      <c r="D302" s="20" t="s">
        <v>1696</v>
      </c>
      <c r="E302" t="s">
        <v>1697</v>
      </c>
      <c r="F302" s="12"/>
      <c r="G302" s="12"/>
      <c r="H302" s="12"/>
      <c r="I302" s="12"/>
      <c r="J302" s="12"/>
    </row>
    <row r="303">
      <c r="A303">
        <f>IFERROR(__xludf.DUMMYFUNCTION("""COMPUTED_VALUE"""),419.0)</f>
        <v>419</v>
      </c>
      <c r="B303" s="12" t="str">
        <f>IFERROR(__xludf.DUMMYFUNCTION("""COMPUTED_VALUE"""),"I would probably consider whether it's a reputable app or if its a scam trying to steal my information. Other than that, I wouldn't think much of it.")</f>
        <v>I would probably consider whether it's a reputable app or if its a scam trying to steal my information. Other than that, I wouldn't think much of it.</v>
      </c>
      <c r="C303" s="34" t="s">
        <v>1701</v>
      </c>
      <c r="D303" s="34" t="s">
        <v>1702</v>
      </c>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t="str">
        <f>IFERROR(__xludf.DUMMYFUNCTION("""COMPUTED_VALUE"""),"viruses")</f>
        <v>viruses</v>
      </c>
      <c r="C306" s="46" t="s">
        <v>65</v>
      </c>
      <c r="D306" s="34" t="s">
        <v>1727</v>
      </c>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t="str">
        <f>IFERROR(__xludf.DUMMYFUNCTION("""COMPUTED_VALUE"""),"How much personal information their able to retain")</f>
        <v>How much personal information their able to retain</v>
      </c>
      <c r="C308" s="20" t="s">
        <v>1696</v>
      </c>
      <c r="D308" t="s">
        <v>1697</v>
      </c>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t="str">
        <f>IFERROR(__xludf.DUMMYFUNCTION("""COMPUTED_VALUE"""),"safety and privacy concerns")</f>
        <v>safety and privacy concerns</v>
      </c>
      <c r="C310" s="3" t="s">
        <v>1707</v>
      </c>
      <c r="D310" s="3" t="s">
        <v>384</v>
      </c>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t="str">
        <f>IFERROR(__xludf.DUMMYFUNCTION("""COMPUTED_VALUE"""),"I would consider what level of access that the app was requesting and if it seemed worth the time saved or benefits received.")</f>
        <v>I would consider what level of access that the app was requesting and if it seemed worth the time saved or benefits received.</v>
      </c>
      <c r="C321" s="34" t="s">
        <v>1610</v>
      </c>
      <c r="D321" s="34" t="s">
        <v>1700</v>
      </c>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t="str">
        <f>IFERROR(__xludf.DUMMYFUNCTION("""COMPUTED_VALUE"""),"I would be curious what the third party app would be accessing (location data, contacts, browsing history, etc...)")</f>
        <v>I would be curious what the third party app would be accessing (location data, contacts, browsing history, etc...)</v>
      </c>
      <c r="C323" s="20" t="s">
        <v>1703</v>
      </c>
      <c r="D323" t="s">
        <v>1758</v>
      </c>
      <c r="E323" t="s">
        <v>1757</v>
      </c>
      <c r="F323" s="20" t="s">
        <v>1762</v>
      </c>
      <c r="G323" s="12"/>
      <c r="H323" s="12"/>
      <c r="I323" s="12"/>
      <c r="J323" s="12"/>
    </row>
    <row r="324">
      <c r="A324">
        <f>IFERROR(__xludf.DUMMYFUNCTION("""COMPUTED_VALUE"""),449.0)</f>
        <v>449</v>
      </c>
      <c r="B324" s="12" t="str">
        <f>IFERROR(__xludf.DUMMYFUNCTION("""COMPUTED_VALUE"""),"i mean i might. kinda feels weird like maybe that's too much of them being in my personal data but then again if they really wanted to they'd find a way to get it anyways. doesn't google make money off selling our info?")</f>
        <v>i mean i might. kinda feels weird like maybe that's too much of them being in my personal data but then again if they really wanted to they'd find a way to get it anyways. doesn't google make money off selling our info?</v>
      </c>
      <c r="C324" s="3" t="s">
        <v>1696</v>
      </c>
      <c r="D324" s="12"/>
      <c r="E324" s="12"/>
      <c r="F324" s="12"/>
      <c r="G324" s="12"/>
      <c r="H324" s="12"/>
      <c r="I324" s="12"/>
      <c r="J324" s="12"/>
    </row>
    <row r="325">
      <c r="A325">
        <f>IFERROR(__xludf.DUMMYFUNCTION("""COMPUTED_VALUE"""),450.0)</f>
        <v>450</v>
      </c>
      <c r="B325" s="12" t="str">
        <f>IFERROR(__xludf.DUMMYFUNCTION("""COMPUTED_VALUE"""),"I would consider what exact information the app wanted from my Google account and if I was comfortable giving the app that information.")</f>
        <v>I would consider what exact information the app wanted from my Google account and if I was comfortable giving the app that information.</v>
      </c>
      <c r="C325" s="3" t="s">
        <v>1696</v>
      </c>
      <c r="D325" t="s">
        <v>1738</v>
      </c>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t="str">
        <f>IFERROR(__xludf.DUMMYFUNCTION("""COMPUTED_VALUE"""),"security and i wuldnt do it")</f>
        <v>security and i wuldnt do it</v>
      </c>
      <c r="C327" s="3" t="s">
        <v>65</v>
      </c>
      <c r="D327" s="12"/>
      <c r="E327" s="12"/>
      <c r="F327" s="12"/>
      <c r="G327" s="12"/>
      <c r="H327" s="12"/>
      <c r="I327" s="12"/>
      <c r="J327" s="12"/>
    </row>
    <row r="328">
      <c r="A328">
        <f>IFERROR(__xludf.DUMMYFUNCTION("""COMPUTED_VALUE"""),455.0)</f>
        <v>455</v>
      </c>
      <c r="B328" s="12" t="str">
        <f>IFERROR(__xludf.DUMMYFUNCTION("""COMPUTED_VALUE"""),"I would think about whether I was comfortable opening portions of my Gmail data to that app.")</f>
        <v>I would think about whether I was comfortable opening portions of my Gmail data to that app.</v>
      </c>
      <c r="C328" s="20" t="s">
        <v>1703</v>
      </c>
      <c r="D328" t="s">
        <v>1741</v>
      </c>
      <c r="E328" s="34"/>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t="str">
        <f>IFERROR(__xludf.DUMMYFUNCTION("""COMPUTED_VALUE"""),"if it was secure and wouldn't store my personal data")</f>
        <v>if it was secure and wouldn't store my personal data</v>
      </c>
      <c r="C332" s="3" t="s">
        <v>65</v>
      </c>
      <c r="D332" s="3" t="s">
        <v>1696</v>
      </c>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t="str">
        <f>IFERROR(__xludf.DUMMYFUNCTION("""COMPUTED_VALUE"""),"what information it wanted and whether it was worth sharing.")</f>
        <v>what information it wanted and whether it was worth sharing.</v>
      </c>
      <c r="C340" s="3" t="s">
        <v>1696</v>
      </c>
      <c r="D340" t="s">
        <v>1738</v>
      </c>
      <c r="E340" s="12"/>
      <c r="F340" t="s">
        <v>1610</v>
      </c>
      <c r="G340" s="34" t="s">
        <v>1611</v>
      </c>
      <c r="H340" s="12"/>
      <c r="I340" s="12"/>
      <c r="J340" s="12"/>
    </row>
    <row r="341">
      <c r="A341">
        <f>IFERROR(__xludf.DUMMYFUNCTION("""COMPUTED_VALUE"""),471.0)</f>
        <v>471</v>
      </c>
      <c r="B341" s="12" t="str">
        <f>IFERROR(__xludf.DUMMYFUNCTION("""COMPUTED_VALUE"""),"As long as they are not taking information that can harm me, I am okay with them having access.")</f>
        <v>As long as they are not taking information that can harm me, I am okay with them having access.</v>
      </c>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t="str">
        <f>IFERROR(__xludf.DUMMYFUNCTION("""COMPUTED_VALUE"""),"Which app I am granting access to.")</f>
        <v>Which app I am granting access to.</v>
      </c>
      <c r="C343" s="34" t="s">
        <v>1701</v>
      </c>
      <c r="D343" s="34" t="s">
        <v>1702</v>
      </c>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t="str">
        <f>IFERROR(__xludf.DUMMYFUNCTION("""COMPUTED_VALUE"""),"how much access it has that does not require my permission")</f>
        <v>how much access it has that does not require my permission</v>
      </c>
      <c r="C345" s="20" t="s">
        <v>1703</v>
      </c>
      <c r="D345" s="34" t="s">
        <v>1721</v>
      </c>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t="str">
        <f>IFERROR(__xludf.DUMMYFUNCTION("""COMPUTED_VALUE"""),"I would consider if it were easier to sign in with my google account or just simply create an account through the platform.")</f>
        <v>I would consider if it were easier to sign in with my google account or just simply create an account through the platform.</v>
      </c>
      <c r="C349" s="34" t="s">
        <v>1598</v>
      </c>
      <c r="D349" s="34" t="s">
        <v>1724</v>
      </c>
      <c r="E349" s="12"/>
      <c r="F349" s="12"/>
      <c r="G349" s="12"/>
      <c r="H349" s="12"/>
      <c r="I349" s="12"/>
      <c r="J349" s="12"/>
    </row>
    <row r="350">
      <c r="A350">
        <f>IFERROR(__xludf.DUMMYFUNCTION("""COMPUTED_VALUE"""),485.0)</f>
        <v>485</v>
      </c>
      <c r="B350" s="12" t="str">
        <f>IFERROR(__xludf.DUMMYFUNCTION("""COMPUTED_VALUE"""),"About using data from my account that I would not normally feel comfortable giving out. An example of this is how often I would resubscribe to protein powder deliveries.")</f>
        <v>About using data from my account that I would not normally feel comfortable giving out. An example of this is how often I would resubscribe to protein powder deliveries.</v>
      </c>
      <c r="C350" s="3" t="s">
        <v>1696</v>
      </c>
      <c r="D350" s="34" t="s">
        <v>1735</v>
      </c>
      <c r="E350" s="12"/>
      <c r="F350" s="12"/>
      <c r="G350" s="12"/>
      <c r="H350" s="12"/>
      <c r="I350" s="12"/>
      <c r="J350" s="12"/>
    </row>
    <row r="351">
      <c r="A351">
        <f>IFERROR(__xludf.DUMMYFUNCTION("""COMPUTED_VALUE"""),486.0)</f>
        <v>486</v>
      </c>
      <c r="B351" s="12" t="str">
        <f>IFERROR(__xludf.DUMMYFUNCTION("""COMPUTED_VALUE"""),"I would consider if the third party was reputable and if the connection would be secure and safe.")</f>
        <v>I would consider if the third party was reputable and if the connection would be secure and safe.</v>
      </c>
      <c r="C351" s="34" t="s">
        <v>65</v>
      </c>
      <c r="D351" s="34" t="s">
        <v>1707</v>
      </c>
      <c r="E351" s="34" t="s">
        <v>1701</v>
      </c>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t="str">
        <f>IFERROR(__xludf.DUMMYFUNCTION("""COMPUTED_VALUE"""),"I would consider what information it was accessing on my account.")</f>
        <v>I would consider what information it was accessing on my account.</v>
      </c>
      <c r="C355" s="3" t="s">
        <v>1696</v>
      </c>
      <c r="D355" t="s">
        <v>1738</v>
      </c>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t="str">
        <f>IFERROR(__xludf.DUMMYFUNCTION("""COMPUTED_VALUE"""),"no")</f>
        <v>no</v>
      </c>
      <c r="C359" s="3" t="s">
        <v>188</v>
      </c>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t="str">
        <f>IFERROR(__xludf.DUMMYFUNCTION("""COMPUTED_VALUE"""),"The same as I said last time, my information spreading. Also, I know Google tracks EVERYTHING.")</f>
        <v>The same as I said last time, my information spreading. Also, I know Google tracks EVERYTHING.</v>
      </c>
      <c r="C363" s="3" t="s">
        <v>1696</v>
      </c>
      <c r="D363" s="12"/>
      <c r="E363" s="12"/>
      <c r="F363" s="12"/>
      <c r="G363" s="12"/>
      <c r="H363" s="12"/>
      <c r="I363" s="12"/>
      <c r="J363" s="12"/>
    </row>
    <row r="364">
      <c r="A364">
        <f>IFERROR(__xludf.DUMMYFUNCTION("""COMPUTED_VALUE"""),503.0)</f>
        <v>503</v>
      </c>
      <c r="B364" s="12" t="str">
        <f>IFERROR(__xludf.DUMMYFUNCTION("""COMPUTED_VALUE"""),"My media and information that is connected to my Google account.")</f>
        <v>My media and information that is connected to my Google account.</v>
      </c>
      <c r="C364" s="3" t="s">
        <v>1696</v>
      </c>
      <c r="D364" s="12"/>
      <c r="E364" s="12"/>
      <c r="F364" s="12"/>
      <c r="G364" s="12"/>
      <c r="H364" s="12"/>
      <c r="I364" s="12"/>
      <c r="J364" s="12"/>
    </row>
    <row r="365">
      <c r="A365">
        <f>IFERROR(__xludf.DUMMYFUNCTION("""COMPUTED_VALUE"""),504.0)</f>
        <v>504</v>
      </c>
      <c r="B365" s="12" t="str">
        <f>IFERROR(__xludf.DUMMYFUNCTION("""COMPUTED_VALUE"""),"If it was something I was doing because it is necessary or because I want to save time.")</f>
        <v>If it was something I was doing because it is necessary or because I want to save time.</v>
      </c>
      <c r="C365" s="34" t="s">
        <v>1714</v>
      </c>
      <c r="D365" s="12"/>
      <c r="E365" s="12"/>
      <c r="F365" s="12"/>
      <c r="G365" s="12"/>
      <c r="H365" s="12"/>
      <c r="I365" s="12"/>
      <c r="J365" s="12"/>
    </row>
    <row r="366">
      <c r="A366">
        <f>IFERROR(__xludf.DUMMYFUNCTION("""COMPUTED_VALUE"""),505.0)</f>
        <v>505</v>
      </c>
      <c r="B366" s="12" t="str">
        <f>IFERROR(__xludf.DUMMYFUNCTION("""COMPUTED_VALUE"""),"The reputation of the service and the personal data it would be able to access.")</f>
        <v>The reputation of the service and the personal data it would be able to access.</v>
      </c>
      <c r="C366" s="34" t="s">
        <v>1701</v>
      </c>
      <c r="D366" s="34" t="s">
        <v>1702</v>
      </c>
      <c r="E366" s="3" t="s">
        <v>1696</v>
      </c>
      <c r="F366" t="s">
        <v>1738</v>
      </c>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t="str">
        <f>IFERROR(__xludf.DUMMYFUNCTION("""COMPUTED_VALUE"""),"How many things they had access to and what permissions (could they see my data, etc)")</f>
        <v>How many things they had access to and what permissions (could they see my data, etc)</v>
      </c>
      <c r="C368" s="34" t="s">
        <v>1703</v>
      </c>
      <c r="D368" s="34" t="s">
        <v>1721</v>
      </c>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t="str">
        <f>IFERROR(__xludf.DUMMYFUNCTION("""COMPUTED_VALUE"""),"Whether or not it's asking for access of too much personal information or asking for access for stuff not related to the app.")</f>
        <v>Whether or not it's asking for access of too much personal information or asking for access for stuff not related to the app.</v>
      </c>
      <c r="C372" s="34" t="s">
        <v>1703</v>
      </c>
      <c r="D372" t="s">
        <v>1720</v>
      </c>
      <c r="E372" s="3" t="s">
        <v>1696</v>
      </c>
      <c r="F372" t="s">
        <v>1697</v>
      </c>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t="str">
        <f>IFERROR(__xludf.DUMMYFUNCTION("""COMPUTED_VALUE"""),"I'd consider if the information I'd give them could pose a security risk")</f>
        <v>I'd consider if the information I'd give them could pose a security risk</v>
      </c>
      <c r="C375" s="46" t="s">
        <v>65</v>
      </c>
      <c r="D375" s="34" t="s">
        <v>1600</v>
      </c>
      <c r="E375" s="12"/>
      <c r="F375" s="12"/>
      <c r="G375" s="12"/>
      <c r="H375" s="12"/>
      <c r="I375" s="12"/>
      <c r="J375" s="12"/>
    </row>
    <row r="376">
      <c r="A376">
        <f>IFERROR(__xludf.DUMMYFUNCTION("""COMPUTED_VALUE"""),516.0)</f>
        <v>516</v>
      </c>
      <c r="B376" s="12" t="str">
        <f>IFERROR(__xludf.DUMMYFUNCTION("""COMPUTED_VALUE"""),"What sensitive information it would gain access to and how safe it would be that it does not get compromised.")</f>
        <v>What sensitive information it would gain access to and how safe it would be that it does not get compromised.</v>
      </c>
      <c r="C376" s="34" t="s">
        <v>1707</v>
      </c>
      <c r="D376" s="46" t="s">
        <v>65</v>
      </c>
      <c r="E376" s="34" t="s">
        <v>1727</v>
      </c>
      <c r="F376" s="3" t="s">
        <v>1696</v>
      </c>
      <c r="G376" t="s">
        <v>1735</v>
      </c>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t="str">
        <f>IFERROR(__xludf.DUMMYFUNCTION("""COMPUTED_VALUE"""),"Making sure that it doesn't mess up anything else that I have going on via my Google Account, such as additional spam or taking up extra storage space")</f>
        <v>Making sure that it doesn't mess up anything else that I have going on via my Google Account, such as additional spam or taking up extra storage space</v>
      </c>
      <c r="C386" s="34" t="s">
        <v>1706</v>
      </c>
      <c r="D386" s="12"/>
      <c r="E386" s="12"/>
      <c r="F386" s="12"/>
      <c r="G386" s="12"/>
      <c r="H386" s="12"/>
      <c r="I386" s="12"/>
      <c r="J386" s="12"/>
    </row>
    <row r="387">
      <c r="A387">
        <f>IFERROR(__xludf.DUMMYFUNCTION("""COMPUTED_VALUE"""),532.0)</f>
        <v>532</v>
      </c>
      <c r="B387" s="12" t="str">
        <f>IFERROR(__xludf.DUMMYFUNCTION("""COMPUTED_VALUE"""),"I would consider the reputability of the third-party app and how my information may be stored or used, and I'd consider whether or not I have any alternatives to granting this access.")</f>
        <v>I would consider the reputability of the third-party app and how my information may be stored or used, and I'd consider whether or not I have any alternatives to granting this access.</v>
      </c>
      <c r="C387" s="34" t="s">
        <v>1620</v>
      </c>
      <c r="D387" s="46" t="s">
        <v>1701</v>
      </c>
      <c r="E387" s="34" t="s">
        <v>1702</v>
      </c>
      <c r="F387" s="20" t="s">
        <v>1696</v>
      </c>
      <c r="G387" t="s">
        <v>1742</v>
      </c>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t="str">
        <f>IFERROR(__xludf.DUMMYFUNCTION("""COMPUTED_VALUE"""),"The source of the app and if I was familiar with it.")</f>
        <v>The source of the app and if I was familiar with it.</v>
      </c>
      <c r="C391" s="46" t="s">
        <v>1701</v>
      </c>
      <c r="D391" s="34" t="s">
        <v>1702</v>
      </c>
      <c r="E391" s="12"/>
      <c r="F391" s="12"/>
      <c r="G391" s="12"/>
      <c r="H391" s="12"/>
      <c r="I391" s="12"/>
      <c r="J391" s="12"/>
    </row>
    <row r="392">
      <c r="A392">
        <f>IFERROR(__xludf.DUMMYFUNCTION("""COMPUTED_VALUE"""),539.0)</f>
        <v>539</v>
      </c>
      <c r="B392" s="12" t="str">
        <f>IFERROR(__xludf.DUMMYFUNCTION("""COMPUTED_VALUE"""),"No")</f>
        <v>No</v>
      </c>
      <c r="C392" s="3" t="s">
        <v>188</v>
      </c>
      <c r="D392" s="12"/>
      <c r="E392" s="12"/>
      <c r="F392" s="12"/>
      <c r="G392" s="12"/>
      <c r="H392" s="12"/>
      <c r="I392" s="12"/>
      <c r="J392" s="12"/>
    </row>
    <row r="393">
      <c r="A393">
        <f>IFERROR(__xludf.DUMMYFUNCTION("""COMPUTED_VALUE"""),540.0)</f>
        <v>540</v>
      </c>
      <c r="B393" s="12" t="str">
        <f>IFERROR(__xludf.DUMMYFUNCTION("""COMPUTED_VALUE"""),"What the third-party app would have access to.")</f>
        <v>What the third-party app would have access to.</v>
      </c>
      <c r="C393" s="34" t="s">
        <v>1703</v>
      </c>
      <c r="D393" s="34" t="s">
        <v>1721</v>
      </c>
      <c r="E393" s="12"/>
      <c r="F393" s="12"/>
      <c r="G393" s="12"/>
      <c r="H393" s="12"/>
      <c r="I393" s="12"/>
      <c r="J393" s="12"/>
    </row>
    <row r="394">
      <c r="A394">
        <f>IFERROR(__xludf.DUMMYFUNCTION("""COMPUTED_VALUE"""),542.0)</f>
        <v>542</v>
      </c>
      <c r="B394" s="12" t="str">
        <f>IFERROR(__xludf.DUMMYFUNCTION("""COMPUTED_VALUE"""),"I would want to make sure what the app has access to is not too personal.")</f>
        <v>I would want to make sure what the app has access to is not too personal.</v>
      </c>
      <c r="C394" s="3" t="s">
        <v>1696</v>
      </c>
      <c r="D394" t="s">
        <v>1735</v>
      </c>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t="str">
        <f>IFERROR(__xludf.DUMMYFUNCTION("""COMPUTED_VALUE"""),"I would consider the possibility of my information being obtained.")</f>
        <v>I would consider the possibility of my information being obtained.</v>
      </c>
      <c r="C397" s="3" t="s">
        <v>1696</v>
      </c>
      <c r="D397" s="12"/>
      <c r="E397" s="12"/>
      <c r="F397" s="12"/>
      <c r="G397" s="12"/>
      <c r="H397" s="12"/>
      <c r="I397" s="12"/>
      <c r="J397" s="12"/>
    </row>
    <row r="398">
      <c r="A398">
        <f>IFERROR(__xludf.DUMMYFUNCTION("""COMPUTED_VALUE"""),547.0)</f>
        <v>547</v>
      </c>
      <c r="B398" s="12" t="str">
        <f>IFERROR(__xludf.DUMMYFUNCTION("""COMPUTED_VALUE"""),"I would consider if the app would keep my data for later use.")</f>
        <v>I would consider if the app would keep my data for later use.</v>
      </c>
      <c r="C398" s="3" t="s">
        <v>1696</v>
      </c>
      <c r="D398" t="s">
        <v>1742</v>
      </c>
      <c r="E398" s="12"/>
      <c r="F398" s="12"/>
      <c r="G398" s="12"/>
      <c r="H398" s="12"/>
      <c r="I398" s="12"/>
      <c r="J398" s="12"/>
    </row>
    <row r="399">
      <c r="A399">
        <f>IFERROR(__xludf.DUMMYFUNCTION("""COMPUTED_VALUE"""),548.0)</f>
        <v>548</v>
      </c>
      <c r="B399" s="12" t="str">
        <f>IFERROR(__xludf.DUMMYFUNCTION("""COMPUTED_VALUE"""),"I would consider how secure the app is, I wouldn't want my information compromised. I also would consider the type of request, and how relevant it is to the usage of the app.")</f>
        <v>I would consider how secure the app is, I wouldn't want my information compromised. I also would consider the type of request, and how relevant it is to the usage of the app.</v>
      </c>
      <c r="C399" s="64" t="s">
        <v>65</v>
      </c>
      <c r="D399" s="3" t="s">
        <v>1696</v>
      </c>
      <c r="E399" s="34" t="s">
        <v>1703</v>
      </c>
      <c r="F399" t="s">
        <v>1720</v>
      </c>
      <c r="G399" s="12"/>
      <c r="H399" s="12"/>
      <c r="I399" s="12"/>
      <c r="J399" s="12"/>
    </row>
    <row r="400">
      <c r="A400">
        <f>IFERROR(__xludf.DUMMYFUNCTION("""COMPUTED_VALUE"""),549.0)</f>
        <v>549</v>
      </c>
      <c r="B400" s="12" t="str">
        <f>IFERROR(__xludf.DUMMYFUNCTION("""COMPUTED_VALUE"""),"How secure is this? What will they do with my information? Why do they need the information?")</f>
        <v>How secure is this? What will they do with my information? Why do they need the information?</v>
      </c>
      <c r="C400" s="64" t="s">
        <v>65</v>
      </c>
      <c r="D400" s="3" t="s">
        <v>1696</v>
      </c>
      <c r="E400" t="s">
        <v>1742</v>
      </c>
      <c r="F400" s="20" t="s">
        <v>1605</v>
      </c>
      <c r="G400" t="s">
        <v>1745</v>
      </c>
      <c r="H400" s="12"/>
      <c r="I400" s="12"/>
      <c r="J400" s="12"/>
    </row>
    <row r="401">
      <c r="A401">
        <f>IFERROR(__xludf.DUMMYFUNCTION("""COMPUTED_VALUE"""),550.0)</f>
        <v>550</v>
      </c>
      <c r="B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t="str">
        <f>IFERROR(__xludf.DUMMYFUNCTION("""COMPUTED_VALUE"""),"What type of information is shared, and why. Do I have control over what is shared?")</f>
        <v>What type of information is shared, and why. Do I have control over what is shared?</v>
      </c>
      <c r="C404" s="3" t="s">
        <v>1696</v>
      </c>
      <c r="D404" t="s">
        <v>1738</v>
      </c>
      <c r="E404" s="12"/>
      <c r="F404" s="12"/>
      <c r="G404" s="12"/>
      <c r="H404" s="12"/>
      <c r="I404" s="12"/>
      <c r="J404" s="12"/>
    </row>
    <row r="405">
      <c r="A405">
        <f>IFERROR(__xludf.DUMMYFUNCTION("""COMPUTED_VALUE"""),555.0)</f>
        <v>555</v>
      </c>
      <c r="B405" s="12" t="str">
        <f>IFERROR(__xludf.DUMMYFUNCTION("""COMPUTED_VALUE"""),"I would consider how useful it would be. I wouldn't give a third-party app access to something that doesn't make sense, such as one that needs to use my contacts but shouldn't be able to use my calendar.")</f>
        <v>I would consider how useful it would be. I wouldn't give a third-party app access to something that doesn't make sense, such as one that needs to use my contacts but shouldn't be able to use my calendar.</v>
      </c>
      <c r="C405" s="34" t="s">
        <v>1714</v>
      </c>
      <c r="D405" s="34" t="s">
        <v>1703</v>
      </c>
      <c r="E405" t="s">
        <v>1720</v>
      </c>
      <c r="F405" s="12"/>
      <c r="G405" s="12"/>
      <c r="H405" s="12"/>
      <c r="I405" s="12"/>
      <c r="J405" s="12"/>
    </row>
    <row r="406">
      <c r="A406">
        <f>IFERROR(__xludf.DUMMYFUNCTION("""COMPUTED_VALUE"""),556.0)</f>
        <v>556</v>
      </c>
      <c r="B406" s="12" t="str">
        <f>IFERROR(__xludf.DUMMYFUNCTION("""COMPUTED_VALUE"""),"I would consider what information is being taken from me as well as the benefits of using a third-party app.")</f>
        <v>I would consider what information is being taken from me as well as the benefits of using a third-party app.</v>
      </c>
      <c r="C406" s="34" t="s">
        <v>1714</v>
      </c>
      <c r="D406" s="3" t="s">
        <v>1696</v>
      </c>
      <c r="E406" t="s">
        <v>1738</v>
      </c>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t="str">
        <f>IFERROR(__xludf.DUMMYFUNCTION("""COMPUTED_VALUE"""),"Yes")</f>
        <v>Yes</v>
      </c>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t="str">
        <f>IFERROR(__xludf.DUMMYFUNCTION("""COMPUTED_VALUE"""),"What permissions they ask for and what info they retain")</f>
        <v>What permissions they ask for and what info they retain</v>
      </c>
      <c r="C416" s="34" t="s">
        <v>1703</v>
      </c>
      <c r="D416" s="3" t="s">
        <v>1696</v>
      </c>
      <c r="E416" t="s">
        <v>1738</v>
      </c>
      <c r="F416" s="12"/>
      <c r="G416" s="12"/>
      <c r="H416" s="12"/>
      <c r="I416" s="12"/>
      <c r="J416" s="12"/>
    </row>
    <row r="417">
      <c r="A417">
        <f>IFERROR(__xludf.DUMMYFUNCTION("""COMPUTED_VALUE"""),575.0)</f>
        <v>575</v>
      </c>
      <c r="B417" s="12" t="str">
        <f>IFERROR(__xludf.DUMMYFUNCTION("""COMPUTED_VALUE"""),"I would consider what I am willing to share and how much I want this app to know about myself. I would think about the security aspect of the company as well.")</f>
        <v>I would consider what I am willing to share and how much I want this app to know about myself. I would think about the security aspect of the company as well.</v>
      </c>
      <c r="C417" s="3" t="s">
        <v>65</v>
      </c>
      <c r="D417" s="3" t="s">
        <v>1696</v>
      </c>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t="str">
        <f>IFERROR(__xludf.DUMMYFUNCTION("""COMPUTED_VALUE"""),"if it is safe")</f>
        <v>if it is safe</v>
      </c>
      <c r="C420" s="34" t="s">
        <v>1707</v>
      </c>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t="str">
        <f>IFERROR(__xludf.DUMMYFUNCTION("""COMPUTED_VALUE"""),"What they will use my information for")</f>
        <v>What they will use my information for</v>
      </c>
      <c r="C422" s="3" t="s">
        <v>1696</v>
      </c>
      <c r="D422" t="s">
        <v>1742</v>
      </c>
      <c r="E422" s="12"/>
      <c r="F422" s="12"/>
      <c r="G422" s="12"/>
      <c r="H422" s="12"/>
      <c r="I422" s="12"/>
      <c r="J422" s="12"/>
    </row>
    <row r="423">
      <c r="A423">
        <f>IFERROR(__xludf.DUMMYFUNCTION("""COMPUTED_VALUE"""),585.0)</f>
        <v>585</v>
      </c>
      <c r="B423" s="12" t="str">
        <f>IFERROR(__xludf.DUMMYFUNCTION("""COMPUTED_VALUE"""),"what permissions it asks for, online reviews, security")</f>
        <v>what permissions it asks for, online reviews, security</v>
      </c>
      <c r="C423" s="34" t="s">
        <v>1703</v>
      </c>
      <c r="D423" s="3" t="s">
        <v>1763</v>
      </c>
      <c r="E423" s="3" t="s">
        <v>65</v>
      </c>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t="str">
        <f>IFERROR(__xludf.DUMMYFUNCTION("""COMPUTED_VALUE"""),"Permissions")</f>
        <v>Permissions</v>
      </c>
      <c r="C425" s="34" t="s">
        <v>1703</v>
      </c>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t="str">
        <f>IFERROR(__xludf.DUMMYFUNCTION("""COMPUTED_VALUE"""),"Data /personal information exploitation.")</f>
        <v>Data /personal information exploitation.</v>
      </c>
      <c r="C427" s="3" t="s">
        <v>1696</v>
      </c>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t="str">
        <f>IFERROR(__xludf.DUMMYFUNCTION("""COMPUTED_VALUE"""),"The privacy settings")</f>
        <v>The privacy settings</v>
      </c>
      <c r="C430" s="3" t="s">
        <v>384</v>
      </c>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IFERROR(__xludf.DUMMYFUNCTION("QUERY({'S13 (primary)'!C2:C1000;'S13 (primary)'!D2:D1000;'S13 (primary)'!E2:E1000;'S13 (primary)'!F2:F1000;'S13 (primary)'!G2:G1000;'S13 (primary)'!H2:H1000;'S13 (primary)'!I2:I1000;'S13 (primary)'!J2:J1000;'S13 (primary)'!K2:K1000}, ""select Col1, count("&amp;"Col1) where Col1 is not null group by Col1 order by Col1 asc"")"),"")</f>
        <v/>
      </c>
      <c r="B2" s="34" t="str">
        <f>IFERROR(__xludf.DUMMYFUNCTION("""COMPUTED_VALUE"""),"count ")</f>
        <v>count </v>
      </c>
      <c r="C2" s="34"/>
      <c r="D2" s="34"/>
      <c r="E2" s="34" t="str">
        <f>IFERROR(__xludf.DUMMYFUNCTION("QUERY({'S13 (primary)'!C2:C1000;'S13 (primary)'!D2:D1000;'S13 (primary)'!E2:E1000;'S13 (primary)'!F2:F1000;'S13 (primary)'!G2:G1000;'S13 (primary)'!H2:H1000;'S13 (primary)'!I2:I1000;'S13 (primary)'!J2:J1000;'S13 (primary)'!K2:K1000}, ""select Col1, count("&amp;"Col1) where Col1 is not null and not Col1 contains '-&gt;' group by Col1 order by count(Col1) desc"")"),"")</f>
        <v/>
      </c>
      <c r="F2" s="34" t="str">
        <f>IFERROR(__xludf.DUMMYFUNCTION("""COMPUTED_VALUE"""),"count ")</f>
        <v>count </v>
      </c>
    </row>
    <row r="3">
      <c r="A3" t="str">
        <f>IFERROR(__xludf.DUMMYFUNCTION("""COMPUTED_VALUE"""),"access_to_mobile_device")</f>
        <v>access_to_mobile_device</v>
      </c>
      <c r="B3">
        <f>IFERROR(__xludf.DUMMYFUNCTION("""COMPUTED_VALUE"""),1.0)</f>
        <v>1</v>
      </c>
      <c r="E3" t="str">
        <f>IFERROR(__xludf.DUMMYFUNCTION("""COMPUTED_VALUE"""),"personal_information")</f>
        <v>personal_information</v>
      </c>
      <c r="F3">
        <f>IFERROR(__xludf.DUMMYFUNCTION("""COMPUTED_VALUE"""),67.0)</f>
        <v>67</v>
      </c>
      <c r="G3" s="44"/>
    </row>
    <row r="4">
      <c r="A4" t="str">
        <f>IFERROR(__xludf.DUMMYFUNCTION("""COMPUTED_VALUE"""),"convenience")</f>
        <v>convenience</v>
      </c>
      <c r="B4">
        <f>IFERROR(__xludf.DUMMYFUNCTION("""COMPUTED_VALUE"""),1.0)</f>
        <v>1</v>
      </c>
      <c r="E4" t="str">
        <f>IFERROR(__xludf.DUMMYFUNCTION("""COMPUTED_VALUE"""),"permissions")</f>
        <v>permissions</v>
      </c>
      <c r="F4">
        <f>IFERROR(__xludf.DUMMYFUNCTION("""COMPUTED_VALUE"""),43.0)</f>
        <v>43</v>
      </c>
      <c r="G4" s="44"/>
    </row>
    <row r="5">
      <c r="A5" t="str">
        <f>IFERROR(__xludf.DUMMYFUNCTION("""COMPUTED_VALUE"""),"cost")</f>
        <v>cost</v>
      </c>
      <c r="B5">
        <f>IFERROR(__xludf.DUMMYFUNCTION("""COMPUTED_VALUE"""),1.0)</f>
        <v>1</v>
      </c>
      <c r="E5" t="str">
        <f>IFERROR(__xludf.DUMMYFUNCTION("""COMPUTED_VALUE"""),"is_trusted")</f>
        <v>is_trusted</v>
      </c>
      <c r="F5">
        <f>IFERROR(__xludf.DUMMYFUNCTION("""COMPUTED_VALUE"""),32.0)</f>
        <v>32</v>
      </c>
      <c r="G5" s="44"/>
    </row>
    <row r="6">
      <c r="A6" t="str">
        <f>IFERROR(__xludf.DUMMYFUNCTION("""COMPUTED_VALUE"""),"ease_of_use")</f>
        <v>ease_of_use</v>
      </c>
      <c r="B6">
        <f>IFERROR(__xludf.DUMMYFUNCTION("""COMPUTED_VALUE"""),5.0)</f>
        <v>5</v>
      </c>
      <c r="E6" t="str">
        <f>IFERROR(__xludf.DUMMYFUNCTION("""COMPUTED_VALUE"""),"privacy")</f>
        <v>privacy</v>
      </c>
      <c r="F6">
        <f>IFERROR(__xludf.DUMMYFUNCTION("""COMPUTED_VALUE"""),28.0)</f>
        <v>28</v>
      </c>
      <c r="G6" s="44"/>
    </row>
    <row r="7">
      <c r="A7" t="str">
        <f>IFERROR(__xludf.DUMMYFUNCTION("""COMPUTED_VALUE"""),"ease_of_use-&gt;access_removal")</f>
        <v>ease_of_use-&gt;access_removal</v>
      </c>
      <c r="B7">
        <f>IFERROR(__xludf.DUMMYFUNCTION("""COMPUTED_VALUE"""),3.0)</f>
        <v>3</v>
      </c>
      <c r="E7" t="str">
        <f>IFERROR(__xludf.DUMMYFUNCTION("""COMPUTED_VALUE"""),"security")</f>
        <v>security</v>
      </c>
      <c r="F7">
        <f>IFERROR(__xludf.DUMMYFUNCTION("""COMPUTED_VALUE"""),23.0)</f>
        <v>23</v>
      </c>
      <c r="G7" s="44"/>
    </row>
    <row r="8">
      <c r="A8" t="str">
        <f>IFERROR(__xludf.DUMMYFUNCTION("""COMPUTED_VALUE"""),"ease_of_use-&gt;account_creation")</f>
        <v>ease_of_use-&gt;account_creation</v>
      </c>
      <c r="B8">
        <f>IFERROR(__xludf.DUMMYFUNCTION("""COMPUTED_VALUE"""),1.0)</f>
        <v>1</v>
      </c>
      <c r="E8" t="str">
        <f>IFERROR(__xludf.DUMMYFUNCTION("""COMPUTED_VALUE"""),"is_app_useful")</f>
        <v>is_app_useful</v>
      </c>
      <c r="F8">
        <f>IFERROR(__xludf.DUMMYFUNCTION("""COMPUTED_VALUE"""),17.0)</f>
        <v>17</v>
      </c>
      <c r="G8" s="44"/>
    </row>
    <row r="9">
      <c r="A9" t="str">
        <f>IFERROR(__xludf.DUMMYFUNCTION("""COMPUTED_VALUE"""),"ease_of_use-&gt;sign_in_process")</f>
        <v>ease_of_use-&gt;sign_in_process</v>
      </c>
      <c r="B9">
        <f>IFERROR(__xludf.DUMMYFUNCTION("""COMPUTED_VALUE"""),1.0)</f>
        <v>1</v>
      </c>
      <c r="E9" t="str">
        <f>IFERROR(__xludf.DUMMYFUNCTION("""COMPUTED_VALUE"""),"safety_of_app")</f>
        <v>safety_of_app</v>
      </c>
      <c r="F9">
        <f>IFERROR(__xludf.DUMMYFUNCTION("""COMPUTED_VALUE"""),13.0)</f>
        <v>13</v>
      </c>
      <c r="G9" s="44"/>
    </row>
    <row r="10">
      <c r="A10" t="str">
        <f>IFERROR(__xludf.DUMMYFUNCTION("""COMPUTED_VALUE"""),"is_app_useful")</f>
        <v>is_app_useful</v>
      </c>
      <c r="B10">
        <f>IFERROR(__xludf.DUMMYFUNCTION("""COMPUTED_VALUE"""),17.0)</f>
        <v>17</v>
      </c>
      <c r="E10" t="str">
        <f>IFERROR(__xludf.DUMMYFUNCTION("""COMPUTED_VALUE"""),"nothing")</f>
        <v>nothing</v>
      </c>
      <c r="F10">
        <f>IFERROR(__xludf.DUMMYFUNCTION("""COMPUTED_VALUE"""),10.0)</f>
        <v>10</v>
      </c>
    </row>
    <row r="11">
      <c r="A11" t="str">
        <f>IFERROR(__xludf.DUMMYFUNCTION("""COMPUTED_VALUE"""),"is_trusted")</f>
        <v>is_trusted</v>
      </c>
      <c r="B11">
        <f>IFERROR(__xludf.DUMMYFUNCTION("""COMPUTED_VALUE"""),32.0)</f>
        <v>32</v>
      </c>
      <c r="E11" t="str">
        <f>IFERROR(__xludf.DUMMYFUNCTION("""COMPUTED_VALUE"""),"ease_of_use")</f>
        <v>ease_of_use</v>
      </c>
      <c r="F11">
        <f>IFERROR(__xludf.DUMMYFUNCTION("""COMPUTED_VALUE"""),5.0)</f>
        <v>5</v>
      </c>
    </row>
    <row r="12">
      <c r="A12" t="str">
        <f>IFERROR(__xludf.DUMMYFUNCTION("""COMPUTED_VALUE"""),"is_trusted-&gt;app")</f>
        <v>is_trusted-&gt;app</v>
      </c>
      <c r="B12">
        <f>IFERROR(__xludf.DUMMYFUNCTION("""COMPUTED_VALUE"""),17.0)</f>
        <v>17</v>
      </c>
      <c r="E12" t="str">
        <f>IFERROR(__xludf.DUMMYFUNCTION("""COMPUTED_VALUE"""),"tradeoff")</f>
        <v>tradeoff</v>
      </c>
      <c r="F12">
        <f>IFERROR(__xludf.DUMMYFUNCTION("""COMPUTED_VALUE"""),5.0)</f>
        <v>5</v>
      </c>
    </row>
    <row r="13">
      <c r="A13" t="str">
        <f>IFERROR(__xludf.DUMMYFUNCTION("""COMPUTED_VALUE"""),"is_trusted-&gt;company")</f>
        <v>is_trusted-&gt;company</v>
      </c>
      <c r="B13">
        <f>IFERROR(__xludf.DUMMYFUNCTION("""COMPUTED_VALUE"""),2.0)</f>
        <v>2</v>
      </c>
      <c r="E13" t="str">
        <f>IFERROR(__xludf.DUMMYFUNCTION("""COMPUTED_VALUE"""),"unknowns")</f>
        <v>unknowns</v>
      </c>
      <c r="F13">
        <f>IFERROR(__xludf.DUMMYFUNCTION("""COMPUTED_VALUE"""),5.0)</f>
        <v>5</v>
      </c>
    </row>
    <row r="14">
      <c r="A14" t="str">
        <f>IFERROR(__xludf.DUMMYFUNCTION("""COMPUTED_VALUE"""),"is_trusted-&gt;developer")</f>
        <v>is_trusted-&gt;developer</v>
      </c>
      <c r="B14">
        <f>IFERROR(__xludf.DUMMYFUNCTION("""COMPUTED_VALUE"""),2.0)</f>
        <v>2</v>
      </c>
      <c r="E14" t="str">
        <f>IFERROR(__xludf.DUMMYFUNCTION("""COMPUTED_VALUE"""),"unwanted_emails")</f>
        <v>unwanted_emails</v>
      </c>
      <c r="F14">
        <f>IFERROR(__xludf.DUMMYFUNCTION("""COMPUTED_VALUE"""),5.0)</f>
        <v>5</v>
      </c>
    </row>
    <row r="15">
      <c r="A15" t="str">
        <f>IFERROR(__xludf.DUMMYFUNCTION("""COMPUTED_VALUE"""),"is_trusted-&gt;website")</f>
        <v>is_trusted-&gt;website</v>
      </c>
      <c r="B15">
        <f>IFERROR(__xludf.DUMMYFUNCTION("""COMPUTED_VALUE"""),5.0)</f>
        <v>5</v>
      </c>
      <c r="E15" t="str">
        <f>IFERROR(__xludf.DUMMYFUNCTION("""COMPUTED_VALUE"""),"transfer_of_trust")</f>
        <v>transfer_of_trust</v>
      </c>
      <c r="F15">
        <f>IFERROR(__xludf.DUMMYFUNCTION("""COMPUTED_VALUE"""),4.0)</f>
        <v>4</v>
      </c>
    </row>
    <row r="16">
      <c r="A16" t="str">
        <f>IFERROR(__xludf.DUMMYFUNCTION("""COMPUTED_VALUE"""),"location_tracking")</f>
        <v>location_tracking</v>
      </c>
      <c r="B16">
        <f>IFERROR(__xludf.DUMMYFUNCTION("""COMPUTED_VALUE"""),1.0)</f>
        <v>1</v>
      </c>
      <c r="E16" t="str">
        <f>IFERROR(__xludf.DUMMYFUNCTION("""COMPUTED_VALUE"""),"unsure")</f>
        <v>unsure</v>
      </c>
      <c r="F16">
        <f>IFERROR(__xludf.DUMMYFUNCTION("""COMPUTED_VALUE"""),3.0)</f>
        <v>3</v>
      </c>
    </row>
    <row r="17">
      <c r="A17" t="str">
        <f>IFERROR(__xludf.DUMMYFUNCTION("""COMPUTED_VALUE"""),"nothing")</f>
        <v>nothing</v>
      </c>
      <c r="B17">
        <f>IFERROR(__xludf.DUMMYFUNCTION("""COMPUTED_VALUE"""),10.0)</f>
        <v>10</v>
      </c>
      <c r="E17" t="str">
        <f>IFERROR(__xludf.DUMMYFUNCTION("""COMPUTED_VALUE"""),"other_options")</f>
        <v>other_options</v>
      </c>
      <c r="F17">
        <f>IFERROR(__xludf.DUMMYFUNCTION("""COMPUTED_VALUE"""),2.0)</f>
        <v>2</v>
      </c>
    </row>
    <row r="18">
      <c r="A18" t="str">
        <f>IFERROR(__xludf.DUMMYFUNCTION("""COMPUTED_VALUE"""),"online_reviews")</f>
        <v>online_reviews</v>
      </c>
      <c r="B18">
        <f>IFERROR(__xludf.DUMMYFUNCTION("""COMPUTED_VALUE"""),1.0)</f>
        <v>1</v>
      </c>
      <c r="E18" t="str">
        <f>IFERROR(__xludf.DUMMYFUNCTION("""COMPUTED_VALUE"""),"access_to_mobile_device")</f>
        <v>access_to_mobile_device</v>
      </c>
      <c r="F18">
        <f>IFERROR(__xludf.DUMMYFUNCTION("""COMPUTED_VALUE"""),1.0)</f>
        <v>1</v>
      </c>
    </row>
    <row r="19">
      <c r="A19" t="str">
        <f>IFERROR(__xludf.DUMMYFUNCTION("""COMPUTED_VALUE"""),"other_options")</f>
        <v>other_options</v>
      </c>
      <c r="B19">
        <f>IFERROR(__xludf.DUMMYFUNCTION("""COMPUTED_VALUE"""),2.0)</f>
        <v>2</v>
      </c>
      <c r="E19" t="str">
        <f>IFERROR(__xludf.DUMMYFUNCTION("""COMPUTED_VALUE"""),"convenience")</f>
        <v>convenience</v>
      </c>
      <c r="F19">
        <f>IFERROR(__xludf.DUMMYFUNCTION("""COMPUTED_VALUE"""),1.0)</f>
        <v>1</v>
      </c>
    </row>
    <row r="20">
      <c r="A20" t="str">
        <f>IFERROR(__xludf.DUMMYFUNCTION("""COMPUTED_VALUE"""),"other_options-&gt;use_without_sign_in")</f>
        <v>other_options-&gt;use_without_sign_in</v>
      </c>
      <c r="B20">
        <f>IFERROR(__xludf.DUMMYFUNCTION("""COMPUTED_VALUE"""),1.0)</f>
        <v>1</v>
      </c>
      <c r="E20" t="str">
        <f>IFERROR(__xludf.DUMMYFUNCTION("""COMPUTED_VALUE"""),"cost")</f>
        <v>cost</v>
      </c>
      <c r="F20">
        <f>IFERROR(__xludf.DUMMYFUNCTION("""COMPUTED_VALUE"""),1.0)</f>
        <v>1</v>
      </c>
    </row>
    <row r="21">
      <c r="A21" t="str">
        <f>IFERROR(__xludf.DUMMYFUNCTION("""COMPUTED_VALUE"""),"permissions")</f>
        <v>permissions</v>
      </c>
      <c r="B21">
        <f>IFERROR(__xludf.DUMMYFUNCTION("""COMPUTED_VALUE"""),43.0)</f>
        <v>43</v>
      </c>
      <c r="E21" t="str">
        <f>IFERROR(__xludf.DUMMYFUNCTION("""COMPUTED_VALUE"""),"location_tracking")</f>
        <v>location_tracking</v>
      </c>
      <c r="F21">
        <f>IFERROR(__xludf.DUMMYFUNCTION("""COMPUTED_VALUE"""),1.0)</f>
        <v>1</v>
      </c>
    </row>
    <row r="22">
      <c r="A22" t="str">
        <f>IFERROR(__xludf.DUMMYFUNCTION("""COMPUTED_VALUE"""),"permissions-&gt;access")</f>
        <v>permissions-&gt;access</v>
      </c>
      <c r="B22">
        <f>IFERROR(__xludf.DUMMYFUNCTION("""COMPUTED_VALUE"""),12.0)</f>
        <v>12</v>
      </c>
      <c r="E22" t="str">
        <f>IFERROR(__xludf.DUMMYFUNCTION("""COMPUTED_VALUE"""),"online_reviews")</f>
        <v>online_reviews</v>
      </c>
      <c r="F22">
        <f>IFERROR(__xludf.DUMMYFUNCTION("""COMPUTED_VALUE"""),1.0)</f>
        <v>1</v>
      </c>
    </row>
    <row r="23">
      <c r="A23" t="str">
        <f>IFERROR(__xludf.DUMMYFUNCTION("""COMPUTED_VALUE"""),"permissions-&gt;browsing_history")</f>
        <v>permissions-&gt;browsing_history</v>
      </c>
      <c r="B23">
        <f>IFERROR(__xludf.DUMMYFUNCTION("""COMPUTED_VALUE"""),1.0)</f>
        <v>1</v>
      </c>
      <c r="E23" t="str">
        <f>IFERROR(__xludf.DUMMYFUNCTION("""COMPUTED_VALUE"""),"unconcerned")</f>
        <v>unconcerned</v>
      </c>
      <c r="F23">
        <f>IFERROR(__xludf.DUMMYFUNCTION("""COMPUTED_VALUE"""),1.0)</f>
        <v>1</v>
      </c>
    </row>
    <row r="24">
      <c r="A24" t="str">
        <f>IFERROR(__xludf.DUMMYFUNCTION("""COMPUTED_VALUE"""),"permissions-&gt;calendar")</f>
        <v>permissions-&gt;calendar</v>
      </c>
      <c r="B24">
        <f>IFERROR(__xludf.DUMMYFUNCTION("""COMPUTED_VALUE"""),2.0)</f>
        <v>2</v>
      </c>
    </row>
    <row r="25">
      <c r="A25" t="str">
        <f>IFERROR(__xludf.DUMMYFUNCTION("""COMPUTED_VALUE"""),"permissions-&gt;contacts")</f>
        <v>permissions-&gt;contacts</v>
      </c>
      <c r="B25">
        <f>IFERROR(__xludf.DUMMYFUNCTION("""COMPUTED_VALUE"""),3.0)</f>
        <v>3</v>
      </c>
    </row>
    <row r="26">
      <c r="A26" t="str">
        <f>IFERROR(__xludf.DUMMYFUNCTION("""COMPUTED_VALUE"""),"permissions-&gt;email_access")</f>
        <v>permissions-&gt;email_access</v>
      </c>
      <c r="B26">
        <f>IFERROR(__xludf.DUMMYFUNCTION("""COMPUTED_VALUE"""),5.0)</f>
        <v>5</v>
      </c>
    </row>
    <row r="27">
      <c r="A27" t="str">
        <f>IFERROR(__xludf.DUMMYFUNCTION("""COMPUTED_VALUE"""),"permissions-&gt;google_drive")</f>
        <v>permissions-&gt;google_drive</v>
      </c>
      <c r="B27">
        <f>IFERROR(__xludf.DUMMYFUNCTION("""COMPUTED_VALUE"""),1.0)</f>
        <v>1</v>
      </c>
    </row>
    <row r="28">
      <c r="A28" t="str">
        <f>IFERROR(__xludf.DUMMYFUNCTION("""COMPUTED_VALUE"""),"permissions-&gt;local_files")</f>
        <v>permissions-&gt;local_files</v>
      </c>
      <c r="B28">
        <f>IFERROR(__xludf.DUMMYFUNCTION("""COMPUTED_VALUE"""),1.0)</f>
        <v>1</v>
      </c>
    </row>
    <row r="29">
      <c r="A29" t="str">
        <f>IFERROR(__xludf.DUMMYFUNCTION("""COMPUTED_VALUE"""),"permissions-&gt;location")</f>
        <v>permissions-&gt;location</v>
      </c>
      <c r="B29">
        <f>IFERROR(__xludf.DUMMYFUNCTION("""COMPUTED_VALUE"""),2.0)</f>
        <v>2</v>
      </c>
    </row>
    <row r="30">
      <c r="A30" t="str">
        <f>IFERROR(__xludf.DUMMYFUNCTION("""COMPUTED_VALUE"""),"permissions-&gt;media")</f>
        <v>permissions-&gt;media</v>
      </c>
      <c r="B30">
        <f>IFERROR(__xludf.DUMMYFUNCTION("""COMPUTED_VALUE"""),1.0)</f>
        <v>1</v>
      </c>
    </row>
    <row r="31">
      <c r="A31" t="str">
        <f>IFERROR(__xludf.DUMMYFUNCTION("""COMPUTED_VALUE"""),"permissions-&gt;necessary")</f>
        <v>permissions-&gt;necessary</v>
      </c>
      <c r="B31">
        <f>IFERROR(__xludf.DUMMYFUNCTION("""COMPUTED_VALUE"""),12.0)</f>
        <v>12</v>
      </c>
    </row>
    <row r="32">
      <c r="A32" t="str">
        <f>IFERROR(__xludf.DUMMYFUNCTION("""COMPUTED_VALUE"""),"permissions-&gt;webcam")</f>
        <v>permissions-&gt;webcam</v>
      </c>
      <c r="B32">
        <f>IFERROR(__xludf.DUMMYFUNCTION("""COMPUTED_VALUE"""),1.0)</f>
        <v>1</v>
      </c>
    </row>
    <row r="33">
      <c r="A33" t="str">
        <f>IFERROR(__xludf.DUMMYFUNCTION("""COMPUTED_VALUE"""),"permissions-&gt;what_information_accessible")</f>
        <v>permissions-&gt;what_information_accessible</v>
      </c>
      <c r="B33">
        <f>IFERROR(__xludf.DUMMYFUNCTION("""COMPUTED_VALUE"""),5.0)</f>
        <v>5</v>
      </c>
    </row>
    <row r="34">
      <c r="A34" t="str">
        <f>IFERROR(__xludf.DUMMYFUNCTION("""COMPUTED_VALUE"""),"personal_information")</f>
        <v>personal_information</v>
      </c>
      <c r="B34">
        <f>IFERROR(__xludf.DUMMYFUNCTION("""COMPUTED_VALUE"""),67.0)</f>
        <v>67</v>
      </c>
    </row>
    <row r="35">
      <c r="A35" t="str">
        <f>IFERROR(__xludf.DUMMYFUNCTION("""COMPUTED_VALUE"""),"personal_information-&gt;account_password")</f>
        <v>personal_information-&gt;account_password</v>
      </c>
      <c r="B35">
        <f>IFERROR(__xludf.DUMMYFUNCTION("""COMPUTED_VALUE"""),1.0)</f>
        <v>1</v>
      </c>
    </row>
    <row r="36">
      <c r="A36" t="str">
        <f>IFERROR(__xludf.DUMMYFUNCTION("""COMPUTED_VALUE"""),"personal_information-&gt;accounts")</f>
        <v>personal_information-&gt;accounts</v>
      </c>
      <c r="B36">
        <f>IFERROR(__xludf.DUMMYFUNCTION("""COMPUTED_VALUE"""),1.0)</f>
        <v>1</v>
      </c>
    </row>
    <row r="37">
      <c r="A37" t="str">
        <f>IFERROR(__xludf.DUMMYFUNCTION("""COMPUTED_VALUE"""),"personal_information-&gt;amount_collected")</f>
        <v>personal_information-&gt;amount_collected</v>
      </c>
      <c r="B37">
        <f>IFERROR(__xludf.DUMMYFUNCTION("""COMPUTED_VALUE"""),7.0)</f>
        <v>7</v>
      </c>
    </row>
    <row r="38">
      <c r="A38" t="str">
        <f>IFERROR(__xludf.DUMMYFUNCTION("""COMPUTED_VALUE"""),"personal_information-&gt;calendar")</f>
        <v>personal_information-&gt;calendar</v>
      </c>
      <c r="B38">
        <f>IFERROR(__xludf.DUMMYFUNCTION("""COMPUTED_VALUE"""),1.0)</f>
        <v>1</v>
      </c>
    </row>
    <row r="39">
      <c r="A39" t="str">
        <f>IFERROR(__xludf.DUMMYFUNCTION("""COMPUTED_VALUE"""),"personal_information-&gt;email")</f>
        <v>personal_information-&gt;email</v>
      </c>
      <c r="B39">
        <f>IFERROR(__xludf.DUMMYFUNCTION("""COMPUTED_VALUE"""),1.0)</f>
        <v>1</v>
      </c>
    </row>
    <row r="40">
      <c r="A40" t="str">
        <f>IFERROR(__xludf.DUMMYFUNCTION("""COMPUTED_VALUE"""),"personal_information-&gt;how_used")</f>
        <v>personal_information-&gt;how_used</v>
      </c>
      <c r="B40">
        <f>IFERROR(__xludf.DUMMYFUNCTION("""COMPUTED_VALUE"""),15.0)</f>
        <v>15</v>
      </c>
    </row>
    <row r="41">
      <c r="A41" t="str">
        <f>IFERROR(__xludf.DUMMYFUNCTION("""COMPUTED_VALUE"""),"personal_information-&gt;is_shared")</f>
        <v>personal_information-&gt;is_shared</v>
      </c>
      <c r="B41">
        <f>IFERROR(__xludf.DUMMYFUNCTION("""COMPUTED_VALUE"""),5.0)</f>
        <v>5</v>
      </c>
    </row>
    <row r="42">
      <c r="A42" t="str">
        <f>IFERROR(__xludf.DUMMYFUNCTION("""COMPUTED_VALUE"""),"personal_information-&gt;kept_confidential")</f>
        <v>personal_information-&gt;kept_confidential</v>
      </c>
      <c r="B42">
        <f>IFERROR(__xludf.DUMMYFUNCTION("""COMPUTED_VALUE"""),1.0)</f>
        <v>1</v>
      </c>
    </row>
    <row r="43">
      <c r="A43" t="str">
        <f>IFERROR(__xludf.DUMMYFUNCTION("""COMPUTED_VALUE"""),"personal_information-&gt;photos")</f>
        <v>personal_information-&gt;photos</v>
      </c>
      <c r="B43">
        <f>IFERROR(__xludf.DUMMYFUNCTION("""COMPUTED_VALUE"""),1.0)</f>
        <v>1</v>
      </c>
    </row>
    <row r="44">
      <c r="A44" t="str">
        <f>IFERROR(__xludf.DUMMYFUNCTION("""COMPUTED_VALUE"""),"personal_information-&gt;schedule")</f>
        <v>personal_information-&gt;schedule</v>
      </c>
      <c r="B44">
        <f>IFERROR(__xludf.DUMMYFUNCTION("""COMPUTED_VALUE"""),1.0)</f>
        <v>1</v>
      </c>
    </row>
    <row r="45">
      <c r="A45" t="str">
        <f>IFERROR(__xludf.DUMMYFUNCTION("""COMPUTED_VALUE"""),"personal_information-&gt;sensitive")</f>
        <v>personal_information-&gt;sensitive</v>
      </c>
      <c r="B45">
        <f>IFERROR(__xludf.DUMMYFUNCTION("""COMPUTED_VALUE"""),4.0)</f>
        <v>4</v>
      </c>
    </row>
    <row r="46">
      <c r="A46" t="str">
        <f>IFERROR(__xludf.DUMMYFUNCTION("""COMPUTED_VALUE"""),"personal_information-&gt;what_type_accessible_collected")</f>
        <v>personal_information-&gt;what_type_accessible_collected</v>
      </c>
      <c r="B46">
        <f>IFERROR(__xludf.DUMMYFUNCTION("""COMPUTED_VALUE"""),21.0)</f>
        <v>21</v>
      </c>
    </row>
    <row r="47">
      <c r="A47" t="str">
        <f>IFERROR(__xludf.DUMMYFUNCTION("""COMPUTED_VALUE"""),"privacy")</f>
        <v>privacy</v>
      </c>
      <c r="B47">
        <f>IFERROR(__xludf.DUMMYFUNCTION("""COMPUTED_VALUE"""),28.0)</f>
        <v>28</v>
      </c>
    </row>
    <row r="48">
      <c r="A48" t="str">
        <f>IFERROR(__xludf.DUMMYFUNCTION("""COMPUTED_VALUE"""),"privacy-&gt;data_protection")</f>
        <v>privacy-&gt;data_protection</v>
      </c>
      <c r="B48">
        <f>IFERROR(__xludf.DUMMYFUNCTION("""COMPUTED_VALUE"""),2.0)</f>
        <v>2</v>
      </c>
    </row>
    <row r="49">
      <c r="A49" t="str">
        <f>IFERROR(__xludf.DUMMYFUNCTION("""COMPUTED_VALUE"""),"privacy-&gt;privacy_policy")</f>
        <v>privacy-&gt;privacy_policy</v>
      </c>
      <c r="B49">
        <f>IFERROR(__xludf.DUMMYFUNCTION("""COMPUTED_VALUE"""),1.0)</f>
        <v>1</v>
      </c>
    </row>
    <row r="50">
      <c r="A50" t="str">
        <f>IFERROR(__xludf.DUMMYFUNCTION("""COMPUTED_VALUE"""),"safety_of_app")</f>
        <v>safety_of_app</v>
      </c>
      <c r="B50">
        <f>IFERROR(__xludf.DUMMYFUNCTION("""COMPUTED_VALUE"""),13.0)</f>
        <v>13</v>
      </c>
    </row>
    <row r="51">
      <c r="A51" t="str">
        <f>IFERROR(__xludf.DUMMYFUNCTION("""COMPUTED_VALUE"""),"security")</f>
        <v>security</v>
      </c>
      <c r="B51">
        <f>IFERROR(__xludf.DUMMYFUNCTION("""COMPUTED_VALUE"""),23.0)</f>
        <v>23</v>
      </c>
    </row>
    <row r="52">
      <c r="A52" t="str">
        <f>IFERROR(__xludf.DUMMYFUNCTION("""COMPUTED_VALUE"""),"security-&gt;information")</f>
        <v>security-&gt;information</v>
      </c>
      <c r="B52">
        <f>IFERROR(__xludf.DUMMYFUNCTION("""COMPUTED_VALUE"""),1.0)</f>
        <v>1</v>
      </c>
    </row>
    <row r="53">
      <c r="A53" t="str">
        <f>IFERROR(__xludf.DUMMYFUNCTION("""COMPUTED_VALUE"""),"security-&gt;information_leak")</f>
        <v>security-&gt;information_leak</v>
      </c>
      <c r="B53">
        <f>IFERROR(__xludf.DUMMYFUNCTION("""COMPUTED_VALUE"""),2.0)</f>
        <v>2</v>
      </c>
    </row>
    <row r="54">
      <c r="A54" t="str">
        <f>IFERROR(__xludf.DUMMYFUNCTION("""COMPUTED_VALUE"""),"security-&gt;misuse")</f>
        <v>security-&gt;misuse</v>
      </c>
      <c r="B54">
        <f>IFERROR(__xludf.DUMMYFUNCTION("""COMPUTED_VALUE"""),2.0)</f>
        <v>2</v>
      </c>
    </row>
    <row r="55">
      <c r="A55" t="str">
        <f>IFERROR(__xludf.DUMMYFUNCTION("""COMPUTED_VALUE"""),"tradeoff")</f>
        <v>tradeoff</v>
      </c>
      <c r="B55">
        <f>IFERROR(__xludf.DUMMYFUNCTION("""COMPUTED_VALUE"""),5.0)</f>
        <v>5</v>
      </c>
    </row>
    <row r="56">
      <c r="A56" t="str">
        <f>IFERROR(__xludf.DUMMYFUNCTION("""COMPUTED_VALUE"""),"tradeoff-&gt;sharing_information")</f>
        <v>tradeoff-&gt;sharing_information</v>
      </c>
      <c r="B56">
        <f>IFERROR(__xludf.DUMMYFUNCTION("""COMPUTED_VALUE"""),1.0)</f>
        <v>1</v>
      </c>
    </row>
    <row r="57">
      <c r="A57" t="str">
        <f>IFERROR(__xludf.DUMMYFUNCTION("""COMPUTED_VALUE"""),"tradeoff-&gt;useful")</f>
        <v>tradeoff-&gt;useful</v>
      </c>
      <c r="B57">
        <f>IFERROR(__xludf.DUMMYFUNCTION("""COMPUTED_VALUE"""),4.0)</f>
        <v>4</v>
      </c>
    </row>
    <row r="58">
      <c r="A58" t="str">
        <f>IFERROR(__xludf.DUMMYFUNCTION("""COMPUTED_VALUE"""),"transfer_of_trust")</f>
        <v>transfer_of_trust</v>
      </c>
      <c r="B58">
        <f>IFERROR(__xludf.DUMMYFUNCTION("""COMPUTED_VALUE"""),4.0)</f>
        <v>4</v>
      </c>
    </row>
    <row r="59">
      <c r="A59" t="str">
        <f>IFERROR(__xludf.DUMMYFUNCTION("""COMPUTED_VALUE"""),"transfer_of_trust-&gt;from_google")</f>
        <v>transfer_of_trust-&gt;from_google</v>
      </c>
      <c r="B59">
        <f>IFERROR(__xludf.DUMMYFUNCTION("""COMPUTED_VALUE"""),4.0)</f>
        <v>4</v>
      </c>
    </row>
    <row r="60">
      <c r="A60" t="str">
        <f>IFERROR(__xludf.DUMMYFUNCTION("""COMPUTED_VALUE"""),"unconcerned")</f>
        <v>unconcerned</v>
      </c>
      <c r="B60">
        <f>IFERROR(__xludf.DUMMYFUNCTION("""COMPUTED_VALUE"""),1.0)</f>
        <v>1</v>
      </c>
    </row>
    <row r="61">
      <c r="A61" t="str">
        <f>IFERROR(__xludf.DUMMYFUNCTION("""COMPUTED_VALUE"""),"unknowns")</f>
        <v>unknowns</v>
      </c>
      <c r="B61">
        <f>IFERROR(__xludf.DUMMYFUNCTION("""COMPUTED_VALUE"""),5.0)</f>
        <v>5</v>
      </c>
    </row>
    <row r="62">
      <c r="A62" t="str">
        <f>IFERROR(__xludf.DUMMYFUNCTION("""COMPUTED_VALUE"""),"unknowns-&gt;why_access_needed")</f>
        <v>unknowns-&gt;why_access_needed</v>
      </c>
      <c r="B62">
        <f>IFERROR(__xludf.DUMMYFUNCTION("""COMPUTED_VALUE"""),3.0)</f>
        <v>3</v>
      </c>
    </row>
    <row r="63">
      <c r="A63" t="str">
        <f>IFERROR(__xludf.DUMMYFUNCTION("""COMPUTED_VALUE"""),"unknowns-&gt;why_information_needed")</f>
        <v>unknowns-&gt;why_information_needed</v>
      </c>
      <c r="B63">
        <f>IFERROR(__xludf.DUMMYFUNCTION("""COMPUTED_VALUE"""),2.0)</f>
        <v>2</v>
      </c>
    </row>
    <row r="64">
      <c r="A64" t="str">
        <f>IFERROR(__xludf.DUMMYFUNCTION("""COMPUTED_VALUE"""),"unsure")</f>
        <v>unsure</v>
      </c>
      <c r="B64">
        <f>IFERROR(__xludf.DUMMYFUNCTION("""COMPUTED_VALUE"""),3.0)</f>
        <v>3</v>
      </c>
    </row>
    <row r="65">
      <c r="A65" t="str">
        <f>IFERROR(__xludf.DUMMYFUNCTION("""COMPUTED_VALUE"""),"unwanted_emails")</f>
        <v>unwanted_emails</v>
      </c>
      <c r="B65">
        <f>IFERROR(__xludf.DUMMYFUNCTION("""COMPUTED_VALUE"""),5.0)</f>
        <v>5</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A,G"")"),"Response ID")</f>
        <v>Response ID</v>
      </c>
      <c r="B1" s="17" t="str">
        <f>IFERROR(__xludf.DUMMYFUNCTION("""COMPUTED_VALUE"""),"google_recall_app_no_consider")</f>
        <v>google_recall_app_no_consider</v>
      </c>
      <c r="C1" s="17" t="s">
        <v>1399</v>
      </c>
      <c r="D1" s="17" t="s">
        <v>1400</v>
      </c>
      <c r="E1" s="17" t="s">
        <v>1401</v>
      </c>
      <c r="F1" s="17" t="s">
        <v>1402</v>
      </c>
      <c r="G1" s="17" t="s">
        <v>1403</v>
      </c>
      <c r="H1" s="17" t="s">
        <v>1404</v>
      </c>
      <c r="I1" s="17" t="s">
        <v>1405</v>
      </c>
      <c r="J1" s="17" t="s">
        <v>1406</v>
      </c>
    </row>
    <row r="2">
      <c r="A2" s="48">
        <f>IFERROR(__xludf.DUMMYFUNCTION("""COMPUTED_VALUE"""),1.0)</f>
        <v>1</v>
      </c>
      <c r="B2" s="19" t="str">
        <f>IFERROR(__xludf.DUMMYFUNCTION("""COMPUTED_VALUE"""),"Protection and privacy of my data.")</f>
        <v>Protection and privacy of my data.</v>
      </c>
      <c r="C2" t="s">
        <v>384</v>
      </c>
      <c r="D2" t="s">
        <v>1737</v>
      </c>
      <c r="E2" s="3"/>
      <c r="F2" s="3"/>
      <c r="G2" s="3"/>
      <c r="H2" s="12"/>
      <c r="I2" s="12"/>
      <c r="J2" s="12"/>
    </row>
    <row r="3">
      <c r="A3" s="48">
        <f>IFERROR(__xludf.DUMMYFUNCTION("""COMPUTED_VALUE"""),2.0)</f>
        <v>2</v>
      </c>
      <c r="B3" s="19" t="str">
        <f>IFERROR(__xludf.DUMMYFUNCTION("""COMPUTED_VALUE"""),"what information they would have access to")</f>
        <v>what information they would have access to</v>
      </c>
      <c r="C3" t="s">
        <v>1696</v>
      </c>
      <c r="D3" t="s">
        <v>1738</v>
      </c>
      <c r="E3" s="3"/>
      <c r="F3" s="3"/>
      <c r="G3" s="12"/>
      <c r="H3" s="12"/>
      <c r="I3" s="12"/>
      <c r="J3" s="12"/>
    </row>
    <row r="4">
      <c r="A4" s="48">
        <f>IFERROR(__xludf.DUMMYFUNCTION("""COMPUTED_VALUE"""),3.0)</f>
        <v>3</v>
      </c>
      <c r="B4" s="19" t="str">
        <f>IFERROR(__xludf.DUMMYFUNCTION("""COMPUTED_VALUE"""),"Protection and privacy of my data.")</f>
        <v>Protection and privacy of my data.</v>
      </c>
      <c r="C4" t="s">
        <v>384</v>
      </c>
      <c r="D4" t="s">
        <v>1737</v>
      </c>
      <c r="E4" s="3"/>
      <c r="F4" s="3"/>
      <c r="G4" s="12"/>
      <c r="H4" s="12"/>
      <c r="I4" s="12"/>
      <c r="J4" s="12"/>
    </row>
    <row r="5">
      <c r="A5" s="48">
        <f>IFERROR(__xludf.DUMMYFUNCTION("""COMPUTED_VALUE"""),4.0)</f>
        <v>4</v>
      </c>
      <c r="B5" s="19"/>
      <c r="C5" s="45"/>
      <c r="D5" s="3"/>
      <c r="E5" s="3"/>
      <c r="F5" s="3"/>
      <c r="G5" s="3"/>
      <c r="H5" s="12"/>
      <c r="I5" s="12"/>
      <c r="J5" s="12"/>
    </row>
    <row r="6">
      <c r="A6" s="48">
        <f>IFERROR(__xludf.DUMMYFUNCTION("""COMPUTED_VALUE"""),5.0)</f>
        <v>5</v>
      </c>
      <c r="B6" s="19"/>
      <c r="C6" s="45"/>
      <c r="D6" s="12"/>
      <c r="E6" s="12"/>
      <c r="F6" s="12"/>
      <c r="G6" s="12"/>
      <c r="H6" s="12"/>
      <c r="I6" s="12"/>
      <c r="J6" s="12"/>
    </row>
    <row r="7">
      <c r="A7" s="48">
        <f>IFERROR(__xludf.DUMMYFUNCTION("""COMPUTED_VALUE"""),10.0)</f>
        <v>10</v>
      </c>
      <c r="B7" s="19"/>
      <c r="C7" s="45"/>
      <c r="D7" s="45"/>
      <c r="E7" s="45"/>
      <c r="F7" s="3"/>
      <c r="G7" s="3"/>
      <c r="H7" s="3"/>
      <c r="I7" s="12"/>
      <c r="J7" s="12"/>
    </row>
    <row r="8">
      <c r="A8" s="48">
        <f>IFERROR(__xludf.DUMMYFUNCTION("""COMPUTED_VALUE"""),12.0)</f>
        <v>12</v>
      </c>
      <c r="B8" s="19" t="str">
        <f>IFERROR(__xludf.DUMMYFUNCTION("""COMPUTED_VALUE"""),"i would want to know that i could disengage this feature easily at any time and that the app was trusted by Google.")</f>
        <v>i would want to know that i could disengage this feature easily at any time and that the app was trusted by Google.</v>
      </c>
      <c r="C8" t="s">
        <v>1598</v>
      </c>
      <c r="D8" t="s">
        <v>1731</v>
      </c>
      <c r="E8" t="s">
        <v>1708</v>
      </c>
      <c r="F8" t="s">
        <v>1709</v>
      </c>
      <c r="G8" s="12"/>
      <c r="H8" s="12"/>
      <c r="I8" s="12"/>
      <c r="J8" s="12"/>
    </row>
    <row r="9">
      <c r="A9" s="48">
        <f>IFERROR(__xludf.DUMMYFUNCTION("""COMPUTED_VALUE"""),13.0)</f>
        <v>13</v>
      </c>
      <c r="B9" s="19" t="str">
        <f>IFERROR(__xludf.DUMMYFUNCTION("""COMPUTED_VALUE"""),"How much access to my info they would have")</f>
        <v>How much access to my info they would have</v>
      </c>
      <c r="C9" t="s">
        <v>1696</v>
      </c>
      <c r="D9" t="s">
        <v>1697</v>
      </c>
      <c r="E9" s="3"/>
      <c r="F9" s="3"/>
      <c r="G9" s="3"/>
      <c r="H9" s="12"/>
      <c r="I9" s="12"/>
      <c r="J9" s="12"/>
    </row>
    <row r="10">
      <c r="A10" s="48">
        <f>IFERROR(__xludf.DUMMYFUNCTION("""COMPUTED_VALUE"""),14.0)</f>
        <v>14</v>
      </c>
      <c r="B10" s="19"/>
      <c r="C10" s="45"/>
      <c r="D10" s="45"/>
      <c r="E10" s="45"/>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t="str">
        <f>IFERROR(__xludf.DUMMYFUNCTION("""COMPUTED_VALUE"""),"If the app was safe and legitimate.")</f>
        <v>If the app was safe and legitimate.</v>
      </c>
      <c r="C12" t="s">
        <v>1707</v>
      </c>
      <c r="D12" t="s">
        <v>1701</v>
      </c>
      <c r="E12" t="s">
        <v>1702</v>
      </c>
      <c r="F12" s="12"/>
      <c r="G12" s="12"/>
      <c r="H12" s="12"/>
      <c r="I12" s="12"/>
      <c r="J12" s="12"/>
    </row>
    <row r="13">
      <c r="A13" s="48">
        <f>IFERROR(__xludf.DUMMYFUNCTION("""COMPUTED_VALUE"""),21.0)</f>
        <v>21</v>
      </c>
      <c r="B13" s="19"/>
      <c r="C13" s="45"/>
      <c r="D13" s="3"/>
      <c r="E13" s="12"/>
      <c r="F13" s="12"/>
      <c r="G13" s="12"/>
      <c r="H13" s="12"/>
      <c r="I13" s="12"/>
      <c r="J13" s="12"/>
    </row>
    <row r="14">
      <c r="A14" s="48">
        <f>IFERROR(__xludf.DUMMYFUNCTION("""COMPUTED_VALUE"""),22.0)</f>
        <v>22</v>
      </c>
      <c r="B14" s="19"/>
      <c r="C14" s="45"/>
      <c r="D14" s="3"/>
      <c r="E14" s="3"/>
      <c r="F14" s="3"/>
      <c r="G14" s="12"/>
      <c r="H14" s="12"/>
      <c r="I14" s="12"/>
      <c r="J14" s="12"/>
    </row>
    <row r="15">
      <c r="A15" s="48">
        <f>IFERROR(__xludf.DUMMYFUNCTION("""COMPUTED_VALUE"""),24.0)</f>
        <v>24</v>
      </c>
      <c r="B15" s="19"/>
      <c r="C15" s="45"/>
      <c r="D15" s="3"/>
      <c r="E15" s="12"/>
      <c r="F15" s="12"/>
      <c r="G15" s="12"/>
      <c r="H15" s="12"/>
      <c r="I15" s="12"/>
      <c r="J15" s="12"/>
    </row>
    <row r="16">
      <c r="A16" s="48">
        <f>IFERROR(__xludf.DUMMYFUNCTION("""COMPUTED_VALUE"""),25.0)</f>
        <v>25</v>
      </c>
      <c r="B16" s="19"/>
      <c r="C16" s="45"/>
      <c r="D16" s="3"/>
      <c r="E16" s="3"/>
      <c r="F16" s="12"/>
      <c r="G16" s="12"/>
      <c r="H16" s="12"/>
      <c r="I16" s="12"/>
      <c r="J16" s="12"/>
    </row>
    <row r="17">
      <c r="A17" s="48">
        <f>IFERROR(__xludf.DUMMYFUNCTION("""COMPUTED_VALUE"""),26.0)</f>
        <v>26</v>
      </c>
      <c r="B17" s="19" t="str">
        <f>IFERROR(__xludf.DUMMYFUNCTION("""COMPUTED_VALUE"""),"what they are being given access to")</f>
        <v>what they are being given access to</v>
      </c>
      <c r="C17" t="s">
        <v>1696</v>
      </c>
      <c r="D17" t="s">
        <v>1738</v>
      </c>
      <c r="E17" s="26"/>
      <c r="F17" s="12"/>
      <c r="G17" s="12"/>
      <c r="H17" s="12"/>
      <c r="I17" s="12"/>
      <c r="J17" s="12"/>
    </row>
    <row r="18">
      <c r="A18" s="48">
        <f>IFERROR(__xludf.DUMMYFUNCTION("""COMPUTED_VALUE"""),28.0)</f>
        <v>28</v>
      </c>
      <c r="B18" s="19"/>
      <c r="C18" s="45"/>
      <c r="D18" s="3"/>
      <c r="E18" s="3"/>
      <c r="F18" s="12"/>
      <c r="G18" s="12"/>
      <c r="H18" s="12"/>
      <c r="I18" s="12"/>
      <c r="J18" s="12"/>
    </row>
    <row r="19">
      <c r="A19" s="48">
        <f>IFERROR(__xludf.DUMMYFUNCTION("""COMPUTED_VALUE"""),29.0)</f>
        <v>29</v>
      </c>
      <c r="B19" s="19"/>
      <c r="C19" s="45"/>
      <c r="D19" s="26"/>
      <c r="E19" s="3"/>
      <c r="F19" s="12"/>
      <c r="G19" s="12"/>
      <c r="H19" s="12"/>
      <c r="I19" s="12"/>
      <c r="J19" s="12"/>
    </row>
    <row r="20">
      <c r="A20" s="48">
        <f>IFERROR(__xludf.DUMMYFUNCTION("""COMPUTED_VALUE"""),30.0)</f>
        <v>30</v>
      </c>
      <c r="B20" s="19"/>
      <c r="C20" s="45"/>
      <c r="D20" s="3"/>
      <c r="E20" s="3"/>
      <c r="F20" s="12"/>
      <c r="G20" s="12"/>
      <c r="H20" s="12"/>
      <c r="I20" s="12"/>
      <c r="J20" s="12"/>
    </row>
    <row r="21">
      <c r="A21" s="48">
        <f>IFERROR(__xludf.DUMMYFUNCTION("""COMPUTED_VALUE"""),31.0)</f>
        <v>31</v>
      </c>
      <c r="B21" s="19" t="str">
        <f>IFERROR(__xludf.DUMMYFUNCTION("""COMPUTED_VALUE"""),"I would need to see if that app is safe, I do not want to just grant access to anyone.")</f>
        <v>I would need to see if that app is safe, I do not want to just grant access to anyone.</v>
      </c>
      <c r="C21" t="s">
        <v>1707</v>
      </c>
      <c r="D21" s="3"/>
      <c r="E21" s="12"/>
      <c r="F21" s="12"/>
      <c r="G21" s="12"/>
      <c r="H21" s="12"/>
      <c r="I21" s="12"/>
      <c r="J21" s="12"/>
    </row>
    <row r="22">
      <c r="A22" s="48">
        <f>IFERROR(__xludf.DUMMYFUNCTION("""COMPUTED_VALUE"""),32.0)</f>
        <v>32</v>
      </c>
      <c r="B22" s="19" t="str">
        <f>IFERROR(__xludf.DUMMYFUNCTION("""COMPUTED_VALUE"""),"Whether I trusted the program or company or not - or if I thought they were trying to scam me.")</f>
        <v>Whether I trusted the program or company or not - or if I thought they were trying to scam me.</v>
      </c>
      <c r="C22" t="s">
        <v>1701</v>
      </c>
      <c r="D22" t="s">
        <v>1718</v>
      </c>
      <c r="E22" s="3"/>
      <c r="F22" s="3"/>
      <c r="G22" s="12"/>
      <c r="H22" s="12"/>
      <c r="I22" s="12"/>
      <c r="J22" s="12"/>
    </row>
    <row r="23">
      <c r="A23" s="48">
        <f>IFERROR(__xludf.DUMMYFUNCTION("""COMPUTED_VALUE"""),35.0)</f>
        <v>35</v>
      </c>
      <c r="B23" s="19"/>
      <c r="C23" s="45"/>
      <c r="D23" s="3"/>
      <c r="E23" s="3"/>
      <c r="F23" s="12"/>
      <c r="G23" s="12"/>
      <c r="H23" s="12"/>
      <c r="I23" s="12"/>
      <c r="J23" s="12"/>
    </row>
    <row r="24">
      <c r="A24" s="48">
        <f>IFERROR(__xludf.DUMMYFUNCTION("""COMPUTED_VALUE"""),36.0)</f>
        <v>36</v>
      </c>
      <c r="B24" s="19"/>
      <c r="C24" s="3"/>
      <c r="D24" s="3"/>
      <c r="F24" s="12"/>
      <c r="G24" s="12"/>
      <c r="H24" s="12"/>
      <c r="I24" s="12"/>
      <c r="J24" s="12"/>
    </row>
    <row r="25">
      <c r="A25" s="48">
        <f>IFERROR(__xludf.DUMMYFUNCTION("""COMPUTED_VALUE"""),39.0)</f>
        <v>39</v>
      </c>
      <c r="B25" s="19" t="str">
        <f>IFERROR(__xludf.DUMMYFUNCTION("""COMPUTED_VALUE"""),"I would make sure that my information is confidential and won't be given out to all sorts of third parties.")</f>
        <v>I would make sure that my information is confidential and won't be given out to all sorts of third parties.</v>
      </c>
      <c r="C25" t="s">
        <v>1696</v>
      </c>
      <c r="D25" t="s">
        <v>1739</v>
      </c>
      <c r="E25" t="s">
        <v>1740</v>
      </c>
      <c r="F25" s="12"/>
      <c r="G25" s="12"/>
      <c r="H25" s="12"/>
      <c r="I25" s="12"/>
      <c r="J25" s="12"/>
    </row>
    <row r="26">
      <c r="A26" s="48">
        <f>IFERROR(__xludf.DUMMYFUNCTION("""COMPUTED_VALUE"""),40.0)</f>
        <v>40</v>
      </c>
      <c r="B26" s="19" t="str">
        <f>IFERROR(__xludf.DUMMYFUNCTION("""COMPUTED_VALUE"""),"I mean I don't have anything important in my calendar. If they wanted email access I probably wouldn't do it")</f>
        <v>I mean I don't have anything important in my calendar. If they wanted email access I probably wouldn't do it</v>
      </c>
      <c r="C26" t="s">
        <v>1696</v>
      </c>
      <c r="D26" t="s">
        <v>1730</v>
      </c>
      <c r="E26" t="s">
        <v>1751</v>
      </c>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63"/>
      <c r="D28" s="3"/>
      <c r="E28" s="3"/>
      <c r="F28" s="26"/>
      <c r="G28" s="12"/>
      <c r="H28" s="12"/>
      <c r="I28" s="12"/>
      <c r="J28" s="12"/>
    </row>
    <row r="29">
      <c r="A29">
        <f>IFERROR(__xludf.DUMMYFUNCTION("""COMPUTED_VALUE"""),47.0)</f>
        <v>47</v>
      </c>
      <c r="B29" s="12" t="str">
        <f>IFERROR(__xludf.DUMMYFUNCTION("""COMPUTED_VALUE"""),"Access to photos or microphone.")</f>
        <v>Access to photos or microphone.</v>
      </c>
      <c r="C29" t="s">
        <v>1703</v>
      </c>
      <c r="D29" t="s">
        <v>1716</v>
      </c>
      <c r="E29" s="26"/>
      <c r="F29" s="26"/>
      <c r="G29" s="12"/>
      <c r="H29" s="12"/>
      <c r="I29" s="12"/>
      <c r="J29" s="12"/>
    </row>
    <row r="30">
      <c r="A30">
        <f>IFERROR(__xludf.DUMMYFUNCTION("""COMPUTED_VALUE"""),50.0)</f>
        <v>50</v>
      </c>
      <c r="B30" s="12"/>
      <c r="C30" s="45"/>
      <c r="D30" s="45"/>
      <c r="E30" s="3"/>
      <c r="F30" s="12"/>
      <c r="G30" s="12"/>
      <c r="H30" s="12"/>
      <c r="I30" s="12"/>
      <c r="J30" s="12"/>
    </row>
    <row r="31">
      <c r="A31">
        <f>IFERROR(__xludf.DUMMYFUNCTION("""COMPUTED_VALUE"""),51.0)</f>
        <v>51</v>
      </c>
      <c r="B31" s="12" t="str">
        <f>IFERROR(__xludf.DUMMYFUNCTION("""COMPUTED_VALUE"""),"I would consider what kind of information that they were collecting from my google account, how easy it would be to remove it from my google account if I was no longer interested in using that third-party app.")</f>
        <v>I would consider what kind of information that they were collecting from my google account, how easy it would be to remove it from my google account if I was no longer interested in using that third-party app.</v>
      </c>
      <c r="C31" t="s">
        <v>1696</v>
      </c>
      <c r="D31" t="s">
        <v>1598</v>
      </c>
      <c r="E31" t="s">
        <v>1731</v>
      </c>
      <c r="F31" s="12"/>
      <c r="G31" s="12"/>
      <c r="H31" s="12"/>
      <c r="I31" s="12"/>
      <c r="J31" s="12"/>
    </row>
    <row r="32">
      <c r="A32">
        <f>IFERROR(__xludf.DUMMYFUNCTION("""COMPUTED_VALUE"""),52.0)</f>
        <v>52</v>
      </c>
      <c r="B32" s="12" t="str">
        <f>IFERROR(__xludf.DUMMYFUNCTION("""COMPUTED_VALUE"""),"If it would be easier to login to my google account than to create a new account on that app")</f>
        <v>If it would be easier to login to my google account than to create a new account on that app</v>
      </c>
      <c r="C32" t="s">
        <v>1598</v>
      </c>
      <c r="D32" t="s">
        <v>1724</v>
      </c>
      <c r="E32" s="12"/>
      <c r="F32" s="12"/>
      <c r="G32" s="12"/>
      <c r="H32" s="12"/>
      <c r="I32" s="12"/>
      <c r="J32" s="12"/>
    </row>
    <row r="33">
      <c r="A33">
        <f>IFERROR(__xludf.DUMMYFUNCTION("""COMPUTED_VALUE"""),53.0)</f>
        <v>53</v>
      </c>
      <c r="B33" s="12"/>
      <c r="C33" s="45"/>
      <c r="D33" s="3"/>
      <c r="E33" s="12"/>
      <c r="F33" s="12"/>
      <c r="G33" s="12"/>
      <c r="H33" s="12"/>
      <c r="I33" s="12"/>
      <c r="J33" s="12"/>
    </row>
    <row r="34">
      <c r="A34">
        <f>IFERROR(__xludf.DUMMYFUNCTION("""COMPUTED_VALUE"""),55.0)</f>
        <v>55</v>
      </c>
      <c r="B34" s="12" t="str">
        <f>IFERROR(__xludf.DUMMYFUNCTION("""COMPUTED_VALUE"""),"The trustworthiness of the app")</f>
        <v>The trustworthiness of the app</v>
      </c>
      <c r="C34" t="s">
        <v>1701</v>
      </c>
      <c r="D34" t="s">
        <v>1702</v>
      </c>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t="str">
        <f>IFERROR(__xludf.DUMMYFUNCTION("""COMPUTED_VALUE"""),"I'd be concerned what kind of data they would be able to see and how this data would be used")</f>
        <v>I'd be concerned what kind of data they would be able to see and how this data would be used</v>
      </c>
      <c r="C39" t="s">
        <v>1696</v>
      </c>
      <c r="D39" t="s">
        <v>1738</v>
      </c>
      <c r="E39" t="s">
        <v>1742</v>
      </c>
      <c r="F39" s="12"/>
      <c r="G39" s="12"/>
      <c r="H39" s="12"/>
      <c r="I39" s="12"/>
      <c r="J39" s="12"/>
    </row>
    <row r="40">
      <c r="A40">
        <f>IFERROR(__xludf.DUMMYFUNCTION("""COMPUTED_VALUE"""),62.0)</f>
        <v>62</v>
      </c>
      <c r="B40" s="12" t="str">
        <f>IFERROR(__xludf.DUMMYFUNCTION("""COMPUTED_VALUE"""),"Whether I wanted to share that information both with Google (presumably the application will be collecting additional information), and with the app in question.")</f>
        <v>Whether I wanted to share that information both with Google (presumably the application will be collecting additional information), and with the app in question.</v>
      </c>
      <c r="C40" t="s">
        <v>1701</v>
      </c>
      <c r="D40" t="s">
        <v>1702</v>
      </c>
      <c r="E40" s="3"/>
      <c r="F40" s="12"/>
      <c r="G40" s="12"/>
      <c r="H40" s="12"/>
      <c r="I40" s="12"/>
      <c r="J40" s="12"/>
    </row>
    <row r="41">
      <c r="A41">
        <f>IFERROR(__xludf.DUMMYFUNCTION("""COMPUTED_VALUE"""),64.0)</f>
        <v>64</v>
      </c>
      <c r="B41" s="12" t="str">
        <f>IFERROR(__xludf.DUMMYFUNCTION("""COMPUTED_VALUE"""),"If the website was legitimate")</f>
        <v>If the website was legitimate</v>
      </c>
      <c r="C41" t="s">
        <v>1701</v>
      </c>
      <c r="D41" t="s">
        <v>1713</v>
      </c>
      <c r="E41" s="12"/>
      <c r="F41" s="12"/>
      <c r="G41" s="12"/>
      <c r="H41" s="12"/>
      <c r="I41" s="12"/>
      <c r="J41" s="12"/>
    </row>
    <row r="42">
      <c r="A42">
        <f>IFERROR(__xludf.DUMMYFUNCTION("""COMPUTED_VALUE"""),66.0)</f>
        <v>66</v>
      </c>
      <c r="B42" s="12" t="str">
        <f>IFERROR(__xludf.DUMMYFUNCTION("""COMPUTED_VALUE"""),"What specific things they need access to, how reputable the app is")</f>
        <v>What specific things they need access to, how reputable the app is</v>
      </c>
      <c r="C42" t="s">
        <v>1696</v>
      </c>
      <c r="D42" t="s">
        <v>1738</v>
      </c>
      <c r="E42" t="s">
        <v>1701</v>
      </c>
      <c r="F42" t="s">
        <v>1702</v>
      </c>
      <c r="G42" s="12"/>
      <c r="H42" s="12"/>
      <c r="I42" s="12"/>
      <c r="J42" s="12"/>
    </row>
    <row r="43">
      <c r="A43">
        <f>IFERROR(__xludf.DUMMYFUNCTION("""COMPUTED_VALUE"""),67.0)</f>
        <v>67</v>
      </c>
      <c r="B43" s="12" t="str">
        <f>IFERROR(__xludf.DUMMYFUNCTION("""COMPUTED_VALUE"""),"If private information would be given to them or not.")</f>
        <v>If private information would be given to them or not.</v>
      </c>
      <c r="C43" t="s">
        <v>1696</v>
      </c>
      <c r="D43" t="s">
        <v>1735</v>
      </c>
      <c r="E43" t="s">
        <v>1740</v>
      </c>
      <c r="F43" s="3"/>
      <c r="G43" s="3"/>
      <c r="H43" s="3"/>
      <c r="I43" s="12"/>
      <c r="J43" s="12"/>
    </row>
    <row r="44">
      <c r="A44">
        <f>IFERROR(__xludf.DUMMYFUNCTION("""COMPUTED_VALUE"""),69.0)</f>
        <v>69</v>
      </c>
      <c r="B44" s="12" t="str">
        <f>IFERROR(__xludf.DUMMYFUNCTION("""COMPUTED_VALUE"""),"If I need to use that particular app at all")</f>
        <v>If I need to use that particular app at all</v>
      </c>
      <c r="C44" t="s">
        <v>1714</v>
      </c>
      <c r="D44" s="3"/>
      <c r="E44" s="12"/>
      <c r="F44" s="12"/>
      <c r="G44" s="12"/>
      <c r="H44" s="12"/>
      <c r="I44" s="12"/>
      <c r="J44" s="12"/>
    </row>
    <row r="45">
      <c r="A45">
        <f>IFERROR(__xludf.DUMMYFUNCTION("""COMPUTED_VALUE"""),70.0)</f>
        <v>70</v>
      </c>
      <c r="B45" s="12" t="str">
        <f>IFERROR(__xludf.DUMMYFUNCTION("""COMPUTED_VALUE"""),"I would consider my data privacy when considering granting access to a third party app. I wouldn't want the company to have any access to my Google data.")</f>
        <v>I would consider my data privacy when considering granting access to a third party app. I wouldn't want the company to have any access to my Google data.</v>
      </c>
      <c r="C45" t="s">
        <v>384</v>
      </c>
      <c r="D45" t="s">
        <v>1696</v>
      </c>
      <c r="E45" t="s">
        <v>1760</v>
      </c>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t="str">
        <f>IFERROR(__xludf.DUMMYFUNCTION("""COMPUTED_VALUE"""),"what they would be able to do from my account")</f>
        <v>what they would be able to do from my account</v>
      </c>
      <c r="C48" t="s">
        <v>1696</v>
      </c>
      <c r="D48" t="s">
        <v>1742</v>
      </c>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t="str">
        <f>IFERROR(__xludf.DUMMYFUNCTION("""COMPUTED_VALUE"""),"Privacy, how they would use information")</f>
        <v>Privacy, how they would use information</v>
      </c>
      <c r="C50" t="s">
        <v>384</v>
      </c>
      <c r="D50" t="s">
        <v>1696</v>
      </c>
      <c r="E50" t="s">
        <v>1742</v>
      </c>
      <c r="F50" s="12"/>
      <c r="G50" s="12"/>
      <c r="H50" s="12"/>
      <c r="I50" s="12"/>
      <c r="J50" s="12"/>
    </row>
    <row r="51">
      <c r="A51">
        <f>IFERROR(__xludf.DUMMYFUNCTION("""COMPUTED_VALUE"""),80.0)</f>
        <v>80</v>
      </c>
      <c r="B51" s="12" t="str">
        <f>IFERROR(__xludf.DUMMYFUNCTION("""COMPUTED_VALUE"""),"no")</f>
        <v>no</v>
      </c>
      <c r="C51" t="s">
        <v>188</v>
      </c>
      <c r="D51" s="3"/>
      <c r="E51" s="3"/>
      <c r="F51" s="12"/>
      <c r="G51" s="12"/>
      <c r="H51" s="12"/>
      <c r="I51" s="12"/>
      <c r="J51" s="12"/>
    </row>
    <row r="52">
      <c r="A52">
        <f>IFERROR(__xludf.DUMMYFUNCTION("""COMPUTED_VALUE"""),81.0)</f>
        <v>81</v>
      </c>
      <c r="B52" s="12" t="str">
        <f>IFERROR(__xludf.DUMMYFUNCTION("""COMPUTED_VALUE"""),"I would consider whether my account could be compromised, as well as whether my data would be obtained.")</f>
        <v>I would consider whether my account could be compromised, as well as whether my data would be obtained.</v>
      </c>
      <c r="C52" t="s">
        <v>65</v>
      </c>
      <c r="D52" t="s">
        <v>1726</v>
      </c>
      <c r="E52" s="12"/>
      <c r="F52" s="12"/>
      <c r="G52" s="12"/>
      <c r="H52" s="12"/>
      <c r="I52" s="12"/>
      <c r="J52" s="12"/>
    </row>
    <row r="53">
      <c r="A53">
        <f>IFERROR(__xludf.DUMMYFUNCTION("""COMPUTED_VALUE"""),84.0)</f>
        <v>84</v>
      </c>
      <c r="B53" s="12" t="str">
        <f>IFERROR(__xludf.DUMMYFUNCTION("""COMPUTED_VALUE"""),"Where it came from, security, what parts it wants access to")</f>
        <v>Where it came from, security, what parts it wants access to</v>
      </c>
      <c r="C53" t="s">
        <v>1701</v>
      </c>
      <c r="D53" t="s">
        <v>65</v>
      </c>
      <c r="E53" t="s">
        <v>1696</v>
      </c>
      <c r="F53" t="s">
        <v>1738</v>
      </c>
      <c r="G53" s="12"/>
      <c r="H53" s="12"/>
      <c r="I53" s="12"/>
      <c r="J53" s="12"/>
    </row>
    <row r="54">
      <c r="A54">
        <f>IFERROR(__xludf.DUMMYFUNCTION("""COMPUTED_VALUE"""),86.0)</f>
        <v>86</v>
      </c>
      <c r="B54" s="12" t="str">
        <f>IFERROR(__xludf.DUMMYFUNCTION("""COMPUTED_VALUE"""),"Privacy and security.")</f>
        <v>Privacy and security.</v>
      </c>
      <c r="C54" t="s">
        <v>384</v>
      </c>
      <c r="D54" t="s">
        <v>65</v>
      </c>
      <c r="E54" s="12"/>
      <c r="F54" s="12"/>
      <c r="G54" s="12"/>
      <c r="H54" s="12"/>
      <c r="I54" s="12"/>
      <c r="J54" s="12"/>
    </row>
    <row r="55">
      <c r="A55">
        <f>IFERROR(__xludf.DUMMYFUNCTION("""COMPUTED_VALUE"""),87.0)</f>
        <v>87</v>
      </c>
      <c r="B55" s="12" t="str">
        <f>IFERROR(__xludf.DUMMYFUNCTION("""COMPUTED_VALUE"""),"I would consider if they could view my emails, Google Drive information, etc. This seems more invasive than other instances that I recall using.")</f>
        <v>I would consider if they could view my emails, Google Drive information, etc. This seems more invasive than other instances that I recall using.</v>
      </c>
      <c r="C55" t="s">
        <v>1703</v>
      </c>
      <c r="D55" t="s">
        <v>1741</v>
      </c>
      <c r="E55" t="s">
        <v>1743</v>
      </c>
      <c r="F55" t="s">
        <v>1721</v>
      </c>
      <c r="G55" s="12"/>
      <c r="H55" s="12"/>
      <c r="I55" s="12"/>
      <c r="J55" s="12"/>
    </row>
    <row r="56">
      <c r="A56">
        <f>IFERROR(__xludf.DUMMYFUNCTION("""COMPUTED_VALUE"""),88.0)</f>
        <v>88</v>
      </c>
      <c r="B56" s="12" t="str">
        <f>IFERROR(__xludf.DUMMYFUNCTION("""COMPUTED_VALUE"""),"I would consider what they are hoping to get access to (like which parts), whether I felt those parts were even a necessity for using that app, and how secure I felt the app itself was.")</f>
        <v>I would consider what they are hoping to get access to (like which parts), whether I felt those parts were even a necessity for using that app, and how secure I felt the app itself was.</v>
      </c>
      <c r="C56" t="s">
        <v>1703</v>
      </c>
      <c r="D56" t="s">
        <v>1722</v>
      </c>
      <c r="E56" t="s">
        <v>1720</v>
      </c>
      <c r="F56" t="s">
        <v>65</v>
      </c>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t="str">
        <f>IFERROR(__xludf.DUMMYFUNCTION("""COMPUTED_VALUE"""),"I'm not very reluctant to grant this type of access, so I would probably just agree to it.")</f>
        <v>I'm not very reluctant to grant this type of access, so I would probably just agree to it.</v>
      </c>
      <c r="C58" t="s">
        <v>1608</v>
      </c>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t="str">
        <f>IFERROR(__xludf.DUMMYFUNCTION("""COMPUTED_VALUE"""),"It depends on whether I really need or want to use it or not.")</f>
        <v>It depends on whether I really need or want to use it or not.</v>
      </c>
      <c r="C61" t="s">
        <v>1714</v>
      </c>
      <c r="D61" s="12"/>
      <c r="E61" s="12"/>
      <c r="F61" s="12"/>
      <c r="G61" s="12"/>
      <c r="H61" s="12"/>
      <c r="I61" s="12"/>
      <c r="J61" s="12"/>
    </row>
    <row r="62">
      <c r="A62">
        <f>IFERROR(__xludf.DUMMYFUNCTION("""COMPUTED_VALUE"""),98.0)</f>
        <v>98</v>
      </c>
      <c r="B62" s="12" t="str">
        <f>IFERROR(__xludf.DUMMYFUNCTION("""COMPUTED_VALUE"""),"Since I am not sure why a third-party app would need access to my Google account, I would not grant it and then I might research to find the reason")</f>
        <v>Since I am not sure why a third-party app would need access to my Google account, I would not grant it and then I might research to find the reason</v>
      </c>
      <c r="C62" t="s">
        <v>1605</v>
      </c>
      <c r="D62" t="s">
        <v>1744</v>
      </c>
      <c r="E62" t="s">
        <v>1745</v>
      </c>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t="str">
        <f>IFERROR(__xludf.DUMMYFUNCTION("""COMPUTED_VALUE"""),"Why does it need access to certain elements of my google account and which ones")</f>
        <v>Why does it need access to certain elements of my google account and which ones</v>
      </c>
      <c r="C64" t="s">
        <v>1605</v>
      </c>
      <c r="D64" t="s">
        <v>1744</v>
      </c>
      <c r="E64" t="s">
        <v>1703</v>
      </c>
      <c r="F64" t="s">
        <v>1722</v>
      </c>
      <c r="G64" s="12"/>
      <c r="H64" s="12"/>
      <c r="I64" s="12"/>
      <c r="J64" s="12"/>
    </row>
    <row r="65">
      <c r="A65">
        <f>IFERROR(__xludf.DUMMYFUNCTION("""COMPUTED_VALUE"""),101.0)</f>
        <v>101</v>
      </c>
      <c r="B65" s="12" t="str">
        <f>IFERROR(__xludf.DUMMYFUNCTION("""COMPUTED_VALUE"""),"I would want to know why they need the information.")</f>
        <v>I would want to know why they need the information.</v>
      </c>
      <c r="C65" t="s">
        <v>1696</v>
      </c>
      <c r="D65" t="s">
        <v>1742</v>
      </c>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t="str">
        <f>IFERROR(__xludf.DUMMYFUNCTION("""COMPUTED_VALUE"""),"What permissions am I giving up? Will this mine my data?")</f>
        <v>What permissions am I giving up? Will this mine my data?</v>
      </c>
      <c r="C68" t="s">
        <v>1703</v>
      </c>
      <c r="D68" t="s">
        <v>1696</v>
      </c>
      <c r="E68" t="s">
        <v>1742</v>
      </c>
      <c r="F68" s="12"/>
      <c r="G68" s="12"/>
      <c r="J68" s="12"/>
    </row>
    <row r="69">
      <c r="A69">
        <f>IFERROR(__xludf.DUMMYFUNCTION("""COMPUTED_VALUE"""),107.0)</f>
        <v>107</v>
      </c>
      <c r="B69" s="12" t="str">
        <f>IFERROR(__xludf.DUMMYFUNCTION("""COMPUTED_VALUE"""),"The sensitive information needed to access the app")</f>
        <v>The sensitive information needed to access the app</v>
      </c>
      <c r="C69" t="s">
        <v>1696</v>
      </c>
      <c r="D69" t="s">
        <v>1735</v>
      </c>
      <c r="E69" t="s">
        <v>1703</v>
      </c>
      <c r="F69" t="s">
        <v>1720</v>
      </c>
      <c r="G69" s="3"/>
      <c r="J69" s="12"/>
    </row>
    <row r="70">
      <c r="A70">
        <f>IFERROR(__xludf.DUMMYFUNCTION("""COMPUTED_VALUE"""),108.0)</f>
        <v>108</v>
      </c>
      <c r="B70" s="12"/>
      <c r="C70" s="3"/>
      <c r="E70" s="3"/>
      <c r="F70" s="3"/>
      <c r="G70" s="3"/>
      <c r="H70" s="12"/>
      <c r="I70" s="12"/>
      <c r="J70" s="12"/>
    </row>
    <row r="71">
      <c r="A71">
        <f>IFERROR(__xludf.DUMMYFUNCTION("""COMPUTED_VALUE"""),109.0)</f>
        <v>109</v>
      </c>
      <c r="B71" s="12" t="str">
        <f>IFERROR(__xludf.DUMMYFUNCTION("""COMPUTED_VALUE"""),"How my data was going to be used.")</f>
        <v>How my data was going to be used.</v>
      </c>
      <c r="C71" t="s">
        <v>1696</v>
      </c>
      <c r="D71" t="s">
        <v>1742</v>
      </c>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t="str">
        <f>IFERROR(__xludf.DUMMYFUNCTION("""COMPUTED_VALUE"""),"I would think about why they would want this access and if I trusted them.")</f>
        <v>I would think about why they would want this access and if I trusted them.</v>
      </c>
      <c r="C73" t="s">
        <v>1696</v>
      </c>
      <c r="D73" t="s">
        <v>1742</v>
      </c>
      <c r="E73" t="s">
        <v>1701</v>
      </c>
      <c r="F73" t="s">
        <v>1702</v>
      </c>
      <c r="G73" s="3"/>
      <c r="H73" s="3"/>
      <c r="I73" s="12"/>
      <c r="J73" s="12"/>
    </row>
    <row r="74">
      <c r="A74">
        <f>IFERROR(__xludf.DUMMYFUNCTION("""COMPUTED_VALUE"""),113.0)</f>
        <v>113</v>
      </c>
      <c r="B74" s="12" t="str">
        <f>IFERROR(__xludf.DUMMYFUNCTION("""COMPUTED_VALUE"""),"What information would be shared, what kind of access/permissions the third-party would have to my information, account, and ability to make specific actions, as well as whether or not I could use the third party service without having to sign in.")</f>
        <v>What information would be shared, what kind of access/permissions the third-party would have to my information, account, and ability to make specific actions, as well as whether or not I could use the third party service without having to sign in.</v>
      </c>
      <c r="C74" t="s">
        <v>1696</v>
      </c>
      <c r="D74" t="s">
        <v>1740</v>
      </c>
      <c r="E74" t="s">
        <v>1738</v>
      </c>
      <c r="F74" t="s">
        <v>1703</v>
      </c>
      <c r="G74" t="s">
        <v>1620</v>
      </c>
      <c r="H74" t="s">
        <v>1746</v>
      </c>
      <c r="I74" s="12"/>
      <c r="J74" s="12"/>
    </row>
    <row r="75">
      <c r="A75">
        <f>IFERROR(__xludf.DUMMYFUNCTION("""COMPUTED_VALUE"""),115.0)</f>
        <v>115</v>
      </c>
      <c r="B75" s="12" t="str">
        <f>IFERROR(__xludf.DUMMYFUNCTION("""COMPUTED_VALUE"""),"Why would I want it to attach to the calendar apps and so on - this is a bad idea generally speaking")</f>
        <v>Why would I want it to attach to the calendar apps and so on - this is a bad idea generally speaking</v>
      </c>
      <c r="C75" t="s">
        <v>1703</v>
      </c>
      <c r="D75" t="s">
        <v>1747</v>
      </c>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t="str">
        <f>IFERROR(__xludf.DUMMYFUNCTION("""COMPUTED_VALUE"""),"What specifically they're asking to gain access to. Many times I deny if it's too invading.")</f>
        <v>What specifically they're asking to gain access to. Many times I deny if it's too invading.</v>
      </c>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t="str">
        <f>IFERROR(__xludf.DUMMYFUNCTION("""COMPUTED_VALUE"""),"What parts of my account the app wanted access to, whether the app seemed safe/secure enough, how much privacy I wanted to maintain from the app, whether it was more important to be able to use the app or maintain privacy")</f>
        <v>What parts of my account the app wanted access to, whether the app seemed safe/secure enough, how much privacy I wanted to maintain from the app, whether it was more important to be able to use the app or maintain privacy</v>
      </c>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t="str">
        <f>IFERROR(__xludf.DUMMYFUNCTION("""COMPUTED_VALUE"""),"I would consider how they plan on using my information before giving them access.")</f>
        <v>I would consider how they plan on using my information before giving them access.</v>
      </c>
      <c r="C83" s="3"/>
      <c r="D83" s="3"/>
      <c r="E83" s="3"/>
      <c r="F83" s="3"/>
      <c r="G83" s="12"/>
      <c r="H83" s="12"/>
      <c r="I83" s="12"/>
      <c r="J83" s="12"/>
    </row>
    <row r="84">
      <c r="A84">
        <f>IFERROR(__xludf.DUMMYFUNCTION("""COMPUTED_VALUE"""),128.0)</f>
        <v>128</v>
      </c>
      <c r="B84" s="12" t="str">
        <f>IFERROR(__xludf.DUMMYFUNCTION("""COMPUTED_VALUE"""),"NO...I don't normally allow third party apps access to my account information")</f>
        <v>NO...I don't normally allow third party apps access to my account information</v>
      </c>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t="str">
        <f>IFERROR(__xludf.DUMMYFUNCTION("""COMPUTED_VALUE"""),"how much information associated with my Google account that app has access to")</f>
        <v>how much information associated with my Google account that app has access to</v>
      </c>
      <c r="C89" s="3"/>
      <c r="D89" s="3"/>
      <c r="E89" s="3"/>
      <c r="F89" s="3"/>
      <c r="G89" s="12"/>
      <c r="H89" s="12"/>
      <c r="I89" s="12"/>
      <c r="J89" s="12"/>
    </row>
    <row r="90">
      <c r="A90">
        <f>IFERROR(__xludf.DUMMYFUNCTION("""COMPUTED_VALUE"""),138.0)</f>
        <v>138</v>
      </c>
      <c r="B90" s="12" t="str">
        <f>IFERROR(__xludf.DUMMYFUNCTION("""COMPUTED_VALUE"""),"If it takes my personal information and if it can track my location 24/7")</f>
        <v>If it takes my personal information and if it can track my location 24/7</v>
      </c>
      <c r="C90" s="3"/>
      <c r="D90" s="3"/>
      <c r="E90" s="12"/>
      <c r="F90" s="12"/>
      <c r="G90" s="12"/>
      <c r="H90" s="12"/>
      <c r="I90" s="12"/>
      <c r="J90" s="12"/>
    </row>
    <row r="91">
      <c r="A91">
        <f>IFERROR(__xludf.DUMMYFUNCTION("""COMPUTED_VALUE"""),140.0)</f>
        <v>140</v>
      </c>
      <c r="B91" s="12" t="str">
        <f>IFERROR(__xludf.DUMMYFUNCTION("""COMPUTED_VALUE"""),"If this was a legitimate access request.")</f>
        <v>If this was a legitimate access request.</v>
      </c>
      <c r="C91" s="3"/>
      <c r="D91" s="3"/>
      <c r="E91" s="3"/>
      <c r="F91" s="12"/>
      <c r="G91" s="12"/>
      <c r="H91" s="12"/>
      <c r="I91" s="12"/>
      <c r="J91" s="12"/>
    </row>
    <row r="92">
      <c r="A92">
        <f>IFERROR(__xludf.DUMMYFUNCTION("""COMPUTED_VALUE"""),141.0)</f>
        <v>141</v>
      </c>
      <c r="B92" s="12" t="str">
        <f>IFERROR(__xludf.DUMMYFUNCTION("""COMPUTED_VALUE"""),"How much do they see from my phone? They shouldn't have access to pictures.")</f>
        <v>How much do they see from my phone? They shouldn't have access to pictures.</v>
      </c>
      <c r="C92" s="3"/>
      <c r="D92" s="3"/>
      <c r="E92" s="3"/>
      <c r="F92" s="12"/>
      <c r="G92" s="12"/>
      <c r="H92" s="12"/>
      <c r="I92" s="12"/>
      <c r="J92" s="12"/>
    </row>
    <row r="93">
      <c r="A93">
        <f>IFERROR(__xludf.DUMMYFUNCTION("""COMPUTED_VALUE"""),142.0)</f>
        <v>142</v>
      </c>
      <c r="B93" s="12" t="str">
        <f>IFERROR(__xludf.DUMMYFUNCTION("""COMPUTED_VALUE"""),"if it was safe")</f>
        <v>if it was safe</v>
      </c>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t="str">
        <f>IFERROR(__xludf.DUMMYFUNCTION("""COMPUTED_VALUE"""),"How much it would add to my calendar and emails.")</f>
        <v>How much it would add to my calendar and emails.</v>
      </c>
      <c r="C95" s="3"/>
      <c r="D95" s="3"/>
      <c r="E95" s="12"/>
      <c r="F95" s="12"/>
      <c r="G95" s="12"/>
      <c r="H95" s="12"/>
      <c r="I95" s="12"/>
      <c r="J95" s="12"/>
    </row>
    <row r="96">
      <c r="A96">
        <f>IFERROR(__xludf.DUMMYFUNCTION("""COMPUTED_VALUE"""),147.0)</f>
        <v>147</v>
      </c>
      <c r="B96" s="12" t="str">
        <f>IFERROR(__xludf.DUMMYFUNCTION("""COMPUTED_VALUE"""),"I would not grant such invase acess")</f>
        <v>I would not grant such invase acess</v>
      </c>
      <c r="C96" s="3"/>
      <c r="D96" s="3"/>
      <c r="E96" s="3"/>
      <c r="F96" s="12"/>
      <c r="G96" s="12"/>
      <c r="H96" s="12"/>
      <c r="I96" s="12"/>
      <c r="J96" s="12"/>
    </row>
    <row r="97">
      <c r="A97">
        <f>IFERROR(__xludf.DUMMYFUNCTION("""COMPUTED_VALUE"""),148.0)</f>
        <v>148</v>
      </c>
      <c r="B97" s="12" t="str">
        <f>IFERROR(__xludf.DUMMYFUNCTION("""COMPUTED_VALUE"""),"what information they would have access to. What would they be doing with that information.")</f>
        <v>what information they would have access to. What would they be doing with that information.</v>
      </c>
      <c r="C97" s="3"/>
      <c r="D97" s="3"/>
      <c r="E97" s="12"/>
      <c r="F97" s="12"/>
      <c r="G97" s="12"/>
      <c r="H97" s="12"/>
      <c r="I97" s="12"/>
      <c r="J97" s="12"/>
    </row>
    <row r="98">
      <c r="A98">
        <f>IFERROR(__xludf.DUMMYFUNCTION("""COMPUTED_VALUE"""),149.0)</f>
        <v>149</v>
      </c>
      <c r="B98" s="12" t="str">
        <f>IFERROR(__xludf.DUMMYFUNCTION("""COMPUTED_VALUE"""),"I would consider how much information they would receive and if giving up my privacy was worth the service.")</f>
        <v>I would consider how much information they would receive and if giving up my privacy was worth the service.</v>
      </c>
      <c r="C98" s="3"/>
      <c r="D98" s="3"/>
      <c r="E98" s="3"/>
      <c r="F98" s="3"/>
      <c r="G98" s="12"/>
      <c r="H98" s="12"/>
      <c r="I98" s="12"/>
      <c r="J98" s="12"/>
    </row>
    <row r="99">
      <c r="A99">
        <f>IFERROR(__xludf.DUMMYFUNCTION("""COMPUTED_VALUE"""),150.0)</f>
        <v>150</v>
      </c>
      <c r="B99" s="12" t="str">
        <f>IFERROR(__xludf.DUMMYFUNCTION("""COMPUTED_VALUE"""),"It would need to be an app I planned to use and rely on often, from a trusted developer.")</f>
        <v>It would need to be an app I planned to use and rely on often, from a trusted developer.</v>
      </c>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t="str">
        <f>IFERROR(__xludf.DUMMYFUNCTION("""COMPUTED_VALUE"""),"I consider how much access the app is requesting and I try to determine if it's reasonable.")</f>
        <v>I consider how much access the app is requesting and I try to determine if it's reasonable.</v>
      </c>
      <c r="C103" s="3"/>
      <c r="D103" s="3"/>
      <c r="E103" s="12"/>
      <c r="F103" s="12"/>
      <c r="G103" s="12"/>
      <c r="H103" s="12"/>
      <c r="I103" s="12"/>
      <c r="J103" s="12"/>
    </row>
    <row r="104">
      <c r="A104">
        <f>IFERROR(__xludf.DUMMYFUNCTION("""COMPUTED_VALUE"""),156.0)</f>
        <v>156</v>
      </c>
      <c r="B104" s="12" t="str">
        <f>IFERROR(__xludf.DUMMYFUNCTION("""COMPUTED_VALUE"""),"Whether it was necessary and what it did for me")</f>
        <v>Whether it was necessary and what it did for me</v>
      </c>
      <c r="C104" s="3"/>
      <c r="D104" s="3"/>
      <c r="E104" s="12"/>
      <c r="F104" s="12"/>
      <c r="G104" s="12"/>
      <c r="H104" s="12"/>
      <c r="I104" s="12"/>
      <c r="J104" s="12"/>
    </row>
    <row r="105">
      <c r="A105">
        <f>IFERROR(__xludf.DUMMYFUNCTION("""COMPUTED_VALUE"""),157.0)</f>
        <v>157</v>
      </c>
      <c r="B105" s="12" t="str">
        <f>IFERROR(__xludf.DUMMYFUNCTION("""COMPUTED_VALUE"""),"How it would use my information and if they were secure")</f>
        <v>How it would use my information and if they were secure</v>
      </c>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t="str">
        <f>IFERROR(__xludf.DUMMYFUNCTION("""COMPUTED_VALUE"""),"privacy and cost")</f>
        <v>privacy and cost</v>
      </c>
      <c r="C112" s="3"/>
      <c r="D112" s="3"/>
      <c r="E112" s="3"/>
      <c r="F112" s="12"/>
      <c r="G112" s="12"/>
      <c r="H112" s="12"/>
      <c r="I112" s="12"/>
      <c r="J112" s="12"/>
    </row>
    <row r="113">
      <c r="A113">
        <f>IFERROR(__xludf.DUMMYFUNCTION("""COMPUTED_VALUE"""),166.0)</f>
        <v>166</v>
      </c>
      <c r="B113" s="12" t="str">
        <f>IFERROR(__xludf.DUMMYFUNCTION("""COMPUTED_VALUE"""),"I would consider the privacy aspect before granting any form of access.")</f>
        <v>I would consider the privacy aspect before granting any form of access.</v>
      </c>
      <c r="C113" s="3"/>
      <c r="D113" s="3"/>
      <c r="E113" s="12"/>
      <c r="F113" s="12"/>
      <c r="G113" s="12"/>
      <c r="H113" s="12"/>
      <c r="I113" s="12"/>
      <c r="J113" s="12"/>
    </row>
    <row r="114">
      <c r="A114">
        <f>IFERROR(__xludf.DUMMYFUNCTION("""COMPUTED_VALUE"""),167.0)</f>
        <v>167</v>
      </c>
      <c r="B114" s="12" t="str">
        <f>IFERROR(__xludf.DUMMYFUNCTION("""COMPUTED_VALUE"""),"I'd need to know how much it would actually help me, and in what ways it would make my life easier. I'd also question if they'll be sending unnecessary emails.")</f>
        <v>I'd need to know how much it would actually help me, and in what ways it would make my life easier. I'd also question if they'll be sending unnecessary emails.</v>
      </c>
      <c r="C114" s="3"/>
      <c r="D114" s="3"/>
      <c r="E114" s="3"/>
      <c r="F114" s="3"/>
      <c r="G114" s="12"/>
      <c r="H114" s="12"/>
      <c r="I114" s="12"/>
      <c r="J114" s="12"/>
    </row>
    <row r="115">
      <c r="A115">
        <f>IFERROR(__xludf.DUMMYFUNCTION("""COMPUTED_VALUE"""),168.0)</f>
        <v>168</v>
      </c>
      <c r="B115" s="12" t="str">
        <f>IFERROR(__xludf.DUMMYFUNCTION("""COMPUTED_VALUE"""),"That there would/could be a loss of privacy")</f>
        <v>That there would/could be a loss of privacy</v>
      </c>
      <c r="C115" s="3"/>
      <c r="D115" s="12"/>
      <c r="E115" s="12"/>
      <c r="F115" s="12"/>
      <c r="G115" s="12"/>
      <c r="H115" s="12"/>
      <c r="I115" s="12"/>
      <c r="J115" s="12"/>
    </row>
    <row r="116">
      <c r="A116">
        <f>IFERROR(__xludf.DUMMYFUNCTION("""COMPUTED_VALUE"""),170.0)</f>
        <v>170</v>
      </c>
      <c r="B116" s="12" t="str">
        <f>IFERROR(__xludf.DUMMYFUNCTION("""COMPUTED_VALUE"""),"I would consider nothing again, I probably put too much trust in Google and it's become a crutch at this point, I would easily allow it to be used in 3rd party situations.")</f>
        <v>I would consider nothing again, I probably put too much trust in Google and it's become a crutch at this point, I would easily allow it to be used in 3rd party situations.</v>
      </c>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t="str">
        <f>IFERROR(__xludf.DUMMYFUNCTION("""COMPUTED_VALUE"""),"Security. Privacy.")</f>
        <v>Security. Privacy.</v>
      </c>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t="str">
        <f>IFERROR(__xludf.DUMMYFUNCTION("""COMPUTED_VALUE"""),"No")</f>
        <v>No</v>
      </c>
      <c r="C120" s="3"/>
      <c r="D120" s="12"/>
      <c r="E120" s="12"/>
      <c r="F120" s="12"/>
      <c r="G120" s="12"/>
      <c r="H120" s="12"/>
      <c r="I120" s="12"/>
      <c r="J120" s="12"/>
    </row>
    <row r="121">
      <c r="A121">
        <f>IFERROR(__xludf.DUMMYFUNCTION("""COMPUTED_VALUE"""),177.0)</f>
        <v>177</v>
      </c>
      <c r="B121" s="12" t="str">
        <f>IFERROR(__xludf.DUMMYFUNCTION("""COMPUTED_VALUE"""),"I might use it, but I would have to strongly consider what app I am using and whether I would really want that app to have access to my other Google information.")</f>
        <v>I might use it, but I would have to strongly consider what app I am using and whether I would really want that app to have access to my other Google information.</v>
      </c>
      <c r="C121" s="3"/>
      <c r="D121" s="3"/>
      <c r="E121" s="3"/>
      <c r="F121" s="3"/>
      <c r="G121" s="12"/>
      <c r="H121" s="12"/>
      <c r="I121" s="12"/>
      <c r="J121" s="12"/>
    </row>
    <row r="122">
      <c r="A122">
        <f>IFERROR(__xludf.DUMMYFUNCTION("""COMPUTED_VALUE"""),179.0)</f>
        <v>179</v>
      </c>
      <c r="B122" s="12" t="str">
        <f>IFERROR(__xludf.DUMMYFUNCTION("""COMPUTED_VALUE"""),"Will this information be shared? If the EULA for Google says no, what loopholes exist to allow them to share my data?")</f>
        <v>Will this information be shared? If the EULA for Google says no, what loopholes exist to allow them to share my data?</v>
      </c>
      <c r="C122" s="3"/>
      <c r="D122" s="3"/>
      <c r="E122" s="3"/>
      <c r="F122" s="12"/>
      <c r="G122" s="12"/>
      <c r="H122" s="12"/>
      <c r="I122" s="12"/>
      <c r="J122" s="12"/>
    </row>
    <row r="123">
      <c r="A123">
        <f>IFERROR(__xludf.DUMMYFUNCTION("""COMPUTED_VALUE"""),180.0)</f>
        <v>180</v>
      </c>
      <c r="B123" s="12" t="str">
        <f>IFERROR(__xludf.DUMMYFUNCTION("""COMPUTED_VALUE"""),"What information is being accessed by the third-party app.")</f>
        <v>What information is being accessed by the third-party app.</v>
      </c>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t="str">
        <f>IFERROR(__xludf.DUMMYFUNCTION("""COMPUTED_VALUE"""),"not sure")</f>
        <v>not sure</v>
      </c>
      <c r="C125" s="3"/>
      <c r="D125" s="3"/>
      <c r="E125" s="12"/>
      <c r="F125" s="12"/>
      <c r="G125" s="12"/>
      <c r="H125" s="12"/>
      <c r="I125" s="12"/>
      <c r="J125" s="12"/>
    </row>
    <row r="126">
      <c r="A126">
        <f>IFERROR(__xludf.DUMMYFUNCTION("""COMPUTED_VALUE"""),186.0)</f>
        <v>186</v>
      </c>
      <c r="B126" s="12" t="str">
        <f>IFERROR(__xludf.DUMMYFUNCTION("""COMPUTED_VALUE"""),"I would have to know I can trust the app before I would grant them access to my account.")</f>
        <v>I would have to know I can trust the app before I would grant them access to my account.</v>
      </c>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t="str">
        <f>IFERROR(__xludf.DUMMYFUNCTION("""COMPUTED_VALUE"""),"If I want that app to be synced with my Google such as calendar.")</f>
        <v>If I want that app to be synced with my Google such as calendar.</v>
      </c>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t="str">
        <f>IFERROR(__xludf.DUMMYFUNCTION("""COMPUTED_VALUE"""),"If it is safe to do so.")</f>
        <v>If it is safe to do so.</v>
      </c>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t="str">
        <f>IFERROR(__xludf.DUMMYFUNCTION("""COMPUTED_VALUE"""),"I would consider my privacy and if it was safe to be sharing that info with that website.")</f>
        <v>I would consider my privacy and if it was safe to be sharing that info with that website.</v>
      </c>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t="str">
        <f>IFERROR(__xludf.DUMMYFUNCTION("""COMPUTED_VALUE"""),"what the service does, and the reputation that it has overall")</f>
        <v>what the service does, and the reputation that it has overall</v>
      </c>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t="str">
        <f>IFERROR(__xludf.DUMMYFUNCTION("""COMPUTED_VALUE"""),"What in particular it needed access to, it's privacy policy.")</f>
        <v>What in particular it needed access to, it's privacy policy.</v>
      </c>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t="str">
        <f>IFERROR(__xludf.DUMMYFUNCTION("""COMPUTED_VALUE"""),"I want to have full control over my account, and not let another app have anything to do with it. I'd not trust the app, and wouldn't want them invading my privacy.")</f>
        <v>I want to have full control over my account, and not let another app have anything to do with it. I'd not trust the app, and wouldn't want them invading my privacy.</v>
      </c>
      <c r="C147" s="3"/>
      <c r="D147" s="3"/>
      <c r="E147" s="3"/>
      <c r="F147" s="3"/>
      <c r="H147" s="12"/>
      <c r="I147" s="12"/>
      <c r="J147" s="12"/>
    </row>
    <row r="148">
      <c r="A148">
        <f>IFERROR(__xludf.DUMMYFUNCTION("""COMPUTED_VALUE"""),215.0)</f>
        <v>215</v>
      </c>
      <c r="B148" s="12" t="str">
        <f>IFERROR(__xludf.DUMMYFUNCTION("""COMPUTED_VALUE"""),"I'd consider whether that third party app will send me lots of emails or what the third party app is for.")</f>
        <v>I'd consider whether that third party app will send me lots of emails or what the third party app is for.</v>
      </c>
      <c r="C148" s="3"/>
      <c r="D148" s="3"/>
      <c r="E148" s="12"/>
      <c r="F148" s="12"/>
      <c r="H148" s="12"/>
      <c r="I148" s="12"/>
      <c r="J148" s="12"/>
    </row>
    <row r="149">
      <c r="A149">
        <f>IFERROR(__xludf.DUMMYFUNCTION("""COMPUTED_VALUE"""),216.0)</f>
        <v>216</v>
      </c>
      <c r="B149" s="12" t="str">
        <f>IFERROR(__xludf.DUMMYFUNCTION("""COMPUTED_VALUE"""),"I would wonder what benefit it would be to me and if it were completely necessary to give a third party app any additional access.")</f>
        <v>I would wonder what benefit it would be to me and if it were completely necessary to give a third party app any additional access.</v>
      </c>
      <c r="C149" s="3"/>
      <c r="D149" s="12"/>
      <c r="E149" s="12"/>
      <c r="F149" s="12"/>
      <c r="H149" s="12"/>
      <c r="I149" s="12"/>
      <c r="J149" s="12"/>
    </row>
    <row r="150">
      <c r="A150">
        <f>IFERROR(__xludf.DUMMYFUNCTION("""COMPUTED_VALUE"""),217.0)</f>
        <v>217</v>
      </c>
      <c r="B150" s="12" t="str">
        <f>IFERROR(__xludf.DUMMYFUNCTION("""COMPUTED_VALUE"""),"Im not sure")</f>
        <v>Im not sure</v>
      </c>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t="str">
        <f>IFERROR(__xludf.DUMMYFUNCTION("""COMPUTED_VALUE"""),"Sure, I think there are enough measures in place to ensure privacy.")</f>
        <v>Sure, I think there are enough measures in place to ensure privacy.</v>
      </c>
      <c r="C154" s="3"/>
      <c r="D154" s="3"/>
      <c r="E154" s="3"/>
      <c r="F154" s="3"/>
      <c r="H154" s="12"/>
      <c r="I154" s="12"/>
      <c r="J154" s="12"/>
    </row>
    <row r="155">
      <c r="A155">
        <f>IFERROR(__xludf.DUMMYFUNCTION("""COMPUTED_VALUE"""),225.0)</f>
        <v>225</v>
      </c>
      <c r="B155" s="12" t="str">
        <f>IFERROR(__xludf.DUMMYFUNCTION("""COMPUTED_VALUE"""),"What kind of information they are accessing.")</f>
        <v>What kind of information they are accessing.</v>
      </c>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t="str">
        <f>IFERROR(__xludf.DUMMYFUNCTION("""COMPUTED_VALUE"""),"I would consider if I really need the services that the app offer. Also, do I trust the app to access my Google information.")</f>
        <v>I would consider if I really need the services that the app offer. Also, do I trust the app to access my Google information.</v>
      </c>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t="str">
        <f>IFERROR(__xludf.DUMMYFUNCTION("""COMPUTED_VALUE"""),"privacy")</f>
        <v>privacy</v>
      </c>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t="str">
        <f>IFERROR(__xludf.DUMMYFUNCTION("""COMPUTED_VALUE"""),"I don't recall ever granting access to third party apps but I'm sure I have. I wouldn't consider anything before granting access, I already have a google account and a smartphone my privacy is already compromised so why overthink it.")</f>
        <v>I don't recall ever granting access to third party apps but I'm sure I have. I wouldn't consider anything before granting access, I already have a google account and a smartphone my privacy is already compromised so why overthink it.</v>
      </c>
      <c r="C170" s="12"/>
      <c r="D170" s="12"/>
      <c r="E170" s="12"/>
      <c r="F170" s="12"/>
      <c r="G170" s="12"/>
      <c r="H170" s="12"/>
      <c r="I170" s="12"/>
      <c r="J170" s="12"/>
    </row>
    <row r="171">
      <c r="A171">
        <f>IFERROR(__xludf.DUMMYFUNCTION("""COMPUTED_VALUE"""),248.0)</f>
        <v>248</v>
      </c>
      <c r="B171" s="12" t="str">
        <f>IFERROR(__xludf.DUMMYFUNCTION("""COMPUTED_VALUE"""),"Will they be storing my personal information.")</f>
        <v>Will they be storing my personal information.</v>
      </c>
      <c r="C171" s="12"/>
      <c r="D171" s="12"/>
      <c r="E171" s="12"/>
      <c r="F171" s="12"/>
      <c r="G171" s="12"/>
      <c r="H171" s="12"/>
      <c r="I171" s="12"/>
      <c r="J171" s="12"/>
    </row>
    <row r="172">
      <c r="A172">
        <f>IFERROR(__xludf.DUMMYFUNCTION("""COMPUTED_VALUE"""),249.0)</f>
        <v>249</v>
      </c>
      <c r="B172" s="12" t="str">
        <f>IFERROR(__xludf.DUMMYFUNCTION("""COMPUTED_VALUE"""),"How necessary it was. I would not grant access unless doing so would be extremely beneficial to me.")</f>
        <v>How necessary it was. I would not grant access unless doing so would be extremely beneficial to me.</v>
      </c>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t="str">
        <f>IFERROR(__xludf.DUMMYFUNCTION("""COMPUTED_VALUE"""),"thats too much permissions for something")</f>
        <v>thats too much permissions for something</v>
      </c>
      <c r="C176" s="12"/>
      <c r="D176" s="12"/>
      <c r="E176" s="12"/>
      <c r="F176" s="12"/>
      <c r="G176" s="12"/>
      <c r="H176" s="12"/>
      <c r="I176" s="12"/>
      <c r="J176" s="12"/>
    </row>
    <row r="177">
      <c r="A177">
        <f>IFERROR(__xludf.DUMMYFUNCTION("""COMPUTED_VALUE"""),256.0)</f>
        <v>256</v>
      </c>
      <c r="B177" s="12" t="str">
        <f>IFERROR(__xludf.DUMMYFUNCTION("""COMPUTED_VALUE"""),"If the service I was granting access to was trustworthy and exactly what information they were trying to gain access to in my Google Account.")</f>
        <v>If the service I was granting access to was trustworthy and exactly what information they were trying to gain access to in my Google Account.</v>
      </c>
      <c r="C177" s="12"/>
      <c r="D177" s="12"/>
      <c r="E177" s="12"/>
      <c r="F177" s="12"/>
      <c r="G177" s="12"/>
      <c r="H177" s="12"/>
      <c r="I177" s="12"/>
      <c r="J177" s="12"/>
    </row>
    <row r="178">
      <c r="A178">
        <f>IFERROR(__xludf.DUMMYFUNCTION("""COMPUTED_VALUE"""),257.0)</f>
        <v>257</v>
      </c>
      <c r="B178" s="12" t="str">
        <f>IFERROR(__xludf.DUMMYFUNCTION("""COMPUTED_VALUE"""),"Why the app needs the access it does. I would also be concerned about what they did with the information after they got it")</f>
        <v>Why the app needs the access it does. I would also be concerned about what they did with the information after they got it</v>
      </c>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t="str">
        <f>IFERROR(__xludf.DUMMYFUNCTION("""COMPUTED_VALUE"""),"Privacy and security")</f>
        <v>Privacy and security</v>
      </c>
      <c r="C181" s="12"/>
      <c r="D181" s="12"/>
      <c r="E181" s="12"/>
      <c r="F181" s="12"/>
      <c r="G181" s="12"/>
      <c r="H181" s="12"/>
      <c r="I181" s="12"/>
      <c r="J181" s="12"/>
    </row>
    <row r="182">
      <c r="A182">
        <f>IFERROR(__xludf.DUMMYFUNCTION("""COMPUTED_VALUE"""),261.0)</f>
        <v>261</v>
      </c>
      <c r="B182" s="12" t="str">
        <f>IFERROR(__xludf.DUMMYFUNCTION("""COMPUTED_VALUE"""),"How my information is being used and what they can access.")</f>
        <v>How my information is being used and what they can access.</v>
      </c>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t="str">
        <f>IFERROR(__xludf.DUMMYFUNCTION("""COMPUTED_VALUE"""),"what it is asking for access for.")</f>
        <v>what it is asking for access for.</v>
      </c>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t="str">
        <f>IFERROR(__xludf.DUMMYFUNCTION("""COMPUTED_VALUE"""),"I would consider what they were asking to access. They shouldn't be able to access my webcam or identity.")</f>
        <v>I would consider what they were asking to access. They shouldn't be able to access my webcam or identity.</v>
      </c>
      <c r="C186" s="12"/>
      <c r="D186" s="12"/>
      <c r="E186" s="12"/>
      <c r="F186" s="12"/>
      <c r="G186" s="12"/>
      <c r="H186" s="12"/>
      <c r="I186" s="12"/>
      <c r="J186" s="12"/>
    </row>
    <row r="187">
      <c r="A187">
        <f>IFERROR(__xludf.DUMMYFUNCTION("""COMPUTED_VALUE"""),268.0)</f>
        <v>268</v>
      </c>
      <c r="B187" s="12" t="str">
        <f>IFERROR(__xludf.DUMMYFUNCTION("""COMPUTED_VALUE"""),"Big brother would know my schedule. No, thank you.")</f>
        <v>Big brother would know my schedule. No, thank you.</v>
      </c>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t="str">
        <f>IFERROR(__xludf.DUMMYFUNCTION("""COMPUTED_VALUE"""),"if it was going to spam me with unnecessary notifications/emails")</f>
        <v>if it was going to spam me with unnecessary notifications/emails</v>
      </c>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t="str">
        <f>IFERROR(__xludf.DUMMYFUNCTION("""COMPUTED_VALUE"""),"I would just want to make sure it was safe for Google and my account.")</f>
        <v>I would just want to make sure it was safe for Google and my account.</v>
      </c>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t="str">
        <f>IFERROR(__xludf.DUMMYFUNCTION("""COMPUTED_VALUE"""),"I would consider what personal info connected to my Google Account that they would receive.")</f>
        <v>I would consider what personal info connected to my Google Account that they would receive.</v>
      </c>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t="str">
        <f>IFERROR(__xludf.DUMMYFUNCTION("""COMPUTED_VALUE"""),"If I trust the app or not")</f>
        <v>If I trust the app or not</v>
      </c>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t="str">
        <f>IFERROR(__xludf.DUMMYFUNCTION("""COMPUTED_VALUE"""),"protection of my information")</f>
        <v>protection of my information</v>
      </c>
      <c r="C198" s="12"/>
      <c r="D198" s="12"/>
      <c r="E198" s="12"/>
      <c r="F198" s="12"/>
      <c r="G198" s="12"/>
      <c r="H198" s="12"/>
      <c r="I198" s="12"/>
      <c r="J198" s="12"/>
    </row>
    <row r="199">
      <c r="A199">
        <f>IFERROR(__xludf.DUMMYFUNCTION("""COMPUTED_VALUE"""),289.0)</f>
        <v>289</v>
      </c>
      <c r="B199" s="12" t="str">
        <f>IFERROR(__xludf.DUMMYFUNCTION("""COMPUTED_VALUE"""),"How well-known and secure the app is and if it is worth the risk")</f>
        <v>How well-known and secure the app is and if it is worth the risk</v>
      </c>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t="str">
        <f>IFERROR(__xludf.DUMMYFUNCTION("""COMPUTED_VALUE"""),"I'd read everything it was granting access to before deciding to approve")</f>
        <v>I'd read everything it was granting access to before deciding to approve</v>
      </c>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t="str">
        <f>IFERROR(__xludf.DUMMYFUNCTION("""COMPUTED_VALUE"""),"I would be very concerned about my data being shared without my permission")</f>
        <v>I would be very concerned about my data being shared without my permission</v>
      </c>
      <c r="C204" s="12"/>
      <c r="D204" s="12"/>
      <c r="E204" s="12"/>
      <c r="F204" s="12"/>
      <c r="G204" s="12"/>
      <c r="H204" s="12"/>
      <c r="I204" s="12"/>
      <c r="J204" s="12"/>
    </row>
    <row r="205">
      <c r="A205">
        <f>IFERROR(__xludf.DUMMYFUNCTION("""COMPUTED_VALUE"""),298.0)</f>
        <v>298</v>
      </c>
      <c r="B205" s="12" t="str">
        <f>IFERROR(__xludf.DUMMYFUNCTION("""COMPUTED_VALUE"""),"I first have to consider the credibility of the website (is it legitimate/has good reviews/security), how much I would use the third-party app, and how much I need to have reminders for it.")</f>
        <v>I first have to consider the credibility of the website (is it legitimate/has good reviews/security), how much I would use the third-party app, and how much I need to have reminders for it.</v>
      </c>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t="str">
        <f>IFERROR(__xludf.DUMMYFUNCTION("""COMPUTED_VALUE"""),"what data it wanted to access")</f>
        <v>what data it wanted to access</v>
      </c>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t="str">
        <f>IFERROR(__xludf.DUMMYFUNCTION("""COMPUTED_VALUE"""),"I would consider how trustworthy the 3rd party site is/has been.")</f>
        <v>I would consider how trustworthy the 3rd party site is/has been.</v>
      </c>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t="str">
        <f>IFERROR(__xludf.DUMMYFUNCTION("""COMPUTED_VALUE"""),"How important that app is to me")</f>
        <v>How important that app is to me</v>
      </c>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t="str">
        <f>IFERROR(__xludf.DUMMYFUNCTION("""COMPUTED_VALUE"""),"data shared")</f>
        <v>data shared</v>
      </c>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t="str">
        <f>IFERROR(__xludf.DUMMYFUNCTION("""COMPUTED_VALUE"""),"Privacy and where my data was going and how it was being used.")</f>
        <v>Privacy and where my data was going and how it was being used.</v>
      </c>
      <c r="C216" s="12"/>
      <c r="D216" s="12"/>
      <c r="E216" s="12"/>
      <c r="F216" s="12"/>
      <c r="G216" s="12"/>
      <c r="H216" s="12"/>
      <c r="I216" s="12"/>
      <c r="J216" s="12"/>
    </row>
    <row r="217">
      <c r="A217">
        <f>IFERROR(__xludf.DUMMYFUNCTION("""COMPUTED_VALUE"""),311.0)</f>
        <v>311</v>
      </c>
      <c r="B217" s="12" t="str">
        <f>IFERROR(__xludf.DUMMYFUNCTION("""COMPUTED_VALUE"""),"what they would have access to")</f>
        <v>what they would have access to</v>
      </c>
      <c r="C217" s="12"/>
      <c r="D217" s="12"/>
      <c r="E217" s="12"/>
      <c r="F217" s="12"/>
      <c r="G217" s="12"/>
      <c r="H217" s="12"/>
      <c r="I217" s="12"/>
      <c r="J217" s="12"/>
    </row>
    <row r="218">
      <c r="A218">
        <f>IFERROR(__xludf.DUMMYFUNCTION("""COMPUTED_VALUE"""),312.0)</f>
        <v>312</v>
      </c>
      <c r="B218" s="12" t="str">
        <f>IFERROR(__xludf.DUMMYFUNCTION("""COMPUTED_VALUE"""),"How much of my account they would have access to")</f>
        <v>How much of my account they would have access to</v>
      </c>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t="str">
        <f>IFERROR(__xludf.DUMMYFUNCTION("""COMPUTED_VALUE"""),"I would not want them to access the whole account, just what is needed. and definitely NOT my direct gmail emails")</f>
        <v>I would not want them to access the whole account, just what is needed. and definitely NOT my direct gmail emails</v>
      </c>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t="str">
        <f>IFERROR(__xludf.DUMMYFUNCTION("""COMPUTED_VALUE"""),"I would consider if I would use this feature at all. I would not be worried about security.")</f>
        <v>I would consider if I would use this feature at all. I would not be worried about security.</v>
      </c>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t="str">
        <f>IFERROR(__xludf.DUMMYFUNCTION("""COMPUTED_VALUE"""),"The necessity of the app.")</f>
        <v>The necessity of the app.</v>
      </c>
      <c r="C226" s="12"/>
      <c r="D226" s="12"/>
      <c r="E226" s="12"/>
      <c r="F226" s="12"/>
      <c r="G226" s="12"/>
      <c r="H226" s="12"/>
      <c r="I226" s="12"/>
      <c r="J226" s="12"/>
    </row>
    <row r="227">
      <c r="A227">
        <f>IFERROR(__xludf.DUMMYFUNCTION("""COMPUTED_VALUE"""),323.0)</f>
        <v>323</v>
      </c>
      <c r="B227" s="12" t="str">
        <f>IFERROR(__xludf.DUMMYFUNCTION("""COMPUTED_VALUE"""),"I would consider if it was able to send things to my contacts without my consent.")</f>
        <v>I would consider if it was able to send things to my contacts without my consent.</v>
      </c>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t="str">
        <f>IFERROR(__xludf.DUMMYFUNCTION("""COMPUTED_VALUE"""),"I would consider potential privacy concerns.")</f>
        <v>I would consider potential privacy concerns.</v>
      </c>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t="str">
        <f>IFERROR(__xludf.DUMMYFUNCTION("""COMPUTED_VALUE"""),"What parts of my account it can access (outside of its intended purpose), if it can make changes/posts without my permission or not")</f>
        <v>What parts of my account it can access (outside of its intended purpose), if it can make changes/posts without my permission or not</v>
      </c>
      <c r="C232" s="12"/>
      <c r="D232" s="12"/>
      <c r="E232" s="12"/>
      <c r="F232" s="12"/>
      <c r="G232" s="12"/>
      <c r="H232" s="12"/>
      <c r="I232" s="12"/>
      <c r="J232" s="12"/>
    </row>
    <row r="233">
      <c r="A233">
        <f>IFERROR(__xludf.DUMMYFUNCTION("""COMPUTED_VALUE"""),330.0)</f>
        <v>330</v>
      </c>
      <c r="B233" s="12" t="str">
        <f>IFERROR(__xludf.DUMMYFUNCTION("""COMPUTED_VALUE"""),"Cannot imagine anything I would do this for")</f>
        <v>Cannot imagine anything I would do this for</v>
      </c>
      <c r="C233" s="12"/>
      <c r="D233" s="12"/>
      <c r="E233" s="12"/>
      <c r="F233" s="12"/>
      <c r="G233" s="12"/>
      <c r="H233" s="12"/>
      <c r="I233" s="12"/>
      <c r="J233" s="12"/>
    </row>
    <row r="234">
      <c r="A234">
        <f>IFERROR(__xludf.DUMMYFUNCTION("""COMPUTED_VALUE"""),331.0)</f>
        <v>331</v>
      </c>
      <c r="B234" s="12" t="str">
        <f>IFERROR(__xludf.DUMMYFUNCTION("""COMPUTED_VALUE"""),"Reputation")</f>
        <v>Reputation</v>
      </c>
      <c r="C234" s="12"/>
      <c r="D234" s="12"/>
      <c r="E234" s="12"/>
      <c r="F234" s="12"/>
      <c r="G234" s="12"/>
      <c r="H234" s="12"/>
      <c r="I234" s="12"/>
      <c r="J234" s="12"/>
    </row>
    <row r="235">
      <c r="A235">
        <f>IFERROR(__xludf.DUMMYFUNCTION("""COMPUTED_VALUE"""),332.0)</f>
        <v>332</v>
      </c>
      <c r="B235" s="12" t="str">
        <f>IFERROR(__xludf.DUMMYFUNCTION("""COMPUTED_VALUE"""),"What information they would access and record, and what information Google would access and record. Also, if I would start getting emails from that place.")</f>
        <v>What information they would access and record, and what information Google would access and record. Also, if I would start getting emails from that place.</v>
      </c>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t="str">
        <f>IFERROR(__xludf.DUMMYFUNCTION("""COMPUTED_VALUE"""),"what they have access to. Sometimes apps want my location, or access to all of the files on my device, and I'm like nope.")</f>
        <v>what they have access to. Sometimes apps want my location, or access to all of the files on my device, and I'm like nope.</v>
      </c>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t="str">
        <f>IFERROR(__xludf.DUMMYFUNCTION("""COMPUTED_VALUE"""),"what other accounts are being linked")</f>
        <v>what other accounts are being linked</v>
      </c>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t="str">
        <f>IFERROR(__xludf.DUMMYFUNCTION("""COMPUTED_VALUE"""),"yes")</f>
        <v>yes</v>
      </c>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t="str">
        <f>IFERROR(__xludf.DUMMYFUNCTION("""COMPUTED_VALUE"""),"I would consider how much of my information they would be collecting")</f>
        <v>I would consider how much of my information they would be collecting</v>
      </c>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t="str">
        <f>IFERROR(__xludf.DUMMYFUNCTION("""COMPUTED_VALUE"""),"privacy and ownership of information")</f>
        <v>privacy and ownership of information</v>
      </c>
      <c r="C256" s="12"/>
      <c r="D256" s="12"/>
      <c r="E256" s="12"/>
      <c r="F256" s="12"/>
      <c r="G256" s="12"/>
      <c r="H256" s="12"/>
      <c r="I256" s="12"/>
      <c r="J256" s="12"/>
    </row>
    <row r="257">
      <c r="A257">
        <f>IFERROR(__xludf.DUMMYFUNCTION("""COMPUTED_VALUE"""),363.0)</f>
        <v>363</v>
      </c>
      <c r="B257" s="12" t="str">
        <f>IFERROR(__xludf.DUMMYFUNCTION("""COMPUTED_VALUE"""),"I would consider my privacy before granting access.")</f>
        <v>I would consider my privacy before granting access.</v>
      </c>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t="str">
        <f>IFERROR(__xludf.DUMMYFUNCTION("""COMPUTED_VALUE"""),"yes I would determine if the risk is worth it.")</f>
        <v>yes I would determine if the risk is worth it.</v>
      </c>
      <c r="C259" s="12"/>
      <c r="D259" s="12"/>
      <c r="E259" s="12"/>
      <c r="F259" s="12"/>
      <c r="G259" s="12"/>
      <c r="H259" s="12"/>
      <c r="I259" s="12"/>
      <c r="J259" s="12"/>
    </row>
    <row r="260">
      <c r="A260">
        <f>IFERROR(__xludf.DUMMYFUNCTION("""COMPUTED_VALUE"""),366.0)</f>
        <v>366</v>
      </c>
      <c r="B260" s="12" t="str">
        <f>IFERROR(__xludf.DUMMYFUNCTION("""COMPUTED_VALUE"""),"I would consider the insidious nature of the inter connectivity and the probability that I am agreeing to way more access than I realize.")</f>
        <v>I would consider the insidious nature of the inter connectivity and the probability that I am agreeing to way more access than I realize.</v>
      </c>
      <c r="C260" s="12"/>
      <c r="D260" s="12"/>
      <c r="E260" s="12"/>
      <c r="F260" s="12"/>
      <c r="G260" s="12"/>
      <c r="H260" s="12"/>
      <c r="I260" s="12"/>
      <c r="J260" s="12"/>
    </row>
    <row r="261">
      <c r="A261">
        <f>IFERROR(__xludf.DUMMYFUNCTION("""COMPUTED_VALUE"""),367.0)</f>
        <v>367</v>
      </c>
      <c r="B261" s="12" t="str">
        <f>IFERROR(__xludf.DUMMYFUNCTION("""COMPUTED_VALUE"""),"Security risks")</f>
        <v>Security risks</v>
      </c>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t="str">
        <f>IFERROR(__xludf.DUMMYFUNCTION("""COMPUTED_VALUE"""),"I would want to google it to make sure it was safe.")</f>
        <v>I would want to google it to make sure it was safe.</v>
      </c>
      <c r="C265" s="12"/>
      <c r="D265" s="12"/>
      <c r="E265" s="12"/>
      <c r="F265" s="12"/>
      <c r="G265" s="12"/>
      <c r="H265" s="12"/>
      <c r="I265" s="12"/>
      <c r="J265" s="12"/>
    </row>
    <row r="266">
      <c r="A266">
        <f>IFERROR(__xludf.DUMMYFUNCTION("""COMPUTED_VALUE"""),376.0)</f>
        <v>376</v>
      </c>
      <c r="B266" s="12" t="str">
        <f>IFERROR(__xludf.DUMMYFUNCTION("""COMPUTED_VALUE"""),"I would want there to be a method of doing so that doesn't involve using my account password.")</f>
        <v>I would want there to be a method of doing so that doesn't involve using my account password.</v>
      </c>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t="str">
        <f>IFERROR(__xludf.DUMMYFUNCTION("""COMPUTED_VALUE"""),"I would not like it if the service needed to run in the background on my phone. I would not want it to have too much personal information, such as my full name or address.")</f>
        <v>I would not like it if the service needed to run in the background on my phone. I would not want it to have too much personal information, such as my full name or address.</v>
      </c>
      <c r="C268" s="12"/>
      <c r="D268" s="12"/>
      <c r="E268" s="12"/>
      <c r="F268" s="12"/>
      <c r="G268" s="12"/>
      <c r="H268" s="12"/>
      <c r="I268" s="12"/>
      <c r="J268" s="12"/>
    </row>
    <row r="269">
      <c r="A269">
        <f>IFERROR(__xludf.DUMMYFUNCTION("""COMPUTED_VALUE"""),381.0)</f>
        <v>381</v>
      </c>
      <c r="B269" s="12" t="str">
        <f>IFERROR(__xludf.DUMMYFUNCTION("""COMPUTED_VALUE"""),"I would not consider it because I don't like the idea of an app having access to my contacts.")</f>
        <v>I would not consider it because I don't like the idea of an app having access to my contacts.</v>
      </c>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t="str">
        <f>IFERROR(__xludf.DUMMYFUNCTION("""COMPUTED_VALUE"""),"How much they are able to view of my google account and whether or not I can customize my privacy.")</f>
        <v>How much they are able to view of my google account and whether or not I can customize my privacy.</v>
      </c>
      <c r="C272" s="12"/>
      <c r="D272" s="12"/>
      <c r="E272" s="12"/>
      <c r="F272" s="12"/>
      <c r="G272" s="12"/>
      <c r="H272" s="12"/>
      <c r="I272" s="12"/>
      <c r="J272" s="12"/>
    </row>
    <row r="273">
      <c r="A273">
        <f>IFERROR(__xludf.DUMMYFUNCTION("""COMPUTED_VALUE"""),385.0)</f>
        <v>385</v>
      </c>
      <c r="B273" s="12" t="str">
        <f>IFERROR(__xludf.DUMMYFUNCTION("""COMPUTED_VALUE"""),"I would consider the potential security leaks that could come from me allowing this third-party access to my information.")</f>
        <v>I would consider the potential security leaks that could come from me allowing this third-party access to my information.</v>
      </c>
      <c r="C273" s="12"/>
      <c r="D273" s="12"/>
      <c r="E273" s="12"/>
      <c r="F273" s="12"/>
      <c r="G273" s="12"/>
      <c r="H273" s="12"/>
      <c r="I273" s="12"/>
      <c r="J273" s="12"/>
    </row>
    <row r="274">
      <c r="A274">
        <f>IFERROR(__xludf.DUMMYFUNCTION("""COMPUTED_VALUE"""),386.0)</f>
        <v>386</v>
      </c>
      <c r="B274" s="12" t="str">
        <f>IFERROR(__xludf.DUMMYFUNCTION("""COMPUTED_VALUE"""),"Whether it was convenient. My only consideration would be whether it would save time or effort.")</f>
        <v>Whether it was convenient. My only consideration would be whether it would save time or effort.</v>
      </c>
      <c r="C274" s="12"/>
      <c r="D274" s="12"/>
      <c r="E274" s="12"/>
      <c r="F274" s="12"/>
      <c r="G274" s="12"/>
      <c r="H274" s="12"/>
      <c r="I274" s="12"/>
      <c r="J274" s="12"/>
    </row>
    <row r="275">
      <c r="A275">
        <f>IFERROR(__xludf.DUMMYFUNCTION("""COMPUTED_VALUE"""),387.0)</f>
        <v>387</v>
      </c>
      <c r="B275" s="12" t="str">
        <f>IFERROR(__xludf.DUMMYFUNCTION("""COMPUTED_VALUE"""),"I would think first about whether I might be bothered by having this third party jump into my normal google functions. For example, I wouldn't want an app to mess with my google calendar when I would maybe just rather go into the app to check on its own e"&amp;"xternal calendar.")</f>
        <v>I would think first about whether I might be bothered by having this third party jump into my normal google functions. For example, I wouldn't want an app to mess with my google calendar when I would maybe just rather go into the app to check on its own external calendar.</v>
      </c>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t="str">
        <f>IFERROR(__xludf.DUMMYFUNCTION("""COMPUTED_VALUE"""),"How easy it would be to unsubcribe if I wanted to, how interested I was in the process")</f>
        <v>How easy it would be to unsubcribe if I wanted to, how interested I was in the process</v>
      </c>
      <c r="C278" s="12"/>
      <c r="D278" s="12"/>
      <c r="E278" s="12"/>
      <c r="F278" s="12"/>
      <c r="G278" s="12"/>
      <c r="H278" s="12"/>
      <c r="I278" s="12"/>
      <c r="J278" s="12"/>
    </row>
    <row r="279">
      <c r="A279">
        <f>IFERROR(__xludf.DUMMYFUNCTION("""COMPUTED_VALUE"""),392.0)</f>
        <v>392</v>
      </c>
      <c r="B279" s="12" t="str">
        <f>IFERROR(__xludf.DUMMYFUNCTION("""COMPUTED_VALUE"""),"What they would have access to and If I trust the site")</f>
        <v>What they would have access to and If I trust the site</v>
      </c>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t="str">
        <f>IFERROR(__xludf.DUMMYFUNCTION("""COMPUTED_VALUE"""),"If the information was really necessary to share or if doing so would benefit me in any way.")</f>
        <v>If the information was really necessary to share or if doing so would benefit me in any way.</v>
      </c>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t="str">
        <f>IFERROR(__xludf.DUMMYFUNCTION("""COMPUTED_VALUE"""),"no, giving them too much information")</f>
        <v>no, giving them too much information</v>
      </c>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t="str">
        <f>IFERROR(__xludf.DUMMYFUNCTION("""COMPUTED_VALUE"""),"The security and and privacy of these other apps.")</f>
        <v>The security and and privacy of these other apps.</v>
      </c>
      <c r="C285" s="12"/>
      <c r="D285" s="12"/>
      <c r="E285" s="12"/>
      <c r="F285" s="12"/>
      <c r="G285" s="12"/>
      <c r="H285" s="12"/>
      <c r="I285" s="12"/>
      <c r="J285" s="12"/>
    </row>
    <row r="286">
      <c r="A286">
        <f>IFERROR(__xludf.DUMMYFUNCTION("""COMPUTED_VALUE"""),399.0)</f>
        <v>399</v>
      </c>
      <c r="B286" s="12" t="str">
        <f>IFERROR(__xludf.DUMMYFUNCTION("""COMPUTED_VALUE"""),"Privacy and what the information is going to be used for.")</f>
        <v>Privacy and what the information is going to be used for.</v>
      </c>
      <c r="C286" s="12"/>
      <c r="D286" s="12"/>
      <c r="E286" s="12"/>
      <c r="F286" s="12"/>
      <c r="G286" s="12"/>
      <c r="H286" s="12"/>
      <c r="I286" s="12"/>
      <c r="J286" s="12"/>
    </row>
    <row r="287">
      <c r="A287">
        <f>IFERROR(__xludf.DUMMYFUNCTION("""COMPUTED_VALUE"""),400.0)</f>
        <v>400</v>
      </c>
      <c r="B287" s="12" t="str">
        <f>IFERROR(__xludf.DUMMYFUNCTION("""COMPUTED_VALUE"""),"If the scenario that you just suggested was to actually happen, I would consider giving the app access. I would like to see that Google trusts the app and suggests that you allow the access")</f>
        <v>If the scenario that you just suggested was to actually happen, I would consider giving the app access. I would like to see that Google trusts the app and suggests that you allow the access</v>
      </c>
      <c r="C287" s="12"/>
      <c r="D287" s="12"/>
      <c r="E287" s="12"/>
      <c r="F287" s="12"/>
      <c r="G287" s="12"/>
      <c r="H287" s="12"/>
      <c r="I287" s="12"/>
      <c r="J287" s="12"/>
    </row>
    <row r="288">
      <c r="A288">
        <f>IFERROR(__xludf.DUMMYFUNCTION("""COMPUTED_VALUE"""),401.0)</f>
        <v>401</v>
      </c>
      <c r="B288" s="12" t="str">
        <f>IFERROR(__xludf.DUMMYFUNCTION("""COMPUTED_VALUE"""),"If the third party is reliable. If they're likely to share my information.")</f>
        <v>If the third party is reliable. If they're likely to share my information.</v>
      </c>
      <c r="C288" s="12"/>
      <c r="D288" s="12"/>
      <c r="E288" s="12"/>
      <c r="F288" s="12"/>
      <c r="G288" s="12"/>
      <c r="H288" s="12"/>
      <c r="I288" s="12"/>
      <c r="J288" s="12"/>
    </row>
    <row r="289">
      <c r="A289">
        <f>IFERROR(__xludf.DUMMYFUNCTION("""COMPUTED_VALUE"""),402.0)</f>
        <v>402</v>
      </c>
      <c r="B289" s="12" t="str">
        <f>IFERROR(__xludf.DUMMYFUNCTION("""COMPUTED_VALUE"""),"privacy")</f>
        <v>privacy</v>
      </c>
      <c r="C289" s="12"/>
      <c r="D289" s="12"/>
      <c r="E289" s="12"/>
      <c r="F289" s="12"/>
      <c r="G289" s="12"/>
      <c r="H289" s="12"/>
      <c r="I289" s="12"/>
      <c r="J289" s="12"/>
    </row>
    <row r="290">
      <c r="A290">
        <f>IFERROR(__xludf.DUMMYFUNCTION("""COMPUTED_VALUE"""),403.0)</f>
        <v>403</v>
      </c>
      <c r="B290" s="12" t="str">
        <f>IFERROR(__xludf.DUMMYFUNCTION("""COMPUTED_VALUE"""),"no")</f>
        <v>no</v>
      </c>
      <c r="C290" s="12"/>
      <c r="D290" s="12"/>
      <c r="E290" s="12"/>
      <c r="F290" s="12"/>
      <c r="G290" s="12"/>
      <c r="H290" s="12"/>
      <c r="I290" s="12"/>
      <c r="J290" s="12"/>
    </row>
    <row r="291">
      <c r="A291">
        <f>IFERROR(__xludf.DUMMYFUNCTION("""COMPUTED_VALUE"""),404.0)</f>
        <v>404</v>
      </c>
      <c r="B291" s="12" t="str">
        <f>IFERROR(__xludf.DUMMYFUNCTION("""COMPUTED_VALUE"""),"I would consider what am I at risk of.")</f>
        <v>I would consider what am I at risk of.</v>
      </c>
      <c r="C291" s="12"/>
      <c r="D291" s="12"/>
      <c r="E291" s="12"/>
      <c r="F291" s="12"/>
      <c r="G291" s="12"/>
      <c r="H291" s="12"/>
      <c r="I291" s="12"/>
      <c r="J291" s="12"/>
    </row>
    <row r="292">
      <c r="A292">
        <f>IFERROR(__xludf.DUMMYFUNCTION("""COMPUTED_VALUE"""),405.0)</f>
        <v>405</v>
      </c>
      <c r="B292" s="12" t="str">
        <f>IFERROR(__xludf.DUMMYFUNCTION("""COMPUTED_VALUE"""),"I don't remember ever seeing an option to do it or have that come up before.")</f>
        <v>I don't remember ever seeing an option to do it or have that come up before.</v>
      </c>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t="str">
        <f>IFERROR(__xludf.DUMMYFUNCTION("""COMPUTED_VALUE"""),"whether or not it was a third-party app I felt comfortable with having my information.")</f>
        <v>whether or not it was a third-party app I felt comfortable with having my information.</v>
      </c>
      <c r="C294" s="12"/>
      <c r="D294" s="12"/>
      <c r="E294" s="12"/>
      <c r="F294" s="12"/>
      <c r="G294" s="12"/>
      <c r="H294" s="12"/>
      <c r="I294" s="12"/>
      <c r="J294" s="12"/>
    </row>
    <row r="295">
      <c r="A295">
        <f>IFERROR(__xludf.DUMMYFUNCTION("""COMPUTED_VALUE"""),408.0)</f>
        <v>408</v>
      </c>
      <c r="B295" s="12" t="str">
        <f>IFERROR(__xludf.DUMMYFUNCTION("""COMPUTED_VALUE"""),"The developers of the app in question")</f>
        <v>The developers of the app in question</v>
      </c>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t="str">
        <f>IFERROR(__xludf.DUMMYFUNCTION("""COMPUTED_VALUE"""),"I'd consider it, but it would really depend on the company behind the app.")</f>
        <v>I'd consider it, but it would really depend on the company behind the app.</v>
      </c>
      <c r="C297" s="12"/>
      <c r="D297" s="12"/>
      <c r="E297" s="12"/>
      <c r="F297" s="12"/>
      <c r="G297" s="12"/>
      <c r="H297" s="12"/>
      <c r="I297" s="12"/>
      <c r="J297" s="12"/>
    </row>
    <row r="298">
      <c r="A298">
        <f>IFERROR(__xludf.DUMMYFUNCTION("""COMPUTED_VALUE"""),413.0)</f>
        <v>413</v>
      </c>
      <c r="B298" s="12" t="str">
        <f>IFERROR(__xludf.DUMMYFUNCTION("""COMPUTED_VALUE"""),"If it were safe.")</f>
        <v>If it were safe.</v>
      </c>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t="str">
        <f>IFERROR(__xludf.DUMMYFUNCTION("""COMPUTED_VALUE"""),"Privacy and data collection which I know Google is not so good with")</f>
        <v>Privacy and data collection which I know Google is not so good with</v>
      </c>
      <c r="C302" s="12"/>
      <c r="D302" s="12"/>
      <c r="E302" s="12"/>
      <c r="F302" s="12"/>
      <c r="G302" s="12"/>
      <c r="H302" s="12"/>
      <c r="I302" s="12"/>
      <c r="J302" s="12"/>
    </row>
    <row r="303">
      <c r="A303">
        <f>IFERROR(__xludf.DUMMYFUNCTION("""COMPUTED_VALUE"""),419.0)</f>
        <v>419</v>
      </c>
      <c r="B303" s="12" t="str">
        <f>IFERROR(__xludf.DUMMYFUNCTION("""COMPUTED_VALUE"""),"I would probably consider whether it's a reputable app or if its a scam trying to steal my information. Other than that, I wouldn't think much of it.")</f>
        <v>I would probably consider whether it's a reputable app or if its a scam trying to steal my information. Other than that, I wouldn't think much of it.</v>
      </c>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t="str">
        <f>IFERROR(__xludf.DUMMYFUNCTION("""COMPUTED_VALUE"""),"viruses")</f>
        <v>viruses</v>
      </c>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t="str">
        <f>IFERROR(__xludf.DUMMYFUNCTION("""COMPUTED_VALUE"""),"How much personal information their able to retain")</f>
        <v>How much personal information their able to retain</v>
      </c>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t="str">
        <f>IFERROR(__xludf.DUMMYFUNCTION("""COMPUTED_VALUE"""),"safety and privacy concerns")</f>
        <v>safety and privacy concerns</v>
      </c>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t="str">
        <f>IFERROR(__xludf.DUMMYFUNCTION("""COMPUTED_VALUE"""),"I would consider what level of access that the app was requesting and if it seemed worth the time saved or benefits received.")</f>
        <v>I would consider what level of access that the app was requesting and if it seemed worth the time saved or benefits received.</v>
      </c>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t="str">
        <f>IFERROR(__xludf.DUMMYFUNCTION("""COMPUTED_VALUE"""),"I would be curious what the third party app would be accessing (location data, contacts, browsing history, etc...)")</f>
        <v>I would be curious what the third party app would be accessing (location data, contacts, browsing history, etc...)</v>
      </c>
      <c r="C323" s="12"/>
      <c r="D323" s="12"/>
      <c r="E323" s="12"/>
      <c r="F323" s="12"/>
      <c r="G323" s="12"/>
      <c r="H323" s="12"/>
      <c r="I323" s="12"/>
      <c r="J323" s="12"/>
    </row>
    <row r="324">
      <c r="A324">
        <f>IFERROR(__xludf.DUMMYFUNCTION("""COMPUTED_VALUE"""),449.0)</f>
        <v>449</v>
      </c>
      <c r="B324" s="12" t="str">
        <f>IFERROR(__xludf.DUMMYFUNCTION("""COMPUTED_VALUE"""),"i mean i might. kinda feels weird like maybe that's too much of them being in my personal data but then again if they really wanted to they'd find a way to get it anyways. doesn't google make money off selling our info?")</f>
        <v>i mean i might. kinda feels weird like maybe that's too much of them being in my personal data but then again if they really wanted to they'd find a way to get it anyways. doesn't google make money off selling our info?</v>
      </c>
      <c r="C324" s="12"/>
      <c r="D324" s="12"/>
      <c r="E324" s="12"/>
      <c r="F324" s="12"/>
      <c r="G324" s="12"/>
      <c r="H324" s="12"/>
      <c r="I324" s="12"/>
      <c r="J324" s="12"/>
    </row>
    <row r="325">
      <c r="A325">
        <f>IFERROR(__xludf.DUMMYFUNCTION("""COMPUTED_VALUE"""),450.0)</f>
        <v>450</v>
      </c>
      <c r="B325" s="12" t="str">
        <f>IFERROR(__xludf.DUMMYFUNCTION("""COMPUTED_VALUE"""),"I would consider what exact information the app wanted from my Google account and if I was comfortable giving the app that information.")</f>
        <v>I would consider what exact information the app wanted from my Google account and if I was comfortable giving the app that information.</v>
      </c>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t="str">
        <f>IFERROR(__xludf.DUMMYFUNCTION("""COMPUTED_VALUE"""),"security and i wuldnt do it")</f>
        <v>security and i wuldnt do it</v>
      </c>
      <c r="C327" s="12"/>
      <c r="D327" s="12"/>
      <c r="E327" s="12"/>
      <c r="F327" s="12"/>
      <c r="G327" s="12"/>
      <c r="H327" s="12"/>
      <c r="I327" s="12"/>
      <c r="J327" s="12"/>
    </row>
    <row r="328">
      <c r="A328">
        <f>IFERROR(__xludf.DUMMYFUNCTION("""COMPUTED_VALUE"""),455.0)</f>
        <v>455</v>
      </c>
      <c r="B328" s="12" t="str">
        <f>IFERROR(__xludf.DUMMYFUNCTION("""COMPUTED_VALUE"""),"I would think about whether I was comfortable opening portions of my Gmail data to that app.")</f>
        <v>I would think about whether I was comfortable opening portions of my Gmail data to that app.</v>
      </c>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t="str">
        <f>IFERROR(__xludf.DUMMYFUNCTION("""COMPUTED_VALUE"""),"if it was secure and wouldn't store my personal data")</f>
        <v>if it was secure and wouldn't store my personal data</v>
      </c>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t="str">
        <f>IFERROR(__xludf.DUMMYFUNCTION("""COMPUTED_VALUE"""),"what information it wanted and whether it was worth sharing.")</f>
        <v>what information it wanted and whether it was worth sharing.</v>
      </c>
      <c r="C340" s="12"/>
      <c r="D340" s="12"/>
      <c r="E340" s="12"/>
      <c r="F340" s="12"/>
      <c r="G340" s="12"/>
      <c r="H340" s="12"/>
      <c r="I340" s="12"/>
      <c r="J340" s="12"/>
    </row>
    <row r="341">
      <c r="A341">
        <f>IFERROR(__xludf.DUMMYFUNCTION("""COMPUTED_VALUE"""),471.0)</f>
        <v>471</v>
      </c>
      <c r="B341" s="12" t="str">
        <f>IFERROR(__xludf.DUMMYFUNCTION("""COMPUTED_VALUE"""),"As long as they are not taking information that can harm me, I am okay with them having access.")</f>
        <v>As long as they are not taking information that can harm me, I am okay with them having access.</v>
      </c>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t="str">
        <f>IFERROR(__xludf.DUMMYFUNCTION("""COMPUTED_VALUE"""),"Which app I am granting access to.")</f>
        <v>Which app I am granting access to.</v>
      </c>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t="str">
        <f>IFERROR(__xludf.DUMMYFUNCTION("""COMPUTED_VALUE"""),"how much access it has that does not require my permission")</f>
        <v>how much access it has that does not require my permission</v>
      </c>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t="str">
        <f>IFERROR(__xludf.DUMMYFUNCTION("""COMPUTED_VALUE"""),"I would consider if it were easier to sign in with my google account or just simply create an account through the platform.")</f>
        <v>I would consider if it were easier to sign in with my google account or just simply create an account through the platform.</v>
      </c>
      <c r="C349" s="12"/>
      <c r="D349" s="12"/>
      <c r="E349" s="12"/>
      <c r="F349" s="12"/>
      <c r="G349" s="12"/>
      <c r="H349" s="12"/>
      <c r="I349" s="12"/>
      <c r="J349" s="12"/>
    </row>
    <row r="350">
      <c r="A350">
        <f>IFERROR(__xludf.DUMMYFUNCTION("""COMPUTED_VALUE"""),485.0)</f>
        <v>485</v>
      </c>
      <c r="B350" s="12" t="str">
        <f>IFERROR(__xludf.DUMMYFUNCTION("""COMPUTED_VALUE"""),"About using data from my account that I would not normally feel comfortable giving out. An example of this is how often I would resubscribe to protein powder deliveries.")</f>
        <v>About using data from my account that I would not normally feel comfortable giving out. An example of this is how often I would resubscribe to protein powder deliveries.</v>
      </c>
      <c r="C350" s="12"/>
      <c r="D350" s="12"/>
      <c r="E350" s="12"/>
      <c r="F350" s="12"/>
      <c r="G350" s="12"/>
      <c r="H350" s="12"/>
      <c r="I350" s="12"/>
      <c r="J350" s="12"/>
    </row>
    <row r="351">
      <c r="A351">
        <f>IFERROR(__xludf.DUMMYFUNCTION("""COMPUTED_VALUE"""),486.0)</f>
        <v>486</v>
      </c>
      <c r="B351" s="12" t="str">
        <f>IFERROR(__xludf.DUMMYFUNCTION("""COMPUTED_VALUE"""),"I would consider if the third party was reputable and if the connection would be secure and safe.")</f>
        <v>I would consider if the third party was reputable and if the connection would be secure and safe.</v>
      </c>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t="str">
        <f>IFERROR(__xludf.DUMMYFUNCTION("""COMPUTED_VALUE"""),"I would consider what information it was accessing on my account.")</f>
        <v>I would consider what information it was accessing on my account.</v>
      </c>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t="str">
        <f>IFERROR(__xludf.DUMMYFUNCTION("""COMPUTED_VALUE"""),"no")</f>
        <v>no</v>
      </c>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t="str">
        <f>IFERROR(__xludf.DUMMYFUNCTION("""COMPUTED_VALUE"""),"The same as I said last time, my information spreading. Also, I know Google tracks EVERYTHING.")</f>
        <v>The same as I said last time, my information spreading. Also, I know Google tracks EVERYTHING.</v>
      </c>
      <c r="C363" s="12"/>
      <c r="D363" s="12"/>
      <c r="E363" s="12"/>
      <c r="F363" s="12"/>
      <c r="G363" s="12"/>
      <c r="H363" s="12"/>
      <c r="I363" s="12"/>
      <c r="J363" s="12"/>
    </row>
    <row r="364">
      <c r="A364">
        <f>IFERROR(__xludf.DUMMYFUNCTION("""COMPUTED_VALUE"""),503.0)</f>
        <v>503</v>
      </c>
      <c r="B364" s="12" t="str">
        <f>IFERROR(__xludf.DUMMYFUNCTION("""COMPUTED_VALUE"""),"My media and information that is connected to my Google account.")</f>
        <v>My media and information that is connected to my Google account.</v>
      </c>
      <c r="C364" s="12"/>
      <c r="D364" s="12"/>
      <c r="E364" s="12"/>
      <c r="F364" s="12"/>
      <c r="G364" s="12"/>
      <c r="H364" s="12"/>
      <c r="I364" s="12"/>
      <c r="J364" s="12"/>
    </row>
    <row r="365">
      <c r="A365">
        <f>IFERROR(__xludf.DUMMYFUNCTION("""COMPUTED_VALUE"""),504.0)</f>
        <v>504</v>
      </c>
      <c r="B365" s="12" t="str">
        <f>IFERROR(__xludf.DUMMYFUNCTION("""COMPUTED_VALUE"""),"If it was something I was doing because it is necessary or because I want to save time.")</f>
        <v>If it was something I was doing because it is necessary or because I want to save time.</v>
      </c>
      <c r="C365" s="12"/>
      <c r="D365" s="12"/>
      <c r="E365" s="12"/>
      <c r="F365" s="12"/>
      <c r="G365" s="12"/>
      <c r="H365" s="12"/>
      <c r="I365" s="12"/>
      <c r="J365" s="12"/>
    </row>
    <row r="366">
      <c r="A366">
        <f>IFERROR(__xludf.DUMMYFUNCTION("""COMPUTED_VALUE"""),505.0)</f>
        <v>505</v>
      </c>
      <c r="B366" s="12" t="str">
        <f>IFERROR(__xludf.DUMMYFUNCTION("""COMPUTED_VALUE"""),"The reputation of the service and the personal data it would be able to access.")</f>
        <v>The reputation of the service and the personal data it would be able to access.</v>
      </c>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t="str">
        <f>IFERROR(__xludf.DUMMYFUNCTION("""COMPUTED_VALUE"""),"How many things they had access to and what permissions (could they see my data, etc)")</f>
        <v>How many things they had access to and what permissions (could they see my data, etc)</v>
      </c>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t="str">
        <f>IFERROR(__xludf.DUMMYFUNCTION("""COMPUTED_VALUE"""),"Whether or not it's asking for access of too much personal information or asking for access for stuff not related to the app.")</f>
        <v>Whether or not it's asking for access of too much personal information or asking for access for stuff not related to the app.</v>
      </c>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t="str">
        <f>IFERROR(__xludf.DUMMYFUNCTION("""COMPUTED_VALUE"""),"I'd consider if the information I'd give them could pose a security risk")</f>
        <v>I'd consider if the information I'd give them could pose a security risk</v>
      </c>
      <c r="C375" s="12"/>
      <c r="D375" s="12"/>
      <c r="E375" s="12"/>
      <c r="F375" s="12"/>
      <c r="G375" s="12"/>
      <c r="H375" s="12"/>
      <c r="I375" s="12"/>
      <c r="J375" s="12"/>
    </row>
    <row r="376">
      <c r="A376">
        <f>IFERROR(__xludf.DUMMYFUNCTION("""COMPUTED_VALUE"""),516.0)</f>
        <v>516</v>
      </c>
      <c r="B376" s="12" t="str">
        <f>IFERROR(__xludf.DUMMYFUNCTION("""COMPUTED_VALUE"""),"What sensitive information it would gain access to and how safe it would be that it does not get compromised.")</f>
        <v>What sensitive information it would gain access to and how safe it would be that it does not get compromised.</v>
      </c>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t="str">
        <f>IFERROR(__xludf.DUMMYFUNCTION("""COMPUTED_VALUE"""),"Making sure that it doesn't mess up anything else that I have going on via my Google Account, such as additional spam or taking up extra storage space")</f>
        <v>Making sure that it doesn't mess up anything else that I have going on via my Google Account, such as additional spam or taking up extra storage space</v>
      </c>
      <c r="C386" s="12"/>
      <c r="D386" s="12"/>
      <c r="E386" s="12"/>
      <c r="F386" s="12"/>
      <c r="G386" s="12"/>
      <c r="H386" s="12"/>
      <c r="I386" s="12"/>
      <c r="J386" s="12"/>
    </row>
    <row r="387">
      <c r="A387">
        <f>IFERROR(__xludf.DUMMYFUNCTION("""COMPUTED_VALUE"""),532.0)</f>
        <v>532</v>
      </c>
      <c r="B387" s="12" t="str">
        <f>IFERROR(__xludf.DUMMYFUNCTION("""COMPUTED_VALUE"""),"I would consider the reputability of the third-party app and how my information may be stored or used, and I'd consider whether or not I have any alternatives to granting this access.")</f>
        <v>I would consider the reputability of the third-party app and how my information may be stored or used, and I'd consider whether or not I have any alternatives to granting this access.</v>
      </c>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t="str">
        <f>IFERROR(__xludf.DUMMYFUNCTION("""COMPUTED_VALUE"""),"The source of the app and if I was familiar with it.")</f>
        <v>The source of the app and if I was familiar with it.</v>
      </c>
      <c r="C391" s="12"/>
      <c r="D391" s="12"/>
      <c r="E391" s="12"/>
      <c r="F391" s="12"/>
      <c r="G391" s="12"/>
      <c r="H391" s="12"/>
      <c r="I391" s="12"/>
      <c r="J391" s="12"/>
    </row>
    <row r="392">
      <c r="A392">
        <f>IFERROR(__xludf.DUMMYFUNCTION("""COMPUTED_VALUE"""),539.0)</f>
        <v>539</v>
      </c>
      <c r="B392" s="12" t="str">
        <f>IFERROR(__xludf.DUMMYFUNCTION("""COMPUTED_VALUE"""),"No")</f>
        <v>No</v>
      </c>
      <c r="C392" s="12"/>
      <c r="D392" s="12"/>
      <c r="E392" s="12"/>
      <c r="F392" s="12"/>
      <c r="G392" s="12"/>
      <c r="H392" s="12"/>
      <c r="I392" s="12"/>
      <c r="J392" s="12"/>
    </row>
    <row r="393">
      <c r="A393">
        <f>IFERROR(__xludf.DUMMYFUNCTION("""COMPUTED_VALUE"""),540.0)</f>
        <v>540</v>
      </c>
      <c r="B393" s="12" t="str">
        <f>IFERROR(__xludf.DUMMYFUNCTION("""COMPUTED_VALUE"""),"What the third-party app would have access to.")</f>
        <v>What the third-party app would have access to.</v>
      </c>
      <c r="C393" s="12"/>
      <c r="D393" s="12"/>
      <c r="E393" s="12"/>
      <c r="F393" s="12"/>
      <c r="G393" s="12"/>
      <c r="H393" s="12"/>
      <c r="I393" s="12"/>
      <c r="J393" s="12"/>
    </row>
    <row r="394">
      <c r="A394">
        <f>IFERROR(__xludf.DUMMYFUNCTION("""COMPUTED_VALUE"""),542.0)</f>
        <v>542</v>
      </c>
      <c r="B394" s="12" t="str">
        <f>IFERROR(__xludf.DUMMYFUNCTION("""COMPUTED_VALUE"""),"I would want to make sure what the app has access to is not too personal.")</f>
        <v>I would want to make sure what the app has access to is not too personal.</v>
      </c>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t="str">
        <f>IFERROR(__xludf.DUMMYFUNCTION("""COMPUTED_VALUE"""),"I would consider the possibility of my information being obtained.")</f>
        <v>I would consider the possibility of my information being obtained.</v>
      </c>
      <c r="C397" s="12"/>
      <c r="D397" s="12"/>
      <c r="E397" s="12"/>
      <c r="F397" s="12"/>
      <c r="G397" s="12"/>
      <c r="H397" s="12"/>
      <c r="I397" s="12"/>
      <c r="J397" s="12"/>
    </row>
    <row r="398">
      <c r="A398">
        <f>IFERROR(__xludf.DUMMYFUNCTION("""COMPUTED_VALUE"""),547.0)</f>
        <v>547</v>
      </c>
      <c r="B398" s="12" t="str">
        <f>IFERROR(__xludf.DUMMYFUNCTION("""COMPUTED_VALUE"""),"I would consider if the app would keep my data for later use.")</f>
        <v>I would consider if the app would keep my data for later use.</v>
      </c>
      <c r="C398" s="12"/>
      <c r="D398" s="12"/>
      <c r="E398" s="12"/>
      <c r="F398" s="12"/>
      <c r="G398" s="12"/>
      <c r="H398" s="12"/>
      <c r="I398" s="12"/>
      <c r="J398" s="12"/>
    </row>
    <row r="399">
      <c r="A399">
        <f>IFERROR(__xludf.DUMMYFUNCTION("""COMPUTED_VALUE"""),548.0)</f>
        <v>548</v>
      </c>
      <c r="B399" s="12" t="str">
        <f>IFERROR(__xludf.DUMMYFUNCTION("""COMPUTED_VALUE"""),"I would consider how secure the app is, I wouldn't want my information compromised. I also would consider the type of request, and how relevant it is to the usage of the app.")</f>
        <v>I would consider how secure the app is, I wouldn't want my information compromised. I also would consider the type of request, and how relevant it is to the usage of the app.</v>
      </c>
      <c r="C399" s="12"/>
      <c r="D399" s="12"/>
      <c r="E399" s="12"/>
      <c r="F399" s="12"/>
      <c r="G399" s="12"/>
      <c r="H399" s="12"/>
      <c r="I399" s="12"/>
      <c r="J399" s="12"/>
    </row>
    <row r="400">
      <c r="A400">
        <f>IFERROR(__xludf.DUMMYFUNCTION("""COMPUTED_VALUE"""),549.0)</f>
        <v>549</v>
      </c>
      <c r="B400" s="12" t="str">
        <f>IFERROR(__xludf.DUMMYFUNCTION("""COMPUTED_VALUE"""),"How secure is this? What will they do with my information? Why do they need the information?")</f>
        <v>How secure is this? What will they do with my information? Why do they need the information?</v>
      </c>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t="str">
        <f>IFERROR(__xludf.DUMMYFUNCTION("""COMPUTED_VALUE"""),"What type of information is shared, and why. Do I have control over what is shared?")</f>
        <v>What type of information is shared, and why. Do I have control over what is shared?</v>
      </c>
      <c r="C404" s="12"/>
      <c r="D404" s="12"/>
      <c r="E404" s="12"/>
      <c r="F404" s="12"/>
      <c r="G404" s="12"/>
      <c r="H404" s="12"/>
      <c r="I404" s="12"/>
      <c r="J404" s="12"/>
    </row>
    <row r="405">
      <c r="A405">
        <f>IFERROR(__xludf.DUMMYFUNCTION("""COMPUTED_VALUE"""),555.0)</f>
        <v>555</v>
      </c>
      <c r="B405" s="12" t="str">
        <f>IFERROR(__xludf.DUMMYFUNCTION("""COMPUTED_VALUE"""),"I would consider how useful it would be. I wouldn't give a third-party app access to something that doesn't make sense, such as one that needs to use my contacts but shouldn't be able to use my calendar.")</f>
        <v>I would consider how useful it would be. I wouldn't give a third-party app access to something that doesn't make sense, such as one that needs to use my contacts but shouldn't be able to use my calendar.</v>
      </c>
      <c r="C405" s="12"/>
      <c r="D405" s="12"/>
      <c r="E405" s="12"/>
      <c r="F405" s="12"/>
      <c r="G405" s="12"/>
      <c r="H405" s="12"/>
      <c r="I405" s="12"/>
      <c r="J405" s="12"/>
    </row>
    <row r="406">
      <c r="A406">
        <f>IFERROR(__xludf.DUMMYFUNCTION("""COMPUTED_VALUE"""),556.0)</f>
        <v>556</v>
      </c>
      <c r="B406" s="12" t="str">
        <f>IFERROR(__xludf.DUMMYFUNCTION("""COMPUTED_VALUE"""),"I would consider what information is being taken from me as well as the benefits of using a third-party app.")</f>
        <v>I would consider what information is being taken from me as well as the benefits of using a third-party app.</v>
      </c>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t="str">
        <f>IFERROR(__xludf.DUMMYFUNCTION("""COMPUTED_VALUE"""),"Yes")</f>
        <v>Yes</v>
      </c>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t="str">
        <f>IFERROR(__xludf.DUMMYFUNCTION("""COMPUTED_VALUE"""),"What permissions they ask for and what info they retain")</f>
        <v>What permissions they ask for and what info they retain</v>
      </c>
      <c r="C416" s="12"/>
      <c r="D416" s="12"/>
      <c r="E416" s="12"/>
      <c r="F416" s="12"/>
      <c r="G416" s="12"/>
      <c r="H416" s="12"/>
      <c r="I416" s="12"/>
      <c r="J416" s="12"/>
    </row>
    <row r="417">
      <c r="A417">
        <f>IFERROR(__xludf.DUMMYFUNCTION("""COMPUTED_VALUE"""),575.0)</f>
        <v>575</v>
      </c>
      <c r="B417" s="12" t="str">
        <f>IFERROR(__xludf.DUMMYFUNCTION("""COMPUTED_VALUE"""),"I would consider what I am willing to share and how much I want this app to know about myself. I would think about the security aspect of the company as well.")</f>
        <v>I would consider what I am willing to share and how much I want this app to know about myself. I would think about the security aspect of the company as well.</v>
      </c>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t="str">
        <f>IFERROR(__xludf.DUMMYFUNCTION("""COMPUTED_VALUE"""),"if it is safe")</f>
        <v>if it is safe</v>
      </c>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t="str">
        <f>IFERROR(__xludf.DUMMYFUNCTION("""COMPUTED_VALUE"""),"What they will use my information for")</f>
        <v>What they will use my information for</v>
      </c>
      <c r="C422" s="12"/>
      <c r="D422" s="12"/>
      <c r="E422" s="12"/>
      <c r="F422" s="12"/>
      <c r="G422" s="12"/>
      <c r="H422" s="12"/>
      <c r="I422" s="12"/>
      <c r="J422" s="12"/>
    </row>
    <row r="423">
      <c r="A423">
        <f>IFERROR(__xludf.DUMMYFUNCTION("""COMPUTED_VALUE"""),585.0)</f>
        <v>585</v>
      </c>
      <c r="B423" s="12" t="str">
        <f>IFERROR(__xludf.DUMMYFUNCTION("""COMPUTED_VALUE"""),"what permissions it asks for, online reviews, security")</f>
        <v>what permissions it asks for, online reviews, security</v>
      </c>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t="str">
        <f>IFERROR(__xludf.DUMMYFUNCTION("""COMPUTED_VALUE"""),"Permissions")</f>
        <v>Permissions</v>
      </c>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t="str">
        <f>IFERROR(__xludf.DUMMYFUNCTION("""COMPUTED_VALUE"""),"Data /personal information exploitation.")</f>
        <v>Data /personal information exploitation.</v>
      </c>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t="str">
        <f>IFERROR(__xludf.DUMMYFUNCTION("""COMPUTED_VALUE"""),"The privacy settings")</f>
        <v>The privacy settings</v>
      </c>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IFERROR(__xludf.DUMMYFUNCTION("QUERY({'S13 (secondary)'!C2:C1000;'S13 (secondary)'!D2:D1000;'S13 (secondary)'!E2:E1000;'S13 (secondary)'!F2:F1000;'S13 (secondary)'!G2:G1000;'S13 (secondary)'!H2:H1000;'S13 (secondary)'!I2:I1000;'S13 (secondary)'!J2:J1000;'S13 (secondary)'!K2:K1000}, ""s"&amp;"elect Col1, count(Col1) where Col1 is not null group by Col1 order by Col1 asc"")"),"")</f>
        <v/>
      </c>
      <c r="B2" s="34" t="str">
        <f>IFERROR(__xludf.DUMMYFUNCTION("""COMPUTED_VALUE"""),"count ")</f>
        <v>count </v>
      </c>
      <c r="C2" s="34"/>
      <c r="D2" s="34"/>
      <c r="E2" s="34" t="str">
        <f>IFERROR(__xludf.DUMMYFUNCTION("QUERY({'S13 (primary)'!C2:C1000;'S13 (primary)'!D2:D1000;'S13 (primary)'!E2:E1000;'S13 (primary)'!F2:F1000;'S13 (primary)'!G2:G1000;'S13 (primary)'!H2:H1000;'S13 (primary)'!I2:I1000;'S13 (primary)'!J2:J1000;'S13 (primary)'!K2:K1000}, ""select Col1, count("&amp;"Col1) where Col1 is not null and not Col1 contains '-&gt;' group by Col1 order by count(Col1) asc"")"),"")</f>
        <v/>
      </c>
      <c r="F2" s="34" t="str">
        <f>IFERROR(__xludf.DUMMYFUNCTION("""COMPUTED_VALUE"""),"count ")</f>
        <v>count </v>
      </c>
    </row>
    <row r="3">
      <c r="A3" t="str">
        <f>IFERROR(__xludf.DUMMYFUNCTION("""COMPUTED_VALUE"""),"ease_of_use")</f>
        <v>ease_of_use</v>
      </c>
      <c r="B3">
        <f>IFERROR(__xludf.DUMMYFUNCTION("""COMPUTED_VALUE"""),3.0)</f>
        <v>3</v>
      </c>
      <c r="E3" t="str">
        <f>IFERROR(__xludf.DUMMYFUNCTION("""COMPUTED_VALUE"""),"access_to_mobile_device")</f>
        <v>access_to_mobile_device</v>
      </c>
      <c r="F3">
        <f>IFERROR(__xludf.DUMMYFUNCTION("""COMPUTED_VALUE"""),1.0)</f>
        <v>1</v>
      </c>
    </row>
    <row r="4">
      <c r="A4" t="str">
        <f>IFERROR(__xludf.DUMMYFUNCTION("""COMPUTED_VALUE"""),"ease_of_use-&gt;access_removal")</f>
        <v>ease_of_use-&gt;access_removal</v>
      </c>
      <c r="B4">
        <f>IFERROR(__xludf.DUMMYFUNCTION("""COMPUTED_VALUE"""),2.0)</f>
        <v>2</v>
      </c>
      <c r="E4" t="str">
        <f>IFERROR(__xludf.DUMMYFUNCTION("""COMPUTED_VALUE"""),"convenience")</f>
        <v>convenience</v>
      </c>
      <c r="F4">
        <f>IFERROR(__xludf.DUMMYFUNCTION("""COMPUTED_VALUE"""),1.0)</f>
        <v>1</v>
      </c>
    </row>
    <row r="5">
      <c r="A5" t="str">
        <f>IFERROR(__xludf.DUMMYFUNCTION("""COMPUTED_VALUE"""),"ease_of_use-&gt;sign_in_process")</f>
        <v>ease_of_use-&gt;sign_in_process</v>
      </c>
      <c r="B5">
        <f>IFERROR(__xludf.DUMMYFUNCTION("""COMPUTED_VALUE"""),1.0)</f>
        <v>1</v>
      </c>
      <c r="E5" t="str">
        <f>IFERROR(__xludf.DUMMYFUNCTION("""COMPUTED_VALUE"""),"cost")</f>
        <v>cost</v>
      </c>
      <c r="F5">
        <f>IFERROR(__xludf.DUMMYFUNCTION("""COMPUTED_VALUE"""),1.0)</f>
        <v>1</v>
      </c>
    </row>
    <row r="6">
      <c r="A6" t="str">
        <f>IFERROR(__xludf.DUMMYFUNCTION("""COMPUTED_VALUE"""),"is_app_useful")</f>
        <v>is_app_useful</v>
      </c>
      <c r="B6">
        <f>IFERROR(__xludf.DUMMYFUNCTION("""COMPUTED_VALUE"""),2.0)</f>
        <v>2</v>
      </c>
      <c r="E6" t="str">
        <f>IFERROR(__xludf.DUMMYFUNCTION("""COMPUTED_VALUE"""),"location_tracking")</f>
        <v>location_tracking</v>
      </c>
      <c r="F6">
        <f>IFERROR(__xludf.DUMMYFUNCTION("""COMPUTED_VALUE"""),1.0)</f>
        <v>1</v>
      </c>
    </row>
    <row r="7">
      <c r="A7" t="str">
        <f>IFERROR(__xludf.DUMMYFUNCTION("""COMPUTED_VALUE"""),"is_trusted")</f>
        <v>is_trusted</v>
      </c>
      <c r="B7">
        <f>IFERROR(__xludf.DUMMYFUNCTION("""COMPUTED_VALUE"""),8.0)</f>
        <v>8</v>
      </c>
      <c r="E7" t="str">
        <f>IFERROR(__xludf.DUMMYFUNCTION("""COMPUTED_VALUE"""),"online_reviews")</f>
        <v>online_reviews</v>
      </c>
      <c r="F7">
        <f>IFERROR(__xludf.DUMMYFUNCTION("""COMPUTED_VALUE"""),1.0)</f>
        <v>1</v>
      </c>
    </row>
    <row r="8">
      <c r="A8" t="str">
        <f>IFERROR(__xludf.DUMMYFUNCTION("""COMPUTED_VALUE"""),"is_trusted-&gt;app")</f>
        <v>is_trusted-&gt;app</v>
      </c>
      <c r="B8">
        <f>IFERROR(__xludf.DUMMYFUNCTION("""COMPUTED_VALUE"""),5.0)</f>
        <v>5</v>
      </c>
      <c r="E8" t="str">
        <f>IFERROR(__xludf.DUMMYFUNCTION("""COMPUTED_VALUE"""),"unconcerned")</f>
        <v>unconcerned</v>
      </c>
      <c r="F8">
        <f>IFERROR(__xludf.DUMMYFUNCTION("""COMPUTED_VALUE"""),1.0)</f>
        <v>1</v>
      </c>
    </row>
    <row r="9">
      <c r="A9" t="str">
        <f>IFERROR(__xludf.DUMMYFUNCTION("""COMPUTED_VALUE"""),"is_trusted-&gt;company")</f>
        <v>is_trusted-&gt;company</v>
      </c>
      <c r="B9">
        <f>IFERROR(__xludf.DUMMYFUNCTION("""COMPUTED_VALUE"""),1.0)</f>
        <v>1</v>
      </c>
      <c r="E9" t="str">
        <f>IFERROR(__xludf.DUMMYFUNCTION("""COMPUTED_VALUE"""),"other_options")</f>
        <v>other_options</v>
      </c>
      <c r="F9">
        <f>IFERROR(__xludf.DUMMYFUNCTION("""COMPUTED_VALUE"""),2.0)</f>
        <v>2</v>
      </c>
    </row>
    <row r="10">
      <c r="A10" t="str">
        <f>IFERROR(__xludf.DUMMYFUNCTION("""COMPUTED_VALUE"""),"is_trusted-&gt;website")</f>
        <v>is_trusted-&gt;website</v>
      </c>
      <c r="B10">
        <f>IFERROR(__xludf.DUMMYFUNCTION("""COMPUTED_VALUE"""),1.0)</f>
        <v>1</v>
      </c>
      <c r="E10" t="str">
        <f>IFERROR(__xludf.DUMMYFUNCTION("""COMPUTED_VALUE"""),"unsure")</f>
        <v>unsure</v>
      </c>
      <c r="F10">
        <f>IFERROR(__xludf.DUMMYFUNCTION("""COMPUTED_VALUE"""),3.0)</f>
        <v>3</v>
      </c>
    </row>
    <row r="11">
      <c r="A11" t="str">
        <f>IFERROR(__xludf.DUMMYFUNCTION("""COMPUTED_VALUE"""),"nothing")</f>
        <v>nothing</v>
      </c>
      <c r="B11">
        <f>IFERROR(__xludf.DUMMYFUNCTION("""COMPUTED_VALUE"""),1.0)</f>
        <v>1</v>
      </c>
      <c r="E11" t="str">
        <f>IFERROR(__xludf.DUMMYFUNCTION("""COMPUTED_VALUE"""),"transfer_of_trust")</f>
        <v>transfer_of_trust</v>
      </c>
      <c r="F11">
        <f>IFERROR(__xludf.DUMMYFUNCTION("""COMPUTED_VALUE"""),4.0)</f>
        <v>4</v>
      </c>
    </row>
    <row r="12">
      <c r="A12" t="str">
        <f>IFERROR(__xludf.DUMMYFUNCTION("""COMPUTED_VALUE"""),"other_options")</f>
        <v>other_options</v>
      </c>
      <c r="B12">
        <f>IFERROR(__xludf.DUMMYFUNCTION("""COMPUTED_VALUE"""),1.0)</f>
        <v>1</v>
      </c>
      <c r="E12" t="str">
        <f>IFERROR(__xludf.DUMMYFUNCTION("""COMPUTED_VALUE"""),"ease_of_use")</f>
        <v>ease_of_use</v>
      </c>
      <c r="F12">
        <f>IFERROR(__xludf.DUMMYFUNCTION("""COMPUTED_VALUE"""),5.0)</f>
        <v>5</v>
      </c>
    </row>
    <row r="13">
      <c r="A13" t="str">
        <f>IFERROR(__xludf.DUMMYFUNCTION("""COMPUTED_VALUE"""),"other_options-&gt;use_without_sign_in")</f>
        <v>other_options-&gt;use_without_sign_in</v>
      </c>
      <c r="B13">
        <f>IFERROR(__xludf.DUMMYFUNCTION("""COMPUTED_VALUE"""),1.0)</f>
        <v>1</v>
      </c>
      <c r="E13" t="str">
        <f>IFERROR(__xludf.DUMMYFUNCTION("""COMPUTED_VALUE"""),"tradeoff")</f>
        <v>tradeoff</v>
      </c>
      <c r="F13">
        <f>IFERROR(__xludf.DUMMYFUNCTION("""COMPUTED_VALUE"""),5.0)</f>
        <v>5</v>
      </c>
    </row>
    <row r="14">
      <c r="A14" t="str">
        <f>IFERROR(__xludf.DUMMYFUNCTION("""COMPUTED_VALUE"""),"permissions")</f>
        <v>permissions</v>
      </c>
      <c r="B14">
        <f>IFERROR(__xludf.DUMMYFUNCTION("""COMPUTED_VALUE"""),8.0)</f>
        <v>8</v>
      </c>
      <c r="E14" t="str">
        <f>IFERROR(__xludf.DUMMYFUNCTION("""COMPUTED_VALUE"""),"unknowns")</f>
        <v>unknowns</v>
      </c>
      <c r="F14">
        <f>IFERROR(__xludf.DUMMYFUNCTION("""COMPUTED_VALUE"""),5.0)</f>
        <v>5</v>
      </c>
    </row>
    <row r="15">
      <c r="A15" t="str">
        <f>IFERROR(__xludf.DUMMYFUNCTION("""COMPUTED_VALUE"""),"permissions-&gt;access")</f>
        <v>permissions-&gt;access</v>
      </c>
      <c r="B15">
        <f>IFERROR(__xludf.DUMMYFUNCTION("""COMPUTED_VALUE"""),1.0)</f>
        <v>1</v>
      </c>
      <c r="E15" t="str">
        <f>IFERROR(__xludf.DUMMYFUNCTION("""COMPUTED_VALUE"""),"unwanted_emails")</f>
        <v>unwanted_emails</v>
      </c>
      <c r="F15">
        <f>IFERROR(__xludf.DUMMYFUNCTION("""COMPUTED_VALUE"""),5.0)</f>
        <v>5</v>
      </c>
    </row>
    <row r="16">
      <c r="A16" t="str">
        <f>IFERROR(__xludf.DUMMYFUNCTION("""COMPUTED_VALUE"""),"permissions-&gt;calendar")</f>
        <v>permissions-&gt;calendar</v>
      </c>
      <c r="B16">
        <f>IFERROR(__xludf.DUMMYFUNCTION("""COMPUTED_VALUE"""),1.0)</f>
        <v>1</v>
      </c>
      <c r="E16" t="str">
        <f>IFERROR(__xludf.DUMMYFUNCTION("""COMPUTED_VALUE"""),"nothing")</f>
        <v>nothing</v>
      </c>
      <c r="F16">
        <f>IFERROR(__xludf.DUMMYFUNCTION("""COMPUTED_VALUE"""),10.0)</f>
        <v>10</v>
      </c>
    </row>
    <row r="17">
      <c r="A17" t="str">
        <f>IFERROR(__xludf.DUMMYFUNCTION("""COMPUTED_VALUE"""),"permissions-&gt;email_access")</f>
        <v>permissions-&gt;email_access</v>
      </c>
      <c r="B17">
        <f>IFERROR(__xludf.DUMMYFUNCTION("""COMPUTED_VALUE"""),1.0)</f>
        <v>1</v>
      </c>
      <c r="E17" t="str">
        <f>IFERROR(__xludf.DUMMYFUNCTION("""COMPUTED_VALUE"""),"safety_of_app")</f>
        <v>safety_of_app</v>
      </c>
      <c r="F17">
        <f>IFERROR(__xludf.DUMMYFUNCTION("""COMPUTED_VALUE"""),13.0)</f>
        <v>13</v>
      </c>
    </row>
    <row r="18">
      <c r="A18" t="str">
        <f>IFERROR(__xludf.DUMMYFUNCTION("""COMPUTED_VALUE"""),"permissions-&gt;google_drive")</f>
        <v>permissions-&gt;google_drive</v>
      </c>
      <c r="B18">
        <f>IFERROR(__xludf.DUMMYFUNCTION("""COMPUTED_VALUE"""),1.0)</f>
        <v>1</v>
      </c>
      <c r="E18" t="str">
        <f>IFERROR(__xludf.DUMMYFUNCTION("""COMPUTED_VALUE"""),"is_app_useful")</f>
        <v>is_app_useful</v>
      </c>
      <c r="F18">
        <f>IFERROR(__xludf.DUMMYFUNCTION("""COMPUTED_VALUE"""),17.0)</f>
        <v>17</v>
      </c>
    </row>
    <row r="19">
      <c r="A19" t="str">
        <f>IFERROR(__xludf.DUMMYFUNCTION("""COMPUTED_VALUE"""),"permissions-&gt;media")</f>
        <v>permissions-&gt;media</v>
      </c>
      <c r="B19">
        <f>IFERROR(__xludf.DUMMYFUNCTION("""COMPUTED_VALUE"""),1.0)</f>
        <v>1</v>
      </c>
      <c r="E19" t="str">
        <f>IFERROR(__xludf.DUMMYFUNCTION("""COMPUTED_VALUE"""),"security")</f>
        <v>security</v>
      </c>
      <c r="F19">
        <f>IFERROR(__xludf.DUMMYFUNCTION("""COMPUTED_VALUE"""),23.0)</f>
        <v>23</v>
      </c>
    </row>
    <row r="20">
      <c r="A20" t="str">
        <f>IFERROR(__xludf.DUMMYFUNCTION("""COMPUTED_VALUE"""),"permissions-&gt;necessary")</f>
        <v>permissions-&gt;necessary</v>
      </c>
      <c r="B20">
        <f>IFERROR(__xludf.DUMMYFUNCTION("""COMPUTED_VALUE"""),2.0)</f>
        <v>2</v>
      </c>
      <c r="E20" t="str">
        <f>IFERROR(__xludf.DUMMYFUNCTION("""COMPUTED_VALUE"""),"privacy")</f>
        <v>privacy</v>
      </c>
      <c r="F20">
        <f>IFERROR(__xludf.DUMMYFUNCTION("""COMPUTED_VALUE"""),28.0)</f>
        <v>28</v>
      </c>
    </row>
    <row r="21">
      <c r="A21" t="str">
        <f>IFERROR(__xludf.DUMMYFUNCTION("""COMPUTED_VALUE"""),"permissions-&gt;what_information_accessible")</f>
        <v>permissions-&gt;what_information_accessible</v>
      </c>
      <c r="B21">
        <f>IFERROR(__xludf.DUMMYFUNCTION("""COMPUTED_VALUE"""),2.0)</f>
        <v>2</v>
      </c>
      <c r="E21" t="str">
        <f>IFERROR(__xludf.DUMMYFUNCTION("""COMPUTED_VALUE"""),"is_trusted")</f>
        <v>is_trusted</v>
      </c>
      <c r="F21">
        <f>IFERROR(__xludf.DUMMYFUNCTION("""COMPUTED_VALUE"""),32.0)</f>
        <v>32</v>
      </c>
    </row>
    <row r="22">
      <c r="A22" t="str">
        <f>IFERROR(__xludf.DUMMYFUNCTION("""COMPUTED_VALUE"""),"personal_information")</f>
        <v>personal_information</v>
      </c>
      <c r="B22">
        <f>IFERROR(__xludf.DUMMYFUNCTION("""COMPUTED_VALUE"""),19.0)</f>
        <v>19</v>
      </c>
      <c r="E22" t="str">
        <f>IFERROR(__xludf.DUMMYFUNCTION("""COMPUTED_VALUE"""),"permissions")</f>
        <v>permissions</v>
      </c>
      <c r="F22">
        <f>IFERROR(__xludf.DUMMYFUNCTION("""COMPUTED_VALUE"""),43.0)</f>
        <v>43</v>
      </c>
    </row>
    <row r="23">
      <c r="A23" t="str">
        <f>IFERROR(__xludf.DUMMYFUNCTION("""COMPUTED_VALUE"""),"personal_information-&gt;accounts")</f>
        <v>personal_information-&gt;accounts</v>
      </c>
      <c r="B23">
        <f>IFERROR(__xludf.DUMMYFUNCTION("""COMPUTED_VALUE"""),1.0)</f>
        <v>1</v>
      </c>
      <c r="E23" t="str">
        <f>IFERROR(__xludf.DUMMYFUNCTION("""COMPUTED_VALUE"""),"personal_information")</f>
        <v>personal_information</v>
      </c>
      <c r="F23">
        <f>IFERROR(__xludf.DUMMYFUNCTION("""COMPUTED_VALUE"""),67.0)</f>
        <v>67</v>
      </c>
    </row>
    <row r="24">
      <c r="A24" t="str">
        <f>IFERROR(__xludf.DUMMYFUNCTION("""COMPUTED_VALUE"""),"personal_information-&gt;amount_collected")</f>
        <v>personal_information-&gt;amount_collected</v>
      </c>
      <c r="B24">
        <f>IFERROR(__xludf.DUMMYFUNCTION("""COMPUTED_VALUE"""),1.0)</f>
        <v>1</v>
      </c>
    </row>
    <row r="25">
      <c r="A25" t="str">
        <f>IFERROR(__xludf.DUMMYFUNCTION("""COMPUTED_VALUE"""),"personal_information-&gt;calendar")</f>
        <v>personal_information-&gt;calendar</v>
      </c>
      <c r="B25">
        <f>IFERROR(__xludf.DUMMYFUNCTION("""COMPUTED_VALUE"""),1.0)</f>
        <v>1</v>
      </c>
    </row>
    <row r="26">
      <c r="A26" t="str">
        <f>IFERROR(__xludf.DUMMYFUNCTION("""COMPUTED_VALUE"""),"personal_information-&gt;email")</f>
        <v>personal_information-&gt;email</v>
      </c>
      <c r="B26">
        <f>IFERROR(__xludf.DUMMYFUNCTION("""COMPUTED_VALUE"""),1.0)</f>
        <v>1</v>
      </c>
    </row>
    <row r="27">
      <c r="A27" t="str">
        <f>IFERROR(__xludf.DUMMYFUNCTION("""COMPUTED_VALUE"""),"personal_information-&gt;how_used")</f>
        <v>personal_information-&gt;how_used</v>
      </c>
      <c r="B27">
        <f>IFERROR(__xludf.DUMMYFUNCTION("""COMPUTED_VALUE"""),7.0)</f>
        <v>7</v>
      </c>
    </row>
    <row r="28">
      <c r="A28" t="str">
        <f>IFERROR(__xludf.DUMMYFUNCTION("""COMPUTED_VALUE"""),"personal_information-&gt;is_shared")</f>
        <v>personal_information-&gt;is_shared</v>
      </c>
      <c r="B28">
        <f>IFERROR(__xludf.DUMMYFUNCTION("""COMPUTED_VALUE"""),3.0)</f>
        <v>3</v>
      </c>
    </row>
    <row r="29">
      <c r="A29" t="str">
        <f>IFERROR(__xludf.DUMMYFUNCTION("""COMPUTED_VALUE"""),"personal_information-&gt;kept_confidential")</f>
        <v>personal_information-&gt;kept_confidential</v>
      </c>
      <c r="B29">
        <f>IFERROR(__xludf.DUMMYFUNCTION("""COMPUTED_VALUE"""),1.0)</f>
        <v>1</v>
      </c>
    </row>
    <row r="30">
      <c r="A30" t="str">
        <f>IFERROR(__xludf.DUMMYFUNCTION("""COMPUTED_VALUE"""),"personal_information-&gt;sensitive")</f>
        <v>personal_information-&gt;sensitive</v>
      </c>
      <c r="B30">
        <f>IFERROR(__xludf.DUMMYFUNCTION("""COMPUTED_VALUE"""),2.0)</f>
        <v>2</v>
      </c>
    </row>
    <row r="31">
      <c r="A31" t="str">
        <f>IFERROR(__xludf.DUMMYFUNCTION("""COMPUTED_VALUE"""),"personal_information-&gt;what_type_accessible_collected")</f>
        <v>personal_information-&gt;what_type_accessible_collected</v>
      </c>
      <c r="B31">
        <f>IFERROR(__xludf.DUMMYFUNCTION("""COMPUTED_VALUE"""),6.0)</f>
        <v>6</v>
      </c>
    </row>
    <row r="32">
      <c r="A32" t="str">
        <f>IFERROR(__xludf.DUMMYFUNCTION("""COMPUTED_VALUE"""),"privacy")</f>
        <v>privacy</v>
      </c>
      <c r="B32">
        <f>IFERROR(__xludf.DUMMYFUNCTION("""COMPUTED_VALUE"""),5.0)</f>
        <v>5</v>
      </c>
    </row>
    <row r="33">
      <c r="A33" t="str">
        <f>IFERROR(__xludf.DUMMYFUNCTION("""COMPUTED_VALUE"""),"privacy-&gt;data_protection")</f>
        <v>privacy-&gt;data_protection</v>
      </c>
      <c r="B33">
        <f>IFERROR(__xludf.DUMMYFUNCTION("""COMPUTED_VALUE"""),2.0)</f>
        <v>2</v>
      </c>
    </row>
    <row r="34">
      <c r="A34" t="str">
        <f>IFERROR(__xludf.DUMMYFUNCTION("""COMPUTED_VALUE"""),"safety_of_app")</f>
        <v>safety_of_app</v>
      </c>
      <c r="B34">
        <f>IFERROR(__xludf.DUMMYFUNCTION("""COMPUTED_VALUE"""),2.0)</f>
        <v>2</v>
      </c>
    </row>
    <row r="35">
      <c r="A35" t="str">
        <f>IFERROR(__xludf.DUMMYFUNCTION("""COMPUTED_VALUE"""),"security")</f>
        <v>security</v>
      </c>
      <c r="B35">
        <f>IFERROR(__xludf.DUMMYFUNCTION("""COMPUTED_VALUE"""),4.0)</f>
        <v>4</v>
      </c>
    </row>
    <row r="36">
      <c r="A36" t="str">
        <f>IFERROR(__xludf.DUMMYFUNCTION("""COMPUTED_VALUE"""),"security-&gt;information_leak")</f>
        <v>security-&gt;information_leak</v>
      </c>
      <c r="B36">
        <f>IFERROR(__xludf.DUMMYFUNCTION("""COMPUTED_VALUE"""),1.0)</f>
        <v>1</v>
      </c>
    </row>
    <row r="37">
      <c r="A37" t="str">
        <f>IFERROR(__xludf.DUMMYFUNCTION("""COMPUTED_VALUE"""),"transfer_of_trust")</f>
        <v>transfer_of_trust</v>
      </c>
      <c r="B37">
        <f>IFERROR(__xludf.DUMMYFUNCTION("""COMPUTED_VALUE"""),1.0)</f>
        <v>1</v>
      </c>
    </row>
    <row r="38">
      <c r="A38" t="str">
        <f>IFERROR(__xludf.DUMMYFUNCTION("""COMPUTED_VALUE"""),"transfer_of_trust-&gt;from_google")</f>
        <v>transfer_of_trust-&gt;from_google</v>
      </c>
      <c r="B38">
        <f>IFERROR(__xludf.DUMMYFUNCTION("""COMPUTED_VALUE"""),1.0)</f>
        <v>1</v>
      </c>
    </row>
    <row r="39">
      <c r="A39" t="str">
        <f>IFERROR(__xludf.DUMMYFUNCTION("""COMPUTED_VALUE"""),"unconcerned")</f>
        <v>unconcerned</v>
      </c>
      <c r="B39">
        <f>IFERROR(__xludf.DUMMYFUNCTION("""COMPUTED_VALUE"""),1.0)</f>
        <v>1</v>
      </c>
    </row>
    <row r="40">
      <c r="A40" t="str">
        <f>IFERROR(__xludf.DUMMYFUNCTION("""COMPUTED_VALUE"""),"unknowns")</f>
        <v>unknowns</v>
      </c>
      <c r="B40">
        <f>IFERROR(__xludf.DUMMYFUNCTION("""COMPUTED_VALUE"""),2.0)</f>
        <v>2</v>
      </c>
    </row>
    <row r="41">
      <c r="A41" t="str">
        <f>IFERROR(__xludf.DUMMYFUNCTION("""COMPUTED_VALUE"""),"unknowns-&gt;why_access_needed")</f>
        <v>unknowns-&gt;why_access_needed</v>
      </c>
      <c r="B41">
        <f>IFERROR(__xludf.DUMMYFUNCTION("""COMPUTED_VALUE"""),2.0)</f>
        <v>2</v>
      </c>
    </row>
    <row r="42">
      <c r="A42" t="str">
        <f>IFERROR(__xludf.DUMMYFUNCTION("""COMPUTED_VALUE"""),"unknowns-&gt;why_information_needed")</f>
        <v>unknowns-&gt;why_information_needed</v>
      </c>
      <c r="B42">
        <f>IFERROR(__xludf.DUMMYFUNCTION("""COMPUTED_VALUE"""),1.0)</f>
        <v>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A,H"")"),"Response ID")</f>
        <v>Response ID</v>
      </c>
      <c r="B1" s="17" t="str">
        <f>IFERROR(__xludf.DUMMYFUNCTION("""COMPUTED_VALUE"""),"generic_recall_sso_yes_app")</f>
        <v>generic_recall_sso_yes_app</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28"/>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c r="K5" s="53"/>
      <c r="L5" s="53"/>
      <c r="M5" s="53"/>
      <c r="N5" s="53"/>
      <c r="O5" s="53"/>
      <c r="P5" s="53"/>
      <c r="Q5" s="53"/>
      <c r="R5" s="53"/>
      <c r="S5" s="53"/>
      <c r="T5" s="53"/>
      <c r="U5" s="53"/>
      <c r="V5" s="53"/>
      <c r="W5" s="53"/>
      <c r="X5" s="53"/>
      <c r="Y5" s="53"/>
      <c r="Z5" s="53"/>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65"/>
      <c r="C10" s="66"/>
      <c r="D10" s="3"/>
      <c r="E10" s="3"/>
      <c r="G10" s="12"/>
      <c r="H10" s="12"/>
      <c r="I10" s="12"/>
      <c r="J10" s="12"/>
    </row>
    <row r="11">
      <c r="A11" s="48">
        <f>IFERROR(__xludf.DUMMYFUNCTION("""COMPUTED_VALUE"""),16.0)</f>
        <v>16</v>
      </c>
      <c r="B11" s="65"/>
      <c r="C11" s="28"/>
      <c r="D11" s="3"/>
      <c r="E11" s="12"/>
      <c r="F11" s="12"/>
      <c r="G11" s="12"/>
      <c r="H11" s="12"/>
      <c r="I11" s="12"/>
      <c r="J11" s="12"/>
      <c r="K11" s="53"/>
      <c r="L11" s="53"/>
      <c r="M11" s="53"/>
      <c r="N11" s="53"/>
      <c r="O11" s="53"/>
      <c r="P11" s="53"/>
      <c r="Q11" s="53"/>
      <c r="R11" s="53"/>
      <c r="S11" s="53"/>
      <c r="T11" s="53"/>
      <c r="U11" s="53"/>
      <c r="V11" s="53"/>
      <c r="W11" s="53"/>
      <c r="X11" s="53"/>
      <c r="Y11" s="53"/>
      <c r="Z11" s="53"/>
    </row>
    <row r="12">
      <c r="A12" s="48">
        <f>IFERROR(__xludf.DUMMYFUNCTION("""COMPUTED_VALUE"""),19.0)</f>
        <v>19</v>
      </c>
      <c r="B12" s="65"/>
      <c r="C12" s="66"/>
      <c r="D12" s="3"/>
      <c r="E12" s="12"/>
      <c r="F12" s="12"/>
      <c r="G12" s="12"/>
      <c r="H12" s="12"/>
      <c r="I12" s="12"/>
      <c r="J12" s="12"/>
      <c r="K12" s="53"/>
      <c r="L12" s="53"/>
      <c r="M12" s="53"/>
      <c r="N12" s="53"/>
      <c r="O12" s="53"/>
      <c r="P12" s="53"/>
      <c r="Q12" s="53"/>
      <c r="R12" s="53"/>
      <c r="S12" s="53"/>
      <c r="T12" s="53"/>
      <c r="U12" s="53"/>
      <c r="V12" s="53"/>
      <c r="W12" s="53"/>
      <c r="X12" s="53"/>
      <c r="Y12" s="53"/>
      <c r="Z12" s="53"/>
    </row>
    <row r="13">
      <c r="A13" s="48">
        <f>IFERROR(__xludf.DUMMYFUNCTION("""COMPUTED_VALUE"""),21.0)</f>
        <v>21</v>
      </c>
      <c r="B13" s="65"/>
      <c r="C13" s="3"/>
      <c r="D13" s="3"/>
      <c r="E13" s="12"/>
      <c r="F13" s="12"/>
      <c r="G13" s="12"/>
      <c r="H13" s="12"/>
      <c r="I13" s="12"/>
      <c r="J13" s="12"/>
      <c r="K13" s="53"/>
      <c r="L13" s="53"/>
      <c r="M13" s="53"/>
      <c r="N13" s="53"/>
      <c r="O13" s="53"/>
      <c r="P13" s="53"/>
      <c r="Q13" s="53"/>
      <c r="R13" s="53"/>
      <c r="S13" s="53"/>
      <c r="T13" s="53"/>
      <c r="U13" s="53"/>
      <c r="V13" s="53"/>
      <c r="W13" s="53"/>
      <c r="X13" s="53"/>
      <c r="Y13" s="53"/>
      <c r="Z13" s="53"/>
    </row>
    <row r="14">
      <c r="A14" s="48">
        <f>IFERROR(__xludf.DUMMYFUNCTION("""COMPUTED_VALUE"""),22.0)</f>
        <v>22</v>
      </c>
      <c r="B14" s="65"/>
      <c r="C14" s="66"/>
      <c r="D14" s="3"/>
      <c r="E14" s="3"/>
      <c r="F14" s="3"/>
      <c r="G14" s="12"/>
      <c r="H14" s="12"/>
      <c r="I14" s="12"/>
      <c r="J14" s="12"/>
    </row>
    <row r="15">
      <c r="A15" s="48">
        <f>IFERROR(__xludf.DUMMYFUNCTION("""COMPUTED_VALUE"""),24.0)</f>
        <v>24</v>
      </c>
      <c r="B15" s="65"/>
      <c r="C15" s="66"/>
      <c r="D15" s="3"/>
      <c r="E15" s="12"/>
      <c r="F15" s="12"/>
      <c r="G15" s="12"/>
      <c r="H15" s="12"/>
      <c r="I15" s="12"/>
      <c r="J15" s="12"/>
    </row>
    <row r="16">
      <c r="A16" s="48">
        <f>IFERROR(__xludf.DUMMYFUNCTION("""COMPUTED_VALUE"""),25.0)</f>
        <v>25</v>
      </c>
      <c r="B16" s="65"/>
      <c r="C16" s="66"/>
      <c r="D16" s="3"/>
      <c r="E16" s="3"/>
      <c r="F16" s="12"/>
      <c r="G16" s="12"/>
      <c r="H16" s="12"/>
      <c r="I16" s="12"/>
      <c r="J16" s="12"/>
    </row>
    <row r="17">
      <c r="A17" s="48">
        <f>IFERROR(__xludf.DUMMYFUNCTION("""COMPUTED_VALUE"""),26.0)</f>
        <v>26</v>
      </c>
      <c r="B17" s="65"/>
      <c r="C17" s="66"/>
      <c r="D17" s="26"/>
      <c r="E17" s="26"/>
      <c r="F17" s="12"/>
      <c r="G17" s="12"/>
      <c r="H17" s="12"/>
      <c r="I17" s="12"/>
      <c r="J17" s="12"/>
    </row>
    <row r="18">
      <c r="A18" s="48">
        <f>IFERROR(__xludf.DUMMYFUNCTION("""COMPUTED_VALUE"""),28.0)</f>
        <v>28</v>
      </c>
      <c r="B18" s="65"/>
      <c r="C18" s="66"/>
      <c r="D18" s="3"/>
      <c r="E18" s="3"/>
      <c r="F18" s="12"/>
      <c r="G18" s="12"/>
      <c r="H18" s="12"/>
      <c r="I18" s="12"/>
      <c r="J18" s="12"/>
    </row>
    <row r="19">
      <c r="A19" s="48">
        <f>IFERROR(__xludf.DUMMYFUNCTION("""COMPUTED_VALUE"""),29.0)</f>
        <v>29</v>
      </c>
      <c r="B19" s="65"/>
      <c r="C19" s="63"/>
      <c r="D19" s="23"/>
      <c r="E19" s="3"/>
      <c r="F19" s="12"/>
      <c r="G19" s="12"/>
      <c r="H19" s="12"/>
      <c r="I19" s="12"/>
      <c r="J19" s="12"/>
    </row>
    <row r="20">
      <c r="A20" s="48">
        <f>IFERROR(__xludf.DUMMYFUNCTION("""COMPUTED_VALUE"""),30.0)</f>
        <v>30</v>
      </c>
      <c r="B20" s="65"/>
      <c r="C20" s="63"/>
      <c r="D20" s="23"/>
      <c r="E20" s="3"/>
      <c r="F20" s="12"/>
      <c r="G20" s="12"/>
      <c r="H20" s="12"/>
      <c r="I20" s="12"/>
      <c r="J20" s="12"/>
    </row>
    <row r="21">
      <c r="A21" s="48">
        <f>IFERROR(__xludf.DUMMYFUNCTION("""COMPUTED_VALUE"""),31.0)</f>
        <v>31</v>
      </c>
      <c r="B21" s="65"/>
      <c r="C21" s="66"/>
      <c r="D21" s="3"/>
      <c r="E21" s="12"/>
      <c r="F21" s="12"/>
      <c r="G21" s="12"/>
      <c r="H21" s="12"/>
      <c r="I21" s="12"/>
      <c r="J21" s="12"/>
    </row>
    <row r="22">
      <c r="A22" s="48">
        <f>IFERROR(__xludf.DUMMYFUNCTION("""COMPUTED_VALUE"""),32.0)</f>
        <v>32</v>
      </c>
      <c r="B22" s="65"/>
      <c r="C22" s="63"/>
      <c r="D22" s="37"/>
      <c r="E22" s="3"/>
      <c r="F22" s="3"/>
      <c r="G22" s="12"/>
      <c r="H22" s="12"/>
      <c r="I22" s="12"/>
      <c r="J22" s="12"/>
    </row>
    <row r="23">
      <c r="A23" s="48">
        <f>IFERROR(__xludf.DUMMYFUNCTION("""COMPUTED_VALUE"""),35.0)</f>
        <v>35</v>
      </c>
      <c r="B23" s="65"/>
      <c r="C23" s="66"/>
      <c r="D23" s="23"/>
      <c r="E23" s="23"/>
      <c r="F23" s="37"/>
      <c r="G23" s="37"/>
      <c r="H23" s="12"/>
      <c r="I23" s="12"/>
      <c r="J23" s="12"/>
    </row>
    <row r="24">
      <c r="A24" s="48">
        <f>IFERROR(__xludf.DUMMYFUNCTION("""COMPUTED_VALUE"""),36.0)</f>
        <v>36</v>
      </c>
      <c r="B24" s="65"/>
      <c r="C24" s="66"/>
      <c r="D24" s="3"/>
      <c r="E24" s="12"/>
      <c r="F24" s="12"/>
      <c r="G24" s="12"/>
      <c r="H24" s="12"/>
      <c r="I24" s="12"/>
      <c r="J24" s="12"/>
    </row>
    <row r="25">
      <c r="A25" s="48">
        <f>IFERROR(__xludf.DUMMYFUNCTION("""COMPUTED_VALUE"""),39.0)</f>
        <v>39</v>
      </c>
      <c r="B25" s="65"/>
      <c r="C25" s="63"/>
      <c r="D25" s="23"/>
      <c r="E25" s="3"/>
      <c r="F25" s="37"/>
      <c r="G25" s="12"/>
      <c r="H25" s="12"/>
      <c r="I25" s="12"/>
      <c r="J25" s="12"/>
    </row>
    <row r="26">
      <c r="A26" s="48">
        <f>IFERROR(__xludf.DUMMYFUNCTION("""COMPUTED_VALUE"""),40.0)</f>
        <v>40</v>
      </c>
      <c r="B26" s="65"/>
      <c r="C26" s="66"/>
      <c r="D26" s="3"/>
      <c r="E26" s="3"/>
      <c r="F26" s="12"/>
      <c r="G26" s="12"/>
      <c r="H26" s="12"/>
      <c r="I26" s="12"/>
      <c r="J26" s="12"/>
    </row>
    <row r="27">
      <c r="A27" s="48">
        <f>IFERROR(__xludf.DUMMYFUNCTION("""COMPUTED_VALUE"""),42.0)</f>
        <v>42</v>
      </c>
      <c r="B27" s="65"/>
      <c r="C27" s="63"/>
      <c r="D27" s="37"/>
      <c r="E27" s="37"/>
      <c r="F27" s="12"/>
      <c r="G27" s="12"/>
      <c r="H27" s="12"/>
      <c r="I27" s="12"/>
      <c r="J27" s="12"/>
    </row>
    <row r="28">
      <c r="A28" s="48">
        <f>IFERROR(__xludf.DUMMYFUNCTION("""COMPUTED_VALUE"""),46.0)</f>
        <v>46</v>
      </c>
      <c r="B28" s="65"/>
      <c r="C28" s="63"/>
      <c r="D28" s="37"/>
      <c r="E28" s="23"/>
      <c r="F28" s="28"/>
      <c r="G28" s="43"/>
      <c r="H28" s="12"/>
      <c r="I28" s="12"/>
      <c r="J28" s="12"/>
    </row>
    <row r="29">
      <c r="A29">
        <f>IFERROR(__xludf.DUMMYFUNCTION("""COMPUTED_VALUE"""),47.0)</f>
        <v>47</v>
      </c>
      <c r="B29" s="12"/>
      <c r="C29" s="66"/>
      <c r="D29" s="3"/>
      <c r="E29" s="26"/>
      <c r="F29" s="26"/>
      <c r="G29" s="12"/>
      <c r="H29" s="12"/>
      <c r="I29" s="12"/>
      <c r="J29" s="12"/>
    </row>
    <row r="30">
      <c r="A30">
        <f>IFERROR(__xludf.DUMMYFUNCTION("""COMPUTED_VALUE"""),50.0)</f>
        <v>50</v>
      </c>
      <c r="B30" s="12"/>
      <c r="C30" s="63"/>
      <c r="D30" s="37"/>
      <c r="E30" s="3"/>
      <c r="F30" s="12"/>
      <c r="G30" s="12"/>
      <c r="H30" s="12"/>
      <c r="I30" s="12"/>
      <c r="J30" s="12"/>
    </row>
    <row r="31">
      <c r="A31">
        <f>IFERROR(__xludf.DUMMYFUNCTION("""COMPUTED_VALUE"""),51.0)</f>
        <v>51</v>
      </c>
      <c r="B31" s="12"/>
      <c r="C31" s="63"/>
      <c r="D31" s="26"/>
      <c r="E31" s="12"/>
      <c r="F31" s="12"/>
      <c r="G31" s="12"/>
      <c r="H31" s="12"/>
      <c r="I31" s="12"/>
      <c r="J31" s="12"/>
    </row>
    <row r="32">
      <c r="A32">
        <f>IFERROR(__xludf.DUMMYFUNCTION("""COMPUTED_VALUE"""),52.0)</f>
        <v>52</v>
      </c>
      <c r="B32" s="12"/>
      <c r="C32" s="66"/>
      <c r="D32" s="3"/>
      <c r="E32" s="12"/>
      <c r="F32" s="12"/>
      <c r="G32" s="12"/>
      <c r="H32" s="12"/>
      <c r="I32" s="12"/>
      <c r="J32" s="12"/>
    </row>
    <row r="33">
      <c r="A33">
        <f>IFERROR(__xludf.DUMMYFUNCTION("""COMPUTED_VALUE"""),53.0)</f>
        <v>53</v>
      </c>
      <c r="B33" s="12"/>
      <c r="C33" s="63"/>
      <c r="D33" s="28"/>
      <c r="E33" s="12"/>
      <c r="F33" s="12"/>
      <c r="G33" s="12"/>
      <c r="H33" s="12"/>
      <c r="I33" s="12"/>
      <c r="J33" s="12"/>
    </row>
    <row r="34">
      <c r="A34">
        <f>IFERROR(__xludf.DUMMYFUNCTION("""COMPUTED_VALUE"""),55.0)</f>
        <v>55</v>
      </c>
      <c r="B34" s="12"/>
      <c r="C34" s="66"/>
      <c r="D34" s="3"/>
      <c r="E34" s="12"/>
      <c r="F34" s="12"/>
      <c r="G34" s="12"/>
      <c r="H34" s="12"/>
      <c r="I34" s="12"/>
      <c r="J34" s="12"/>
    </row>
    <row r="35">
      <c r="A35">
        <f>IFERROR(__xludf.DUMMYFUNCTION("""COMPUTED_VALUE"""),56.0)</f>
        <v>56</v>
      </c>
      <c r="B35" s="12"/>
      <c r="C35" s="26"/>
      <c r="D35" s="28"/>
      <c r="E35" s="12"/>
      <c r="G35" s="12"/>
      <c r="H35" s="12"/>
      <c r="I35" s="12"/>
      <c r="J35" s="12"/>
    </row>
    <row r="36">
      <c r="A36">
        <f>IFERROR(__xludf.DUMMYFUNCTION("""COMPUTED_VALUE"""),58.0)</f>
        <v>58</v>
      </c>
      <c r="B36" s="12"/>
      <c r="C36" s="54"/>
      <c r="D36" s="3"/>
      <c r="E36" s="12"/>
      <c r="F36" s="12"/>
      <c r="G36" s="12"/>
      <c r="H36" s="12"/>
      <c r="I36" s="12"/>
      <c r="J36" s="12"/>
    </row>
    <row r="37">
      <c r="A37">
        <f>IFERROR(__xludf.DUMMYFUNCTION("""COMPUTED_VALUE"""),59.0)</f>
        <v>59</v>
      </c>
      <c r="B37" s="12"/>
      <c r="C37" s="63"/>
      <c r="D37" s="28"/>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63"/>
      <c r="D39" s="28"/>
      <c r="E39" s="12"/>
      <c r="F39" s="12"/>
      <c r="G39" s="12"/>
      <c r="H39" s="12"/>
      <c r="I39" s="12"/>
      <c r="J39" s="12"/>
    </row>
    <row r="40">
      <c r="A40">
        <f>IFERROR(__xludf.DUMMYFUNCTION("""COMPUTED_VALUE"""),62.0)</f>
        <v>62</v>
      </c>
      <c r="B40" s="12"/>
      <c r="C40" s="63"/>
      <c r="D40" s="28"/>
      <c r="E40" s="28"/>
      <c r="F40" s="12"/>
      <c r="G40" s="12"/>
      <c r="H40" s="12"/>
      <c r="I40" s="12"/>
      <c r="J40" s="12"/>
    </row>
    <row r="41">
      <c r="A41">
        <f>IFERROR(__xludf.DUMMYFUNCTION("""COMPUTED_VALUE"""),64.0)</f>
        <v>64</v>
      </c>
      <c r="B41" s="12"/>
      <c r="C41" s="26"/>
      <c r="D41" s="28"/>
      <c r="E41" s="12"/>
      <c r="F41" s="12"/>
      <c r="G41" s="12"/>
      <c r="H41" s="12"/>
      <c r="I41" s="12"/>
      <c r="J41" s="12"/>
    </row>
    <row r="42">
      <c r="A42">
        <f>IFERROR(__xludf.DUMMYFUNCTION("""COMPUTED_VALUE"""),66.0)</f>
        <v>66</v>
      </c>
      <c r="B42" s="12"/>
      <c r="C42" s="63"/>
      <c r="D42" s="28"/>
      <c r="E42" s="54"/>
      <c r="F42" s="12"/>
      <c r="G42" s="12"/>
      <c r="H42" s="12"/>
      <c r="I42" s="12"/>
      <c r="J42" s="12"/>
    </row>
    <row r="43">
      <c r="A43">
        <f>IFERROR(__xludf.DUMMYFUNCTION("""COMPUTED_VALUE"""),67.0)</f>
        <v>67</v>
      </c>
      <c r="B43" s="12"/>
      <c r="C43" s="66"/>
      <c r="D43" s="3"/>
      <c r="F43" s="3"/>
      <c r="G43" s="3"/>
      <c r="H43" s="3"/>
      <c r="I43" s="12"/>
      <c r="J43" s="12"/>
    </row>
    <row r="44">
      <c r="A44">
        <f>IFERROR(__xludf.DUMMYFUNCTION("""COMPUTED_VALUE"""),69.0)</f>
        <v>69</v>
      </c>
      <c r="B44" s="12"/>
      <c r="C44" s="63"/>
      <c r="D44" s="28"/>
      <c r="E44" s="12"/>
      <c r="F44" s="12"/>
      <c r="G44" s="12"/>
      <c r="H44" s="12"/>
      <c r="I44" s="12"/>
      <c r="J44" s="12"/>
    </row>
    <row r="45">
      <c r="A45">
        <f>IFERROR(__xludf.DUMMYFUNCTION("""COMPUTED_VALUE"""),70.0)</f>
        <v>70</v>
      </c>
      <c r="B45" s="12"/>
      <c r="C45" s="63"/>
      <c r="D45" s="28"/>
      <c r="E45" s="12"/>
      <c r="F45" s="12"/>
      <c r="G45" s="12"/>
      <c r="H45" s="12"/>
      <c r="I45" s="12"/>
      <c r="J45" s="12"/>
    </row>
    <row r="46">
      <c r="A46">
        <f>IFERROR(__xludf.DUMMYFUNCTION("""COMPUTED_VALUE"""),72.0)</f>
        <v>72</v>
      </c>
      <c r="B46" s="12"/>
      <c r="C46" s="63"/>
      <c r="D46" s="28"/>
      <c r="E46" s="12"/>
      <c r="F46" s="12"/>
      <c r="G46" s="12"/>
      <c r="H46" s="12"/>
      <c r="I46" s="12"/>
      <c r="J46" s="12"/>
    </row>
    <row r="47">
      <c r="A47">
        <f>IFERROR(__xludf.DUMMYFUNCTION("""COMPUTED_VALUE"""),73.0)</f>
        <v>73</v>
      </c>
      <c r="B47" s="12"/>
      <c r="C47" s="63"/>
      <c r="D47" s="3"/>
      <c r="E47" s="3"/>
      <c r="F47" s="12"/>
      <c r="G47" s="12"/>
      <c r="H47" s="12"/>
      <c r="I47" s="12"/>
      <c r="J47" s="12"/>
    </row>
    <row r="48">
      <c r="A48">
        <f>IFERROR(__xludf.DUMMYFUNCTION("""COMPUTED_VALUE"""),74.0)</f>
        <v>74</v>
      </c>
      <c r="B48" s="12"/>
      <c r="C48" s="66"/>
      <c r="D48" s="3"/>
      <c r="E48" s="12"/>
      <c r="F48" s="12"/>
      <c r="G48" s="12"/>
      <c r="H48" s="12"/>
      <c r="I48" s="12"/>
      <c r="J48" s="12"/>
    </row>
    <row r="49">
      <c r="A49">
        <f>IFERROR(__xludf.DUMMYFUNCTION("""COMPUTED_VALUE"""),75.0)</f>
        <v>75</v>
      </c>
      <c r="B49" s="12"/>
      <c r="C49" s="66"/>
      <c r="D49" s="3"/>
      <c r="E49" s="12"/>
      <c r="F49" s="12"/>
      <c r="G49" s="12"/>
      <c r="H49" s="12"/>
      <c r="I49" s="12"/>
      <c r="J49" s="12"/>
    </row>
    <row r="50">
      <c r="A50">
        <f>IFERROR(__xludf.DUMMYFUNCTION("""COMPUTED_VALUE"""),78.0)</f>
        <v>78</v>
      </c>
      <c r="B50" s="12"/>
      <c r="C50" s="66"/>
      <c r="D50" s="12"/>
      <c r="E50" s="12"/>
      <c r="F50" s="12"/>
      <c r="G50" s="12"/>
      <c r="H50" s="12"/>
      <c r="I50" s="12"/>
      <c r="J50" s="12"/>
    </row>
    <row r="51">
      <c r="A51">
        <f>IFERROR(__xludf.DUMMYFUNCTION("""COMPUTED_VALUE"""),80.0)</f>
        <v>80</v>
      </c>
      <c r="B51" s="12"/>
      <c r="C51" s="66"/>
      <c r="D51" s="3"/>
      <c r="E51" s="3"/>
      <c r="F51" s="12"/>
      <c r="G51" s="12"/>
      <c r="H51" s="12"/>
      <c r="I51" s="12"/>
      <c r="J51" s="12"/>
    </row>
    <row r="52">
      <c r="A52">
        <f>IFERROR(__xludf.DUMMYFUNCTION("""COMPUTED_VALUE"""),81.0)</f>
        <v>81</v>
      </c>
      <c r="B52" s="12"/>
      <c r="C52" s="3"/>
      <c r="D52" s="3"/>
      <c r="E52" s="12"/>
      <c r="F52" s="12"/>
      <c r="G52" s="12"/>
      <c r="H52" s="12"/>
      <c r="I52" s="12"/>
      <c r="J52" s="12"/>
      <c r="K52" s="53"/>
      <c r="L52" s="53"/>
      <c r="M52" s="53"/>
      <c r="N52" s="53"/>
      <c r="O52" s="53"/>
      <c r="P52" s="53"/>
      <c r="Q52" s="53"/>
      <c r="R52" s="53"/>
      <c r="S52" s="53"/>
      <c r="T52" s="53"/>
      <c r="U52" s="53"/>
      <c r="V52" s="53"/>
      <c r="W52" s="53"/>
      <c r="X52" s="53"/>
      <c r="Y52" s="53"/>
      <c r="Z52" s="53"/>
    </row>
    <row r="53">
      <c r="A53">
        <f>IFERROR(__xludf.DUMMYFUNCTION("""COMPUTED_VALUE"""),84.0)</f>
        <v>84</v>
      </c>
      <c r="B53" s="12"/>
      <c r="C53" s="63"/>
      <c r="D53" s="28"/>
      <c r="E53" s="3"/>
      <c r="F53" s="3"/>
      <c r="G53" s="12"/>
      <c r="H53" s="12"/>
      <c r="I53" s="12"/>
      <c r="J53" s="12"/>
    </row>
    <row r="54">
      <c r="A54">
        <f>IFERROR(__xludf.DUMMYFUNCTION("""COMPUTED_VALUE"""),86.0)</f>
        <v>86</v>
      </c>
      <c r="B54" s="12"/>
      <c r="C54" s="66"/>
      <c r="D54" s="3"/>
      <c r="E54" s="12"/>
      <c r="F54" s="12"/>
      <c r="G54" s="12"/>
      <c r="H54" s="12"/>
      <c r="I54" s="12"/>
      <c r="J54" s="12"/>
    </row>
    <row r="55">
      <c r="A55">
        <f>IFERROR(__xludf.DUMMYFUNCTION("""COMPUTED_VALUE"""),87.0)</f>
        <v>87</v>
      </c>
      <c r="B55" s="12"/>
      <c r="C55" s="63"/>
      <c r="D55" s="3"/>
      <c r="E55" s="12"/>
      <c r="F55" s="12"/>
      <c r="G55" s="12"/>
      <c r="H55" s="12"/>
      <c r="I55" s="12"/>
      <c r="J55" s="12"/>
    </row>
    <row r="56">
      <c r="A56">
        <f>IFERROR(__xludf.DUMMYFUNCTION("""COMPUTED_VALUE"""),88.0)</f>
        <v>88</v>
      </c>
      <c r="B56" s="12"/>
      <c r="C56" s="63"/>
      <c r="D56" s="12"/>
      <c r="E56" s="12"/>
      <c r="F56" s="12"/>
      <c r="G56" s="12"/>
      <c r="H56" s="12"/>
      <c r="I56" s="12"/>
      <c r="J56" s="12"/>
    </row>
    <row r="57">
      <c r="A57">
        <f>IFERROR(__xludf.DUMMYFUNCTION("""COMPUTED_VALUE"""),89.0)</f>
        <v>89</v>
      </c>
      <c r="B57" s="12" t="str">
        <f>IFERROR(__xludf.DUMMYFUNCTION("""COMPUTED_VALUE"""),"Mobile games, because I don't want my email shared with them.")</f>
        <v>Mobile games, because I don't want my email shared with them.</v>
      </c>
      <c r="C57" s="63"/>
      <c r="D57" s="3"/>
      <c r="E57" s="12"/>
      <c r="F57" s="12"/>
      <c r="G57" s="12"/>
      <c r="H57" s="12"/>
      <c r="I57" s="12"/>
      <c r="J57" s="12"/>
    </row>
    <row r="58">
      <c r="A58">
        <f>IFERROR(__xludf.DUMMYFUNCTION("""COMPUTED_VALUE"""),90.0)</f>
        <v>90</v>
      </c>
      <c r="B58" s="12"/>
      <c r="C58" s="63"/>
      <c r="D58" s="28"/>
      <c r="E58" s="3"/>
      <c r="F58" s="12"/>
      <c r="G58" s="12"/>
      <c r="H58" s="12"/>
      <c r="I58" s="12"/>
      <c r="J58" s="12"/>
    </row>
    <row r="59">
      <c r="A59">
        <f>IFERROR(__xludf.DUMMYFUNCTION("""COMPUTED_VALUE"""),93.0)</f>
        <v>93</v>
      </c>
      <c r="B59" s="12"/>
      <c r="C59" s="63"/>
      <c r="D59" s="28"/>
      <c r="E59" s="12"/>
      <c r="F59" s="12"/>
      <c r="G59" s="12"/>
      <c r="H59" s="12"/>
      <c r="I59" s="12"/>
      <c r="J59" s="12"/>
    </row>
    <row r="60">
      <c r="A60">
        <f>IFERROR(__xludf.DUMMYFUNCTION("""COMPUTED_VALUE"""),95.0)</f>
        <v>95</v>
      </c>
      <c r="B60" s="12"/>
      <c r="C60" s="63"/>
      <c r="D60" s="3"/>
      <c r="E60" s="3"/>
      <c r="F60" s="3"/>
      <c r="G60" s="3"/>
      <c r="H60" s="12"/>
      <c r="I60" s="12"/>
      <c r="J60" s="12"/>
    </row>
    <row r="61">
      <c r="A61">
        <f>IFERROR(__xludf.DUMMYFUNCTION("""COMPUTED_VALUE"""),97.0)</f>
        <v>97</v>
      </c>
      <c r="B61" s="12"/>
      <c r="C61" s="66"/>
      <c r="D61" s="12"/>
      <c r="E61" s="12"/>
      <c r="F61" s="12"/>
      <c r="G61" s="12"/>
      <c r="H61" s="12"/>
      <c r="I61" s="12"/>
      <c r="J61" s="12"/>
    </row>
    <row r="62">
      <c r="A62">
        <f>IFERROR(__xludf.DUMMYFUNCTION("""COMPUTED_VALUE"""),98.0)</f>
        <v>98</v>
      </c>
      <c r="B62" s="12"/>
      <c r="C62" s="66"/>
      <c r="D62" s="3"/>
      <c r="E62" s="12"/>
      <c r="F62" s="12"/>
      <c r="G62" s="12"/>
      <c r="H62" s="12"/>
      <c r="I62" s="12"/>
      <c r="J62" s="12"/>
    </row>
    <row r="63">
      <c r="A63">
        <f>IFERROR(__xludf.DUMMYFUNCTION("""COMPUTED_VALUE"""),99.0)</f>
        <v>99</v>
      </c>
      <c r="B63" s="12"/>
      <c r="C63" s="63"/>
      <c r="D63" s="3"/>
      <c r="F63" s="3"/>
      <c r="G63" s="3"/>
      <c r="H63" s="12"/>
      <c r="I63" s="12"/>
      <c r="J63" s="12"/>
    </row>
    <row r="64">
      <c r="A64">
        <f>IFERROR(__xludf.DUMMYFUNCTION("""COMPUTED_VALUE"""),100.0)</f>
        <v>100</v>
      </c>
      <c r="B64" s="12"/>
      <c r="D64" s="3"/>
      <c r="E64" s="12"/>
      <c r="F64" s="12"/>
      <c r="G64" s="12"/>
      <c r="H64" s="12"/>
      <c r="I64" s="12"/>
      <c r="J64" s="12"/>
      <c r="K64" s="53"/>
      <c r="L64" s="53"/>
      <c r="M64" s="53"/>
      <c r="N64" s="53"/>
      <c r="O64" s="53"/>
      <c r="P64" s="53"/>
      <c r="Q64" s="53"/>
      <c r="R64" s="53"/>
      <c r="S64" s="53"/>
      <c r="T64" s="53"/>
      <c r="U64" s="53"/>
      <c r="V64" s="53"/>
      <c r="W64" s="53"/>
      <c r="X64" s="53"/>
      <c r="Y64" s="53"/>
      <c r="Z64" s="53"/>
    </row>
    <row r="65">
      <c r="A65">
        <f>IFERROR(__xludf.DUMMYFUNCTION("""COMPUTED_VALUE"""),101.0)</f>
        <v>101</v>
      </c>
      <c r="B65" s="12"/>
      <c r="C65" s="66"/>
      <c r="D65" s="3"/>
      <c r="E65" s="3"/>
      <c r="F65" s="3"/>
      <c r="G65" s="26"/>
      <c r="H65" s="12"/>
      <c r="I65" s="12"/>
      <c r="J65" s="12"/>
    </row>
    <row r="66">
      <c r="A66">
        <f>IFERROR(__xludf.DUMMYFUNCTION("""COMPUTED_VALUE"""),103.0)</f>
        <v>103</v>
      </c>
      <c r="B66" s="12"/>
      <c r="C66" s="63"/>
      <c r="D66" s="37"/>
      <c r="F66" s="12"/>
      <c r="G66" s="12"/>
      <c r="H66" s="12"/>
      <c r="I66" s="12"/>
      <c r="J66" s="12"/>
    </row>
    <row r="67">
      <c r="A67">
        <f>IFERROR(__xludf.DUMMYFUNCTION("""COMPUTED_VALUE"""),104.0)</f>
        <v>104</v>
      </c>
      <c r="B67" s="12"/>
      <c r="C67" s="66"/>
      <c r="D67" s="3"/>
      <c r="E67" s="26"/>
      <c r="F67" s="26"/>
      <c r="G67" s="3"/>
      <c r="H67" s="3"/>
      <c r="J67" s="12"/>
    </row>
    <row r="68">
      <c r="A68">
        <f>IFERROR(__xludf.DUMMYFUNCTION("""COMPUTED_VALUE"""),105.0)</f>
        <v>105</v>
      </c>
      <c r="B68" s="12"/>
      <c r="C68" s="66"/>
      <c r="D68" s="3"/>
      <c r="E68" s="12"/>
      <c r="F68" s="12"/>
      <c r="G68" s="12"/>
      <c r="J68" s="12"/>
    </row>
    <row r="69">
      <c r="A69">
        <f>IFERROR(__xludf.DUMMYFUNCTION("""COMPUTED_VALUE"""),107.0)</f>
        <v>107</v>
      </c>
      <c r="B69" s="12"/>
      <c r="C69" s="63"/>
      <c r="D69" s="3"/>
      <c r="E69" s="3"/>
      <c r="F69" s="3"/>
      <c r="G69" s="3"/>
      <c r="J69" s="12"/>
    </row>
    <row r="70">
      <c r="A70">
        <f>IFERROR(__xludf.DUMMYFUNCTION("""COMPUTED_VALUE"""),108.0)</f>
        <v>108</v>
      </c>
      <c r="B70" s="12"/>
      <c r="C70" s="63"/>
      <c r="D70" s="3"/>
      <c r="E70" s="3"/>
      <c r="F70" s="3"/>
      <c r="G70" s="3"/>
      <c r="H70" s="12"/>
      <c r="I70" s="12"/>
      <c r="J70" s="12"/>
    </row>
    <row r="71">
      <c r="A71">
        <f>IFERROR(__xludf.DUMMYFUNCTION("""COMPUTED_VALUE"""),109.0)</f>
        <v>109</v>
      </c>
      <c r="B71" s="12"/>
      <c r="C71" s="63"/>
      <c r="D71" s="3"/>
      <c r="E71" s="3"/>
      <c r="F71" s="3"/>
      <c r="G71" s="3"/>
      <c r="H71" s="3"/>
      <c r="I71" s="3"/>
      <c r="J71" s="12"/>
      <c r="K71" s="53"/>
      <c r="L71" s="53"/>
      <c r="M71" s="53"/>
      <c r="N71" s="53"/>
      <c r="O71" s="53"/>
      <c r="P71" s="53"/>
      <c r="Q71" s="53"/>
      <c r="R71" s="53"/>
      <c r="S71" s="53"/>
      <c r="T71" s="53"/>
      <c r="U71" s="53"/>
      <c r="V71" s="53"/>
      <c r="W71" s="53"/>
      <c r="X71" s="53"/>
      <c r="Y71" s="53"/>
      <c r="Z71" s="53"/>
    </row>
    <row r="72">
      <c r="A72">
        <f>IFERROR(__xludf.DUMMYFUNCTION("""COMPUTED_VALUE"""),111.0)</f>
        <v>111</v>
      </c>
      <c r="B72" s="12"/>
      <c r="C72" s="63"/>
      <c r="D72" s="3"/>
      <c r="E72" s="12"/>
      <c r="F72" s="12"/>
      <c r="G72" s="12"/>
      <c r="H72" s="12"/>
      <c r="I72" s="12"/>
      <c r="J72" s="12"/>
    </row>
    <row r="73">
      <c r="A73">
        <f>IFERROR(__xludf.DUMMYFUNCTION("""COMPUTED_VALUE"""),112.0)</f>
        <v>112</v>
      </c>
      <c r="B73" s="12"/>
      <c r="C73" s="66"/>
      <c r="D73" s="3"/>
      <c r="E73" s="3"/>
      <c r="F73" s="3"/>
      <c r="G73" s="3"/>
      <c r="H73" s="3"/>
      <c r="I73" s="12"/>
      <c r="J73" s="12"/>
    </row>
    <row r="74">
      <c r="A74">
        <f>IFERROR(__xludf.DUMMYFUNCTION("""COMPUTED_VALUE"""),113.0)</f>
        <v>113</v>
      </c>
      <c r="B74" s="12"/>
      <c r="C74" s="63"/>
      <c r="D74" s="3"/>
      <c r="E74" s="3"/>
      <c r="F74" s="12"/>
      <c r="G74" s="12"/>
      <c r="H74" s="12"/>
      <c r="I74" s="12"/>
      <c r="J74" s="12"/>
    </row>
    <row r="75">
      <c r="A75">
        <f>IFERROR(__xludf.DUMMYFUNCTION("""COMPUTED_VALUE"""),115.0)</f>
        <v>115</v>
      </c>
      <c r="B75" s="12"/>
      <c r="C75" s="66"/>
      <c r="D75" s="3"/>
      <c r="E75" s="3"/>
      <c r="F75" s="12"/>
      <c r="G75" s="12"/>
      <c r="H75" s="12"/>
      <c r="I75" s="12"/>
      <c r="J75" s="12"/>
    </row>
    <row r="76">
      <c r="A76">
        <f>IFERROR(__xludf.DUMMYFUNCTION("""COMPUTED_VALUE"""),116.0)</f>
        <v>116</v>
      </c>
      <c r="B76" s="12"/>
      <c r="C76" s="63"/>
      <c r="D76" s="3"/>
      <c r="E76" s="3"/>
      <c r="F76" s="12"/>
      <c r="G76" s="12"/>
      <c r="H76" s="12"/>
      <c r="I76" s="12"/>
      <c r="J76" s="12"/>
    </row>
    <row r="77">
      <c r="A77">
        <f>IFERROR(__xludf.DUMMYFUNCTION("""COMPUTED_VALUE"""),117.0)</f>
        <v>117</v>
      </c>
      <c r="B77" s="12"/>
      <c r="C77" s="66"/>
      <c r="D77" s="3"/>
      <c r="E77" s="3"/>
      <c r="F77" s="12"/>
      <c r="G77" s="12"/>
      <c r="H77" s="12"/>
      <c r="I77" s="12"/>
      <c r="J77" s="12"/>
    </row>
    <row r="78">
      <c r="A78">
        <f>IFERROR(__xludf.DUMMYFUNCTION("""COMPUTED_VALUE"""),122.0)</f>
        <v>122</v>
      </c>
      <c r="B78" s="12"/>
      <c r="C78" s="66"/>
      <c r="D78" s="3"/>
      <c r="E78" s="12"/>
      <c r="F78" s="12"/>
      <c r="G78" s="12"/>
      <c r="H78" s="12"/>
      <c r="I78" s="12"/>
      <c r="J78" s="12"/>
    </row>
    <row r="79">
      <c r="A79">
        <f>IFERROR(__xludf.DUMMYFUNCTION("""COMPUTED_VALUE"""),123.0)</f>
        <v>123</v>
      </c>
      <c r="B79" s="12"/>
      <c r="C79" s="6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c r="K81" s="53"/>
      <c r="L81" s="53"/>
      <c r="M81" s="53"/>
      <c r="N81" s="53"/>
      <c r="O81" s="53"/>
      <c r="P81" s="53"/>
      <c r="Q81" s="53"/>
      <c r="R81" s="53"/>
      <c r="S81" s="53"/>
      <c r="T81" s="53"/>
      <c r="U81" s="53"/>
      <c r="V81" s="53"/>
      <c r="W81" s="53"/>
      <c r="X81" s="53"/>
      <c r="Y81" s="53"/>
      <c r="Z81" s="53"/>
    </row>
    <row r="82">
      <c r="A82">
        <f>IFERROR(__xludf.DUMMYFUNCTION("""COMPUTED_VALUE"""),126.0)</f>
        <v>126</v>
      </c>
      <c r="B82" s="12"/>
      <c r="C82" s="26"/>
      <c r="D82" s="3"/>
      <c r="E82" s="12"/>
      <c r="F82" s="12"/>
      <c r="G82" s="12"/>
      <c r="H82" s="12"/>
      <c r="I82" s="12"/>
      <c r="J82" s="12"/>
    </row>
    <row r="83">
      <c r="A83">
        <f>IFERROR(__xludf.DUMMYFUNCTION("""COMPUTED_VALUE"""),127.0)</f>
        <v>127</v>
      </c>
      <c r="B83" s="12"/>
      <c r="C83" s="66"/>
      <c r="D83" s="3"/>
      <c r="E83" s="3"/>
      <c r="F83" s="3"/>
      <c r="G83" s="12"/>
      <c r="H83" s="12"/>
      <c r="I83" s="12"/>
      <c r="J83" s="12"/>
    </row>
    <row r="84">
      <c r="A84">
        <f>IFERROR(__xludf.DUMMYFUNCTION("""COMPUTED_VALUE"""),128.0)</f>
        <v>128</v>
      </c>
      <c r="B84" s="12"/>
      <c r="C84" s="66"/>
      <c r="D84" s="3"/>
      <c r="E84" s="3"/>
      <c r="F84" s="3"/>
      <c r="G84" s="3"/>
      <c r="H84" s="12"/>
      <c r="I84" s="12"/>
      <c r="J84" s="12"/>
    </row>
    <row r="85">
      <c r="A85">
        <f>IFERROR(__xludf.DUMMYFUNCTION("""COMPUTED_VALUE"""),129.0)</f>
        <v>129</v>
      </c>
      <c r="B85" s="12"/>
      <c r="C85" s="26"/>
      <c r="D85" s="3"/>
      <c r="E85" s="3"/>
      <c r="F85" s="12"/>
      <c r="G85" s="12"/>
      <c r="H85" s="12"/>
      <c r="I85" s="12"/>
      <c r="J85" s="12"/>
      <c r="K85" s="53"/>
      <c r="L85" s="53"/>
      <c r="M85" s="53"/>
      <c r="N85" s="53"/>
      <c r="O85" s="53"/>
      <c r="P85" s="53"/>
      <c r="Q85" s="53"/>
      <c r="R85" s="53"/>
      <c r="S85" s="53"/>
      <c r="T85" s="53"/>
      <c r="U85" s="53"/>
      <c r="V85" s="53"/>
      <c r="W85" s="53"/>
      <c r="X85" s="53"/>
      <c r="Y85" s="53"/>
      <c r="Z85" s="53"/>
    </row>
    <row r="86">
      <c r="A86">
        <f>IFERROR(__xludf.DUMMYFUNCTION("""COMPUTED_VALUE"""),130.0)</f>
        <v>130</v>
      </c>
      <c r="B86" s="12"/>
      <c r="C86" s="3"/>
      <c r="D86" s="3"/>
      <c r="E86" s="3"/>
      <c r="F86" s="3"/>
      <c r="G86" s="3"/>
      <c r="H86" s="12"/>
      <c r="I86" s="12"/>
      <c r="J86" s="12"/>
      <c r="K86" s="53"/>
      <c r="L86" s="53"/>
      <c r="M86" s="53"/>
      <c r="N86" s="53"/>
      <c r="O86" s="53"/>
      <c r="P86" s="53"/>
      <c r="Q86" s="53"/>
      <c r="R86" s="53"/>
      <c r="S86" s="53"/>
      <c r="T86" s="53"/>
      <c r="U86" s="53"/>
      <c r="V86" s="53"/>
      <c r="W86" s="53"/>
      <c r="X86" s="53"/>
      <c r="Y86" s="53"/>
      <c r="Z86" s="53"/>
    </row>
    <row r="87">
      <c r="A87">
        <f>IFERROR(__xludf.DUMMYFUNCTION("""COMPUTED_VALUE"""),132.0)</f>
        <v>132</v>
      </c>
      <c r="B87" s="12"/>
      <c r="C87" s="63"/>
      <c r="D87" s="3"/>
      <c r="E87" s="12"/>
      <c r="F87" s="12"/>
      <c r="G87" s="12"/>
      <c r="H87" s="12"/>
      <c r="I87" s="12"/>
      <c r="J87" s="12"/>
    </row>
    <row r="88">
      <c r="A88">
        <f>IFERROR(__xludf.DUMMYFUNCTION("""COMPUTED_VALUE"""),135.0)</f>
        <v>135</v>
      </c>
      <c r="B88" s="12"/>
      <c r="C88" s="63"/>
      <c r="D88" s="3"/>
      <c r="E88" s="12"/>
      <c r="F88" s="12"/>
      <c r="G88" s="12"/>
      <c r="H88" s="12"/>
      <c r="I88" s="12"/>
      <c r="J88" s="12"/>
    </row>
    <row r="89">
      <c r="A89">
        <f>IFERROR(__xludf.DUMMYFUNCTION("""COMPUTED_VALUE"""),137.0)</f>
        <v>137</v>
      </c>
      <c r="B89" s="12"/>
      <c r="C89" s="3"/>
      <c r="D89" s="3"/>
      <c r="E89" s="3"/>
      <c r="F89" s="3"/>
      <c r="G89" s="12"/>
      <c r="H89" s="12"/>
      <c r="I89" s="12"/>
      <c r="J89" s="12"/>
      <c r="K89" s="53"/>
      <c r="L89" s="53"/>
      <c r="M89" s="53"/>
      <c r="N89" s="53"/>
      <c r="O89" s="53"/>
      <c r="P89" s="53"/>
      <c r="Q89" s="53"/>
      <c r="R89" s="53"/>
      <c r="S89" s="53"/>
      <c r="T89" s="53"/>
      <c r="U89" s="53"/>
      <c r="V89" s="53"/>
      <c r="W89" s="53"/>
      <c r="X89" s="53"/>
      <c r="Y89" s="53"/>
      <c r="Z89" s="53"/>
    </row>
    <row r="90">
      <c r="A90">
        <f>IFERROR(__xludf.DUMMYFUNCTION("""COMPUTED_VALUE"""),138.0)</f>
        <v>138</v>
      </c>
      <c r="B90" s="12"/>
      <c r="C90" s="67"/>
      <c r="D90" s="3"/>
      <c r="E90" s="12"/>
      <c r="F90" s="12"/>
      <c r="G90" s="12"/>
      <c r="H90" s="12"/>
      <c r="I90" s="12"/>
      <c r="J90" s="12"/>
      <c r="K90" s="53"/>
      <c r="L90" s="53"/>
      <c r="M90" s="53"/>
      <c r="N90" s="53"/>
      <c r="O90" s="53"/>
      <c r="P90" s="53"/>
      <c r="Q90" s="53"/>
      <c r="R90" s="53"/>
      <c r="S90" s="53"/>
      <c r="T90" s="53"/>
      <c r="U90" s="53"/>
      <c r="V90" s="53"/>
      <c r="W90" s="53"/>
      <c r="X90" s="53"/>
      <c r="Y90" s="53"/>
      <c r="Z90" s="53"/>
    </row>
    <row r="91">
      <c r="A91">
        <f>IFERROR(__xludf.DUMMYFUNCTION("""COMPUTED_VALUE"""),140.0)</f>
        <v>140</v>
      </c>
      <c r="B91" s="12"/>
      <c r="C91" s="66"/>
      <c r="D91" s="3"/>
      <c r="E91" s="3"/>
      <c r="F91" s="12"/>
      <c r="G91" s="12"/>
      <c r="H91" s="12"/>
      <c r="I91" s="12"/>
      <c r="J91" s="12"/>
    </row>
    <row r="92">
      <c r="A92">
        <f>IFERROR(__xludf.DUMMYFUNCTION("""COMPUTED_VALUE"""),141.0)</f>
        <v>141</v>
      </c>
      <c r="B92" s="12"/>
      <c r="C92" s="63"/>
      <c r="D92" s="3"/>
      <c r="E92" s="3"/>
      <c r="F92" s="12"/>
      <c r="G92" s="12"/>
      <c r="H92" s="12"/>
      <c r="I92" s="12"/>
      <c r="J92" s="12"/>
    </row>
    <row r="93">
      <c r="A93">
        <f>IFERROR(__xludf.DUMMYFUNCTION("""COMPUTED_VALUE"""),142.0)</f>
        <v>142</v>
      </c>
      <c r="B93" s="12"/>
      <c r="C93" s="63"/>
      <c r="D93" s="3"/>
      <c r="E93" s="12"/>
      <c r="F93" s="12"/>
      <c r="G93" s="12"/>
      <c r="H93" s="12"/>
      <c r="I93" s="12"/>
      <c r="J93" s="12"/>
    </row>
    <row r="94">
      <c r="A94">
        <f>IFERROR(__xludf.DUMMYFUNCTION("""COMPUTED_VALUE"""),143.0)</f>
        <v>143</v>
      </c>
      <c r="B94" s="12"/>
      <c r="C94" s="63"/>
      <c r="D94" s="3"/>
      <c r="E94" s="12"/>
      <c r="F94" s="12"/>
      <c r="G94" s="12"/>
      <c r="H94" s="12"/>
      <c r="I94" s="12"/>
      <c r="J94" s="12"/>
    </row>
    <row r="95">
      <c r="A95">
        <f>IFERROR(__xludf.DUMMYFUNCTION("""COMPUTED_VALUE"""),146.0)</f>
        <v>146</v>
      </c>
      <c r="B95" s="12"/>
      <c r="C95" s="66"/>
      <c r="D95" s="3"/>
      <c r="E95" s="12"/>
      <c r="F95" s="12"/>
      <c r="G95" s="12"/>
      <c r="H95" s="12"/>
      <c r="I95" s="12"/>
      <c r="J95" s="12"/>
      <c r="K95" s="53"/>
      <c r="L95" s="53"/>
      <c r="M95" s="53"/>
      <c r="N95" s="53"/>
      <c r="O95" s="53"/>
      <c r="P95" s="53"/>
      <c r="Q95" s="53"/>
      <c r="R95" s="53"/>
      <c r="S95" s="53"/>
      <c r="T95" s="53"/>
      <c r="U95" s="53"/>
      <c r="V95" s="53"/>
      <c r="W95" s="53"/>
      <c r="X95" s="53"/>
      <c r="Y95" s="53"/>
      <c r="Z95" s="53"/>
    </row>
    <row r="96">
      <c r="A96">
        <f>IFERROR(__xludf.DUMMYFUNCTION("""COMPUTED_VALUE"""),147.0)</f>
        <v>147</v>
      </c>
      <c r="B96" s="12"/>
      <c r="C96" s="66"/>
      <c r="D96" s="3"/>
      <c r="E96" s="3"/>
      <c r="F96" s="12"/>
      <c r="G96" s="12"/>
      <c r="H96" s="12"/>
      <c r="I96" s="12"/>
      <c r="J96" s="12"/>
    </row>
    <row r="97">
      <c r="A97">
        <f>IFERROR(__xludf.DUMMYFUNCTION("""COMPUTED_VALUE"""),148.0)</f>
        <v>148</v>
      </c>
      <c r="B97" s="12"/>
      <c r="C97" s="63"/>
      <c r="D97" s="3"/>
      <c r="E97" s="12"/>
      <c r="F97" s="12"/>
      <c r="G97" s="12"/>
      <c r="H97" s="12"/>
      <c r="I97" s="12"/>
      <c r="J97" s="12"/>
    </row>
    <row r="98">
      <c r="A98">
        <f>IFERROR(__xludf.DUMMYFUNCTION("""COMPUTED_VALUE"""),149.0)</f>
        <v>149</v>
      </c>
      <c r="B98" s="12"/>
      <c r="C98" s="63"/>
      <c r="D98" s="28"/>
      <c r="E98" s="28"/>
      <c r="F98" s="3"/>
      <c r="G98" s="12"/>
      <c r="H98" s="12"/>
      <c r="I98" s="12"/>
      <c r="J98" s="12"/>
      <c r="K98" s="53"/>
      <c r="L98" s="53"/>
      <c r="M98" s="53"/>
      <c r="N98" s="53"/>
      <c r="O98" s="53"/>
      <c r="P98" s="53"/>
      <c r="Q98" s="53"/>
      <c r="R98" s="53"/>
      <c r="S98" s="53"/>
      <c r="T98" s="53"/>
      <c r="U98" s="53"/>
      <c r="V98" s="53"/>
      <c r="W98" s="53"/>
      <c r="X98" s="53"/>
      <c r="Y98" s="53"/>
      <c r="Z98" s="53"/>
    </row>
    <row r="99">
      <c r="A99">
        <f>IFERROR(__xludf.DUMMYFUNCTION("""COMPUTED_VALUE"""),150.0)</f>
        <v>150</v>
      </c>
      <c r="B99" s="12"/>
      <c r="C99" s="3"/>
      <c r="D99" s="3"/>
      <c r="E99" s="12"/>
      <c r="F99" s="12"/>
      <c r="G99" s="12"/>
      <c r="H99" s="12"/>
      <c r="I99" s="12"/>
      <c r="J99" s="12"/>
    </row>
    <row r="100">
      <c r="A100">
        <f>IFERROR(__xludf.DUMMYFUNCTION("""COMPUTED_VALUE"""),151.0)</f>
        <v>151</v>
      </c>
      <c r="B100" s="12"/>
      <c r="C100" s="26"/>
      <c r="D100" s="3"/>
      <c r="E100" s="12"/>
      <c r="F100" s="12"/>
      <c r="G100" s="12"/>
      <c r="H100" s="12"/>
      <c r="I100" s="12"/>
      <c r="J100" s="12"/>
      <c r="K100" s="53"/>
      <c r="L100" s="53"/>
      <c r="M100" s="53"/>
      <c r="N100" s="53"/>
      <c r="O100" s="53"/>
      <c r="P100" s="53"/>
      <c r="Q100" s="53"/>
      <c r="R100" s="53"/>
      <c r="S100" s="53"/>
      <c r="T100" s="53"/>
      <c r="U100" s="53"/>
      <c r="V100" s="53"/>
      <c r="W100" s="53"/>
      <c r="X100" s="53"/>
      <c r="Y100" s="53"/>
      <c r="Z100" s="53"/>
    </row>
    <row r="101">
      <c r="A101">
        <f>IFERROR(__xludf.DUMMYFUNCTION("""COMPUTED_VALUE"""),152.0)</f>
        <v>152</v>
      </c>
      <c r="B101" s="12"/>
      <c r="C101" s="63"/>
      <c r="D101" s="3"/>
      <c r="E101" s="3"/>
      <c r="F101" s="3"/>
      <c r="G101" s="12"/>
      <c r="H101" s="12"/>
      <c r="I101" s="12"/>
      <c r="J101" s="12"/>
    </row>
    <row r="102">
      <c r="A102">
        <f>IFERROR(__xludf.DUMMYFUNCTION("""COMPUTED_VALUE"""),154.0)</f>
        <v>154</v>
      </c>
      <c r="B102" s="12"/>
      <c r="C102" s="63"/>
      <c r="D102" s="3"/>
      <c r="E102" s="26"/>
      <c r="G102" s="12"/>
      <c r="H102" s="12"/>
      <c r="I102" s="12"/>
      <c r="J102" s="12"/>
      <c r="K102" s="53"/>
      <c r="L102" s="53"/>
      <c r="M102" s="53"/>
      <c r="N102" s="53"/>
      <c r="O102" s="53"/>
      <c r="P102" s="53"/>
      <c r="Q102" s="53"/>
      <c r="R102" s="53"/>
      <c r="S102" s="53"/>
      <c r="T102" s="53"/>
      <c r="U102" s="53"/>
      <c r="V102" s="53"/>
      <c r="W102" s="53"/>
      <c r="X102" s="53"/>
      <c r="Y102" s="53"/>
      <c r="Z102" s="53"/>
    </row>
    <row r="103">
      <c r="A103">
        <f>IFERROR(__xludf.DUMMYFUNCTION("""COMPUTED_VALUE"""),155.0)</f>
        <v>155</v>
      </c>
      <c r="B103" s="12"/>
      <c r="C103" s="63"/>
      <c r="D103" s="3"/>
      <c r="E103" s="12"/>
      <c r="F103" s="12"/>
      <c r="G103" s="12"/>
      <c r="H103" s="12"/>
      <c r="I103" s="12"/>
      <c r="J103" s="12"/>
    </row>
    <row r="104">
      <c r="A104">
        <f>IFERROR(__xludf.DUMMYFUNCTION("""COMPUTED_VALUE"""),156.0)</f>
        <v>156</v>
      </c>
      <c r="B104" s="12"/>
      <c r="C104" s="66"/>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IFERROR(__xludf.DUMMYFUNCTION("QUERY({'S15 (primary)'!C2:C1000;'S15 (primary)'!D2:D1000;'S15 (primary)'!E2:E1000;'S15 (primary)'!F2:F1000;'S15 (primary)'!G2:G1000;'S15 (primary)'!H2:H1000;'S15 (primary)'!I2:I1000;'S15 (primary)'!J2:J1000;'S15 (primary)'!K2:K1000}, ""select Col1, count("&amp;"Col1) where Col1 is not null group by Col1 order by Col1 asc"")"),"")</f>
        <v/>
      </c>
      <c r="B2" s="34" t="str">
        <f>IFERROR(__xludf.DUMMYFUNCTION("""COMPUTED_VALUE"""),"count ")</f>
        <v>count </v>
      </c>
      <c r="C2" s="34"/>
      <c r="D2" s="34"/>
      <c r="E2" s="34" t="str">
        <f>IFERROR(__xludf.DUMMYFUNCTION("QUERY({'S15 (primary)'!C2:C1000;'S15 (primary)'!D2:D1000;'S15 (primary)'!E2:E1000;'S15 (primary)'!F2:F1000;'S15 (primary)'!G2:G1000;'S15 (primary)'!H2:H1000;'S15 (primary)'!I2:I1000;'S15 (primary)'!J2:J1000;'S15 (primary)'!K2:K1000}, ""select Col1, count("&amp;"Col1)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A,H"")"),"Response ID")</f>
        <v>Response ID</v>
      </c>
      <c r="B1" s="17" t="str">
        <f>IFERROR(__xludf.DUMMYFUNCTION("""COMPUTED_VALUE"""),"generic_recall_sso_yes_app")</f>
        <v>generic_recall_sso_yes_app</v>
      </c>
      <c r="C1" s="17" t="s">
        <v>1399</v>
      </c>
      <c r="D1" s="17" t="s">
        <v>1400</v>
      </c>
      <c r="E1" s="17" t="s">
        <v>1401</v>
      </c>
      <c r="F1" s="17" t="s">
        <v>1402</v>
      </c>
      <c r="G1" s="17" t="s">
        <v>1403</v>
      </c>
      <c r="H1" s="17" t="s">
        <v>1404</v>
      </c>
      <c r="I1" s="17" t="s">
        <v>1405</v>
      </c>
      <c r="J1" s="17" t="s">
        <v>1406</v>
      </c>
    </row>
    <row r="2">
      <c r="A2" s="48">
        <f>IFERROR(__xludf.DUMMYFUNCTION("""COMPUTED_VALUE"""),1.0)</f>
        <v>1</v>
      </c>
      <c r="B2" s="19"/>
      <c r="C2" s="45"/>
      <c r="D2" s="45"/>
      <c r="E2" s="3"/>
      <c r="F2" s="3"/>
      <c r="G2" s="3"/>
      <c r="H2" s="12"/>
      <c r="I2" s="12"/>
      <c r="J2" s="12"/>
    </row>
    <row r="3">
      <c r="A3" s="48">
        <f>IFERROR(__xludf.DUMMYFUNCTION("""COMPUTED_VALUE"""),2.0)</f>
        <v>2</v>
      </c>
      <c r="B3" s="19"/>
      <c r="C3" s="45"/>
      <c r="D3" s="46"/>
      <c r="E3" s="3"/>
      <c r="F3" s="3"/>
      <c r="G3" s="12"/>
      <c r="H3" s="12"/>
      <c r="I3" s="12"/>
      <c r="J3" s="12"/>
    </row>
    <row r="4">
      <c r="A4" s="48">
        <f>IFERROR(__xludf.DUMMYFUNCTION("""COMPUTED_VALUE"""),3.0)</f>
        <v>3</v>
      </c>
      <c r="B4" s="19"/>
      <c r="C4" s="45"/>
      <c r="D4" s="45"/>
      <c r="E4" s="46"/>
      <c r="F4" s="3"/>
      <c r="G4" s="12"/>
      <c r="H4" s="12"/>
      <c r="I4" s="12"/>
      <c r="J4" s="12"/>
    </row>
    <row r="5">
      <c r="A5" s="48">
        <f>IFERROR(__xludf.DUMMYFUNCTION("""COMPUTED_VALUE"""),4.0)</f>
        <v>4</v>
      </c>
      <c r="B5" s="19"/>
      <c r="C5" s="45"/>
      <c r="D5" s="3"/>
      <c r="E5" s="3"/>
      <c r="F5" s="3"/>
      <c r="G5" s="3"/>
      <c r="H5" s="12"/>
      <c r="I5" s="12"/>
      <c r="J5" s="12"/>
    </row>
    <row r="6">
      <c r="A6" s="48">
        <f>IFERROR(__xludf.DUMMYFUNCTION("""COMPUTED_VALUE"""),5.0)</f>
        <v>5</v>
      </c>
      <c r="B6" s="19"/>
      <c r="C6" s="34"/>
      <c r="D6" s="34"/>
      <c r="E6" s="12"/>
      <c r="F6" s="12"/>
      <c r="G6" s="12"/>
      <c r="H6" s="12"/>
      <c r="I6" s="12"/>
      <c r="J6" s="12"/>
    </row>
    <row r="7">
      <c r="A7" s="48">
        <f>IFERROR(__xludf.DUMMYFUNCTION("""COMPUTED_VALUE"""),10.0)</f>
        <v>10</v>
      </c>
      <c r="B7" s="19"/>
      <c r="C7" s="45"/>
      <c r="D7" s="45"/>
      <c r="E7" s="3"/>
      <c r="F7" s="3"/>
      <c r="G7" s="3"/>
      <c r="H7" s="3"/>
      <c r="I7" s="12"/>
      <c r="J7" s="12"/>
    </row>
    <row r="8">
      <c r="A8" s="48">
        <f>IFERROR(__xludf.DUMMYFUNCTION("""COMPUTED_VALUE"""),12.0)</f>
        <v>12</v>
      </c>
      <c r="B8" s="19"/>
      <c r="C8" s="45"/>
      <c r="D8" s="45"/>
      <c r="E8" s="3"/>
      <c r="F8" s="12"/>
      <c r="G8" s="12"/>
      <c r="H8" s="12"/>
      <c r="I8" s="12"/>
      <c r="J8" s="12"/>
    </row>
    <row r="9">
      <c r="A9" s="48">
        <f>IFERROR(__xludf.DUMMYFUNCTION("""COMPUTED_VALUE"""),13.0)</f>
        <v>13</v>
      </c>
      <c r="B9" s="19"/>
      <c r="C9" s="45"/>
      <c r="D9" s="45"/>
      <c r="E9" s="3"/>
      <c r="F9" s="3"/>
      <c r="G9" s="3"/>
      <c r="H9" s="12"/>
      <c r="I9" s="12"/>
      <c r="J9" s="12"/>
    </row>
    <row r="10">
      <c r="A10" s="48">
        <f>IFERROR(__xludf.DUMMYFUNCTION("""COMPUTED_VALUE"""),14.0)</f>
        <v>14</v>
      </c>
      <c r="B10" s="19"/>
      <c r="C10" s="45"/>
      <c r="D10" s="3"/>
      <c r="E10" s="3"/>
      <c r="G10" s="12"/>
      <c r="H10" s="12"/>
      <c r="I10" s="12"/>
      <c r="J10" s="12"/>
    </row>
    <row r="11">
      <c r="A11" s="48">
        <f>IFERROR(__xludf.DUMMYFUNCTION("""COMPUTED_VALUE"""),16.0)</f>
        <v>16</v>
      </c>
      <c r="B11" s="19"/>
      <c r="C11" s="28"/>
      <c r="D11" s="3"/>
      <c r="E11" s="12"/>
      <c r="F11" s="12"/>
      <c r="G11" s="12"/>
      <c r="H11" s="12"/>
      <c r="I11" s="12"/>
      <c r="J11" s="12"/>
    </row>
    <row r="12">
      <c r="A12" s="48">
        <f>IFERROR(__xludf.DUMMYFUNCTION("""COMPUTED_VALUE"""),19.0)</f>
        <v>19</v>
      </c>
      <c r="B12" s="19"/>
      <c r="C12" s="45"/>
      <c r="D12" s="3"/>
      <c r="E12" s="12"/>
      <c r="F12" s="12"/>
      <c r="G12" s="12"/>
      <c r="H12" s="12"/>
      <c r="I12" s="12"/>
      <c r="J12" s="12"/>
    </row>
    <row r="13">
      <c r="A13" s="48">
        <f>IFERROR(__xludf.DUMMYFUNCTION("""COMPUTED_VALUE"""),21.0)</f>
        <v>21</v>
      </c>
      <c r="B13" s="19"/>
      <c r="C13" s="46"/>
      <c r="D13" s="3"/>
      <c r="E13" s="12"/>
      <c r="F13" s="12"/>
      <c r="G13" s="12"/>
      <c r="H13" s="12"/>
      <c r="I13" s="12"/>
      <c r="J13" s="12"/>
    </row>
    <row r="14">
      <c r="A14" s="48">
        <f>IFERROR(__xludf.DUMMYFUNCTION("""COMPUTED_VALUE"""),22.0)</f>
        <v>22</v>
      </c>
      <c r="B14" s="19"/>
      <c r="C14" s="45"/>
      <c r="D14" s="45"/>
      <c r="E14" s="3"/>
      <c r="F14" s="3"/>
      <c r="G14" s="12"/>
      <c r="H14" s="12"/>
      <c r="I14" s="12"/>
      <c r="J14" s="12"/>
    </row>
    <row r="15">
      <c r="A15" s="48">
        <f>IFERROR(__xludf.DUMMYFUNCTION("""COMPUTED_VALUE"""),24.0)</f>
        <v>24</v>
      </c>
      <c r="B15" s="19"/>
      <c r="C15" s="45"/>
      <c r="D15" s="45"/>
      <c r="E15" s="3"/>
      <c r="F15" s="12"/>
      <c r="G15" s="12"/>
      <c r="H15" s="12"/>
      <c r="I15" s="12"/>
      <c r="J15" s="12"/>
    </row>
    <row r="16">
      <c r="A16" s="48">
        <f>IFERROR(__xludf.DUMMYFUNCTION("""COMPUTED_VALUE"""),25.0)</f>
        <v>25</v>
      </c>
      <c r="B16" s="19"/>
      <c r="C16" s="45"/>
      <c r="D16" s="45"/>
      <c r="E16" s="3"/>
      <c r="F16" s="12"/>
      <c r="G16" s="12"/>
      <c r="H16" s="12"/>
      <c r="I16" s="12"/>
      <c r="J16" s="12"/>
    </row>
    <row r="17">
      <c r="A17" s="48">
        <f>IFERROR(__xludf.DUMMYFUNCTION("""COMPUTED_VALUE"""),26.0)</f>
        <v>26</v>
      </c>
      <c r="B17" s="19"/>
      <c r="C17" s="45"/>
      <c r="D17" s="26"/>
      <c r="E17" s="26"/>
      <c r="F17" s="12"/>
      <c r="G17" s="12"/>
      <c r="H17" s="12"/>
      <c r="I17" s="12"/>
      <c r="J17" s="12"/>
    </row>
    <row r="18">
      <c r="A18" s="48">
        <f>IFERROR(__xludf.DUMMYFUNCTION("""COMPUTED_VALUE"""),28.0)</f>
        <v>28</v>
      </c>
      <c r="B18" s="19"/>
      <c r="C18" s="45"/>
      <c r="D18" s="45"/>
      <c r="E18" s="3"/>
      <c r="F18" s="12"/>
      <c r="G18" s="12"/>
      <c r="H18" s="12"/>
      <c r="I18" s="12"/>
      <c r="J18" s="12"/>
    </row>
    <row r="19">
      <c r="A19" s="48">
        <f>IFERROR(__xludf.DUMMYFUNCTION("""COMPUTED_VALUE"""),29.0)</f>
        <v>29</v>
      </c>
      <c r="B19" s="19"/>
      <c r="C19" s="45"/>
      <c r="D19" s="45"/>
      <c r="E19" s="3"/>
      <c r="F19" s="12"/>
      <c r="G19" s="12"/>
      <c r="H19" s="12"/>
      <c r="I19" s="12"/>
      <c r="J19" s="12"/>
    </row>
    <row r="20">
      <c r="A20" s="48">
        <f>IFERROR(__xludf.DUMMYFUNCTION("""COMPUTED_VALUE"""),30.0)</f>
        <v>30</v>
      </c>
      <c r="B20" s="19"/>
      <c r="C20" s="45"/>
      <c r="D20" s="3"/>
      <c r="E20" s="3"/>
      <c r="F20" s="12"/>
      <c r="G20" s="12"/>
      <c r="H20" s="12"/>
      <c r="I20" s="12"/>
      <c r="J20" s="12"/>
    </row>
    <row r="21">
      <c r="A21" s="48">
        <f>IFERROR(__xludf.DUMMYFUNCTION("""COMPUTED_VALUE"""),31.0)</f>
        <v>31</v>
      </c>
      <c r="B21" s="19"/>
      <c r="C21" s="45"/>
      <c r="D21" s="3"/>
      <c r="E21" s="12"/>
      <c r="F21" s="12"/>
      <c r="G21" s="12"/>
      <c r="H21" s="12"/>
      <c r="I21" s="12"/>
      <c r="J21" s="12"/>
    </row>
    <row r="22">
      <c r="A22" s="48">
        <f>IFERROR(__xludf.DUMMYFUNCTION("""COMPUTED_VALUE"""),32.0)</f>
        <v>32</v>
      </c>
      <c r="B22" s="19"/>
      <c r="C22" s="3"/>
      <c r="D22" s="26"/>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26"/>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26"/>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IFERROR(__xludf.DUMMYFUNCTION("""COMPUTED_VALUE"""),"Mobile games, because I don't want my email shared with them.")</f>
        <v>Mobile games, because I don't want my email shared with them.</v>
      </c>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26"/>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IFERROR(__xludf.DUMMYFUNCTION("QUERY({'S15 (secondary)'!C2:C1000;'S15 (secondary)'!D2:D1000;'S15 (secondary)'!E2:E1000;'S15 (secondary)'!F2:F1000;'S15 (secondary)'!G2:G1000;'S15 (secondary)'!H2:H1000;'S15 (secondary)'!I2:I1000;'S15 (secondary)'!J2:J1000;'S15 (secondary)'!K2:K1000}, ""s"&amp;"elect Col1, count(Col1) where Col1 is not null group by Col1 order by Col1 asc"")"),"")</f>
        <v/>
      </c>
      <c r="B2" s="34" t="str">
        <f>IFERROR(__xludf.DUMMYFUNCTION("""COMPUTED_VALUE"""),"count ")</f>
        <v>count </v>
      </c>
      <c r="C2" s="34"/>
      <c r="D2" s="34"/>
      <c r="E2" s="34" t="str">
        <f>IFERROR(__xludf.DUMMYFUNCTION("QUERY({'S15 (secondary)'!C2:C1000;'S15 (secondary)'!D2:D1000;'S15 (secondary)'!E2:E1000;'S15 (secondary)'!F2:F1000;'S15 (secondary)'!G2:G1000;'S15 (secondary)'!H2:H1000;'S15 (secondary)'!I2:I1000;'S15 (secondary)'!J2:J1000;'S15 (secondary)'!K2:K1000}, ""s"&amp;"elect Col1, count(Col1) where Col1 is not null and not Col1 contains '-&gt;' group by Col1 order by count(Col1) asc"")"),"")</f>
        <v/>
      </c>
      <c r="F2" s="34" t="str">
        <f>IFERROR(__xludf.DUMMYFUNCTION("""COMPUTED_VALUE"""),"count ")</f>
        <v>count </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A,I"")"),"Response ID")</f>
        <v>Response ID</v>
      </c>
      <c r="B1" s="17" t="str">
        <f>IFERROR(__xludf.DUMMYFUNCTION("""COMPUTED_VALUE"""),"generic_recall_sso_yes_account")</f>
        <v>generic_recall_sso_yes_account</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54"/>
      <c r="D3" s="3"/>
      <c r="E3" s="3"/>
      <c r="F3" s="3"/>
      <c r="G3" s="12"/>
      <c r="H3" s="12"/>
      <c r="I3" s="12"/>
      <c r="J3" s="12"/>
    </row>
    <row r="4">
      <c r="A4" s="48">
        <f>IFERROR(__xludf.DUMMYFUNCTION("""COMPUTED_VALUE"""),3.0)</f>
        <v>3</v>
      </c>
      <c r="B4" s="19"/>
      <c r="C4" s="54"/>
      <c r="D4" s="3"/>
      <c r="E4" s="3"/>
      <c r="F4" s="3"/>
      <c r="G4" s="12"/>
      <c r="H4" s="12"/>
      <c r="I4" s="12"/>
      <c r="J4" s="12"/>
    </row>
    <row r="5">
      <c r="A5" s="48">
        <f>IFERROR(__xludf.DUMMYFUNCTION("""COMPUTED_VALUE"""),4.0)</f>
        <v>4</v>
      </c>
      <c r="B5" s="19"/>
      <c r="C5" s="54"/>
      <c r="D5" s="3"/>
      <c r="E5" s="3"/>
      <c r="F5" s="3"/>
      <c r="G5" s="3"/>
      <c r="H5" s="12"/>
      <c r="I5" s="12"/>
      <c r="J5" s="12"/>
    </row>
    <row r="6">
      <c r="A6" s="48">
        <f>IFERROR(__xludf.DUMMYFUNCTION("""COMPUTED_VALUE"""),5.0)</f>
        <v>5</v>
      </c>
      <c r="B6" s="19"/>
      <c r="C6" s="3"/>
      <c r="D6" s="3"/>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54"/>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26"/>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E15" s="12"/>
      <c r="F15" s="12"/>
      <c r="G15" s="12"/>
      <c r="H15" s="12"/>
      <c r="I15" s="12"/>
      <c r="J15" s="12"/>
    </row>
    <row r="16">
      <c r="A16" s="48">
        <f>IFERROR(__xludf.DUMMYFUNCTION("""COMPUTED_VALUE"""),25.0)</f>
        <v>25</v>
      </c>
      <c r="B16" s="19"/>
      <c r="C16" s="3"/>
      <c r="D16" s="3"/>
      <c r="E16" s="3"/>
      <c r="F16" s="12"/>
      <c r="G16" s="12"/>
      <c r="H16" s="12"/>
      <c r="I16" s="12"/>
      <c r="J16" s="12"/>
    </row>
    <row r="17">
      <c r="A17" s="48">
        <f>IFERROR(__xludf.DUMMYFUNCTION("""COMPUTED_VALUE"""),26.0)</f>
        <v>26</v>
      </c>
      <c r="B17" s="19"/>
      <c r="C17" s="54"/>
      <c r="D17" s="26"/>
      <c r="E17" s="26"/>
      <c r="F17" s="12"/>
      <c r="G17" s="12"/>
      <c r="H17" s="12"/>
      <c r="I17" s="12"/>
      <c r="J17" s="12"/>
    </row>
    <row r="18">
      <c r="A18" s="48">
        <f>IFERROR(__xludf.DUMMYFUNCTION("""COMPUTED_VALUE"""),28.0)</f>
        <v>28</v>
      </c>
      <c r="B18" s="19"/>
      <c r="C18" s="54"/>
      <c r="D18" s="3"/>
      <c r="E18" s="3"/>
      <c r="F18" s="12"/>
      <c r="G18" s="12"/>
      <c r="H18" s="12"/>
      <c r="I18" s="12"/>
      <c r="J18" s="12"/>
    </row>
    <row r="19">
      <c r="A19" s="48">
        <f>IFERROR(__xludf.DUMMYFUNCTION("""COMPUTED_VALUE"""),29.0)</f>
        <v>29</v>
      </c>
      <c r="B19" s="19"/>
      <c r="C19" s="54"/>
      <c r="D19" s="26"/>
      <c r="E19" s="3"/>
      <c r="F19" s="12"/>
      <c r="G19" s="12"/>
      <c r="H19" s="12"/>
      <c r="I19" s="12"/>
      <c r="J19" s="12"/>
    </row>
    <row r="20">
      <c r="A20" s="48">
        <f>IFERROR(__xludf.DUMMYFUNCTION("""COMPUTED_VALUE"""),30.0)</f>
        <v>30</v>
      </c>
      <c r="B20" s="19"/>
      <c r="C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26"/>
      <c r="E22" s="3"/>
      <c r="F22" s="3"/>
      <c r="G22" s="12"/>
      <c r="H22" s="12"/>
      <c r="I22" s="12"/>
      <c r="J22" s="12"/>
    </row>
    <row r="23">
      <c r="A23" s="48">
        <f>IFERROR(__xludf.DUMMYFUNCTION("""COMPUTED_VALUE"""),35.0)</f>
        <v>35</v>
      </c>
      <c r="B23" s="19"/>
      <c r="C23" s="54"/>
      <c r="D23" s="3"/>
      <c r="E23" s="3"/>
      <c r="F23" s="12"/>
      <c r="G23" s="12"/>
      <c r="H23" s="12"/>
      <c r="I23" s="12"/>
      <c r="J23" s="12"/>
    </row>
    <row r="24">
      <c r="A24" s="48">
        <f>IFERROR(__xludf.DUMMYFUNCTION("""COMPUTED_VALUE"""),36.0)</f>
        <v>36</v>
      </c>
      <c r="B24" s="19"/>
      <c r="C24" s="54"/>
      <c r="D24" s="3"/>
      <c r="E24" s="12"/>
      <c r="F24" s="12"/>
      <c r="G24" s="12"/>
      <c r="H24" s="12"/>
      <c r="I24" s="12"/>
      <c r="J24" s="12"/>
    </row>
    <row r="25">
      <c r="A25" s="48">
        <f>IFERROR(__xludf.DUMMYFUNCTION("""COMPUTED_VALUE"""),39.0)</f>
        <v>39</v>
      </c>
      <c r="B25" s="19"/>
      <c r="C25" s="54"/>
      <c r="D25" s="3"/>
      <c r="E25" s="3"/>
      <c r="F25" s="12"/>
      <c r="G25" s="12"/>
      <c r="H25" s="12"/>
      <c r="I25" s="12"/>
      <c r="J25" s="12"/>
    </row>
    <row r="26">
      <c r="A26" s="48">
        <f>IFERROR(__xludf.DUMMYFUNCTION("""COMPUTED_VALUE"""),40.0)</f>
        <v>40</v>
      </c>
      <c r="B26" s="19"/>
      <c r="C26" s="54"/>
      <c r="D26" s="3"/>
      <c r="E26" s="3"/>
      <c r="F26" s="12"/>
      <c r="G26" s="12"/>
      <c r="H26" s="12"/>
      <c r="I26" s="12"/>
      <c r="J26" s="12"/>
    </row>
    <row r="27">
      <c r="A27" s="48">
        <f>IFERROR(__xludf.DUMMYFUNCTION("""COMPUTED_VALUE"""),42.0)</f>
        <v>42</v>
      </c>
      <c r="B27" s="19"/>
      <c r="C27" s="3"/>
      <c r="E27" s="12"/>
      <c r="F27" s="12"/>
      <c r="G27" s="12"/>
      <c r="H27" s="12"/>
      <c r="I27" s="12"/>
      <c r="J27" s="12"/>
    </row>
    <row r="28">
      <c r="A28" s="48">
        <f>IFERROR(__xludf.DUMMYFUNCTION("""COMPUTED_VALUE"""),46.0)</f>
        <v>46</v>
      </c>
      <c r="B28" s="19"/>
      <c r="C28" s="3"/>
      <c r="D28" s="3"/>
      <c r="E28" s="26"/>
      <c r="F28" s="26"/>
      <c r="G28" s="12"/>
      <c r="H28" s="12"/>
      <c r="I28" s="12"/>
      <c r="J28" s="12"/>
    </row>
    <row r="29">
      <c r="A29">
        <f>IFERROR(__xludf.DUMMYFUNCTION("""COMPUTED_VALUE"""),47.0)</f>
        <v>47</v>
      </c>
      <c r="B29" s="12"/>
      <c r="C29" s="54"/>
      <c r="D29" s="3"/>
      <c r="E29" s="26"/>
      <c r="F29" s="26"/>
      <c r="G29" s="12"/>
      <c r="H29" s="12"/>
      <c r="I29" s="12"/>
      <c r="J29" s="12"/>
    </row>
    <row r="30">
      <c r="A30">
        <f>IFERROR(__xludf.DUMMYFUNCTION("""COMPUTED_VALUE"""),50.0)</f>
        <v>50</v>
      </c>
      <c r="B30" s="12"/>
      <c r="C30" s="3"/>
      <c r="E30" s="3"/>
      <c r="F30" s="12"/>
      <c r="G30" s="12"/>
      <c r="H30" s="12"/>
      <c r="I30" s="12"/>
      <c r="J30" s="12"/>
    </row>
    <row r="31">
      <c r="A31">
        <f>IFERROR(__xludf.DUMMYFUNCTION("""COMPUTED_VALUE"""),51.0)</f>
        <v>51</v>
      </c>
      <c r="B31" s="12"/>
      <c r="C31" s="54"/>
      <c r="D31" s="26"/>
      <c r="E31" s="12"/>
      <c r="F31" s="12"/>
      <c r="G31" s="12"/>
      <c r="H31" s="12"/>
      <c r="I31" s="12"/>
      <c r="J31" s="12"/>
    </row>
    <row r="32">
      <c r="A32">
        <f>IFERROR(__xludf.DUMMYFUNCTION("""COMPUTED_VALUE"""),52.0)</f>
        <v>52</v>
      </c>
      <c r="B32" s="12"/>
      <c r="C32" s="54"/>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54"/>
      <c r="D34" s="3"/>
      <c r="E34" s="12"/>
      <c r="F34" s="12"/>
      <c r="G34" s="12"/>
      <c r="H34" s="12"/>
      <c r="I34" s="12"/>
      <c r="J34" s="12"/>
    </row>
    <row r="35">
      <c r="A35">
        <f>IFERROR(__xludf.DUMMYFUNCTION("""COMPUTED_VALUE"""),56.0)</f>
        <v>56</v>
      </c>
      <c r="B35" s="12"/>
      <c r="C35" s="54"/>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28"/>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54"/>
      <c r="D40" s="3"/>
      <c r="E40" s="3"/>
      <c r="F40" s="12"/>
      <c r="G40" s="12"/>
      <c r="H40" s="12"/>
      <c r="I40" s="12"/>
      <c r="J40" s="12"/>
    </row>
    <row r="41">
      <c r="A41">
        <f>IFERROR(__xludf.DUMMYFUNCTION("""COMPUTED_VALUE"""),64.0)</f>
        <v>64</v>
      </c>
      <c r="B41" s="12"/>
      <c r="C41" s="54"/>
      <c r="D41" s="3"/>
      <c r="E41" s="12"/>
      <c r="F41" s="12"/>
      <c r="G41" s="12"/>
      <c r="H41" s="12"/>
      <c r="I41" s="12"/>
      <c r="J41" s="12"/>
    </row>
    <row r="42">
      <c r="A42">
        <f>IFERROR(__xludf.DUMMYFUNCTION("""COMPUTED_VALUE"""),66.0)</f>
        <v>66</v>
      </c>
      <c r="B42" s="12"/>
      <c r="C42" s="3"/>
      <c r="D42" s="3"/>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54"/>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54"/>
      <c r="D50" s="12"/>
      <c r="E50" s="12"/>
      <c r="F50" s="12"/>
      <c r="G50" s="12"/>
      <c r="H50" s="12"/>
      <c r="I50" s="12"/>
      <c r="J50" s="12"/>
    </row>
    <row r="51">
      <c r="A51">
        <f>IFERROR(__xludf.DUMMYFUNCTION("""COMPUTED_VALUE"""),80.0)</f>
        <v>80</v>
      </c>
      <c r="B51" s="12"/>
      <c r="C51" s="54"/>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IFERROR(__xludf.DUMMYFUNCTION("""COMPUTED_VALUE"""),"I used log in with Apple.")</f>
        <v>I used log in with Apple.</v>
      </c>
      <c r="C57" s="3"/>
      <c r="D57" s="3"/>
      <c r="E57" s="12"/>
      <c r="F57" s="12"/>
      <c r="G57" s="12"/>
      <c r="H57" s="12"/>
      <c r="I57" s="12"/>
      <c r="J57" s="12"/>
    </row>
    <row r="58">
      <c r="A58">
        <f>IFERROR(__xludf.DUMMYFUNCTION("""COMPUTED_VALUE"""),90.0)</f>
        <v>90</v>
      </c>
      <c r="B58" s="12"/>
      <c r="C58" s="3"/>
      <c r="D58" s="3"/>
      <c r="E58" s="3"/>
      <c r="F58" s="3"/>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3"/>
      <c r="E61" s="26"/>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54"/>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54"/>
      <c r="D65" s="3"/>
      <c r="E65" s="3"/>
      <c r="F65" s="3"/>
      <c r="G65" s="26"/>
      <c r="H65" s="12"/>
      <c r="I65" s="12"/>
      <c r="J65" s="12"/>
    </row>
    <row r="66">
      <c r="A66">
        <f>IFERROR(__xludf.DUMMYFUNCTION("""COMPUTED_VALUE"""),103.0)</f>
        <v>103</v>
      </c>
      <c r="B66" s="12"/>
      <c r="C66" s="28"/>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54"/>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54"/>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26"/>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54"/>
      <c r="D79" s="3"/>
      <c r="E79" s="12"/>
      <c r="F79" s="12"/>
      <c r="G79" s="12"/>
      <c r="H79" s="12"/>
      <c r="I79" s="12"/>
      <c r="J79" s="12"/>
    </row>
    <row r="80">
      <c r="A80">
        <f>IFERROR(__xludf.DUMMYFUNCTION("""COMPUTED_VALUE"""),124.0)</f>
        <v>124</v>
      </c>
      <c r="B80" s="12"/>
      <c r="C80" s="54"/>
      <c r="D80" s="3"/>
      <c r="E80" s="3"/>
      <c r="F80" s="12"/>
      <c r="G80" s="12"/>
      <c r="H80" s="12"/>
      <c r="I80" s="12"/>
      <c r="J80" s="12"/>
    </row>
    <row r="81">
      <c r="A81">
        <f>IFERROR(__xludf.DUMMYFUNCTION("""COMPUTED_VALUE"""),125.0)</f>
        <v>125</v>
      </c>
      <c r="B81" s="12"/>
      <c r="C81" s="28"/>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54"/>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E93" s="12"/>
      <c r="F93" s="12"/>
      <c r="G93" s="12"/>
      <c r="H93" s="12"/>
      <c r="I93" s="12"/>
      <c r="J93" s="12"/>
    </row>
    <row r="94">
      <c r="A94">
        <f>IFERROR(__xludf.DUMMYFUNCTION("""COMPUTED_VALUE"""),143.0)</f>
        <v>143</v>
      </c>
      <c r="B94" s="12"/>
      <c r="C94" s="28"/>
      <c r="D94" s="68"/>
      <c r="E94" s="3"/>
      <c r="F94" s="12"/>
      <c r="G94" s="12"/>
      <c r="H94" s="12"/>
      <c r="I94" s="12"/>
      <c r="J94" s="12"/>
    </row>
    <row r="95">
      <c r="A95">
        <f>IFERROR(__xludf.DUMMYFUNCTION("""COMPUTED_VALUE"""),146.0)</f>
        <v>146</v>
      </c>
      <c r="B95" s="12"/>
      <c r="C95" s="3"/>
      <c r="D95" s="3"/>
      <c r="E95" s="3"/>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28"/>
      <c r="D102" s="3"/>
      <c r="E102" s="3"/>
      <c r="F102" s="12"/>
      <c r="G102" s="12"/>
      <c r="H102" s="12"/>
      <c r="I102" s="12"/>
      <c r="J102" s="12"/>
    </row>
    <row r="103">
      <c r="A103">
        <f>IFERROR(__xludf.DUMMYFUNCTION("""COMPUTED_VALUE"""),155.0)</f>
        <v>155</v>
      </c>
      <c r="B103" s="12"/>
      <c r="C103" s="28"/>
      <c r="D103" s="3"/>
      <c r="E103" s="12"/>
      <c r="F103" s="12"/>
      <c r="G103" s="12"/>
      <c r="H103" s="12"/>
      <c r="I103" s="12"/>
      <c r="J103" s="12"/>
    </row>
    <row r="104">
      <c r="A104">
        <f>IFERROR(__xludf.DUMMYFUNCTION("""COMPUTED_VALUE"""),156.0)</f>
        <v>156</v>
      </c>
      <c r="B104" s="12"/>
      <c r="C104" s="28"/>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IFERROR(__xludf.DUMMYFUNCTION("QUERY({'S16 (primary)'!C2:C1000;'S16 (primary)'!D2:D1000;'S16 (primary)'!E2:E1000;'S16 (primary)'!F2:F1000;'S16 (primary)'!G2:G1000;'S16 (primary)'!H2:H1000;'S16 (primary)'!I2:I1000;'S16 (primary)'!J2:J1000;'S16 (primary)'!K2:K1000}, ""select Col1, count("&amp;"Col1) where Col1 is not null group by Col1 order by Col1 asc"")"),"")</f>
        <v/>
      </c>
      <c r="B2" s="34" t="str">
        <f>IFERROR(__xludf.DUMMYFUNCTION("""COMPUTED_VALUE"""),"count ")</f>
        <v>count </v>
      </c>
      <c r="C2" s="34"/>
      <c r="D2" s="34"/>
      <c r="E2" s="34" t="str">
        <f>IFERROR(__xludf.DUMMYFUNCTION("QUERY({'S16 (primary)'!C2:C1000;'S16 (primary)'!D2:D1000;'S16 (primary)'!E2:E1000;'S16 (primary)'!F2:F1000;'S16 (primary)'!G2:G1000;'S16 (primary)'!H2:H1000;'S16 (primary)'!I2:I1000;'S16 (primary)'!J2:J1000;'S16 (primary)'!K2:K1000}, ""select Col1, count("&amp;"Col1) where Col1 is not null and not Col1 contains '-&gt;' group by Col1 order by count(Col1) desc"")"),"")</f>
        <v/>
      </c>
      <c r="F2" s="34" t="str">
        <f>IFERROR(__xludf.DUMMYFUNCTION("""COMPUTED_VALUE"""),"count ")</f>
        <v>count </v>
      </c>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row r="19">
      <c r="G19" s="44"/>
    </row>
    <row r="20">
      <c r="G20" s="4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A,I"")"),"Response ID")</f>
        <v>Response ID</v>
      </c>
      <c r="B1" s="17" t="str">
        <f>IFERROR(__xludf.DUMMYFUNCTION("""COMPUTED_VALUE"""),"generic_recall_sso_yes_account")</f>
        <v>generic_recall_sso_yes_account</v>
      </c>
      <c r="C1" s="17" t="s">
        <v>1399</v>
      </c>
      <c r="D1" s="17" t="s">
        <v>1400</v>
      </c>
      <c r="E1" s="17" t="s">
        <v>1401</v>
      </c>
      <c r="F1" s="17" t="s">
        <v>1402</v>
      </c>
      <c r="G1" s="17" t="s">
        <v>1403</v>
      </c>
      <c r="H1" s="17" t="s">
        <v>1404</v>
      </c>
      <c r="I1" s="17" t="s">
        <v>1405</v>
      </c>
      <c r="J1" s="17" t="s">
        <v>1406</v>
      </c>
    </row>
    <row r="2">
      <c r="A2" s="48">
        <f>IFERROR(__xludf.DUMMYFUNCTION("""COMPUTED_VALUE"""),1.0)</f>
        <v>1</v>
      </c>
      <c r="B2" s="19"/>
      <c r="C2" s="45"/>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45"/>
      <c r="D6" s="45"/>
      <c r="E6" s="12"/>
      <c r="F6" s="12"/>
      <c r="G6" s="12"/>
      <c r="H6" s="12"/>
      <c r="I6" s="12"/>
      <c r="J6" s="12"/>
    </row>
    <row r="7">
      <c r="A7" s="48">
        <f>IFERROR(__xludf.DUMMYFUNCTION("""COMPUTED_VALUE"""),10.0)</f>
        <v>10</v>
      </c>
      <c r="B7" s="19"/>
      <c r="C7" s="45"/>
      <c r="D7" s="45"/>
      <c r="E7" s="3"/>
      <c r="F7" s="3"/>
      <c r="G7" s="3"/>
      <c r="H7" s="3"/>
      <c r="I7" s="12"/>
      <c r="J7" s="12"/>
    </row>
    <row r="8">
      <c r="A8" s="48">
        <f>IFERROR(__xludf.DUMMYFUNCTION("""COMPUTED_VALUE"""),12.0)</f>
        <v>12</v>
      </c>
      <c r="B8" s="19"/>
      <c r="C8" s="45"/>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45"/>
      <c r="D10" s="3"/>
      <c r="E10" s="3"/>
      <c r="G10" s="12"/>
      <c r="H10" s="12"/>
      <c r="I10" s="12"/>
      <c r="J10" s="12"/>
    </row>
    <row r="11">
      <c r="A11" s="48">
        <f>IFERROR(__xludf.DUMMYFUNCTION("""COMPUTED_VALUE"""),16.0)</f>
        <v>16</v>
      </c>
      <c r="B11" s="19"/>
      <c r="C11" s="45"/>
      <c r="D11" s="3"/>
      <c r="E11" s="12"/>
      <c r="F11" s="12"/>
      <c r="G11" s="12"/>
      <c r="H11" s="12"/>
      <c r="I11" s="12"/>
      <c r="J11" s="12"/>
    </row>
    <row r="12">
      <c r="A12" s="48">
        <f>IFERROR(__xludf.DUMMYFUNCTION("""COMPUTED_VALUE"""),19.0)</f>
        <v>19</v>
      </c>
      <c r="B12" s="19"/>
      <c r="C12" s="45"/>
      <c r="D12" s="3"/>
      <c r="E12" s="12"/>
      <c r="F12" s="12"/>
      <c r="G12" s="12"/>
      <c r="H12" s="12"/>
      <c r="I12" s="12"/>
      <c r="J12" s="12"/>
    </row>
    <row r="13">
      <c r="A13" s="48">
        <f>IFERROR(__xludf.DUMMYFUNCTION("""COMPUTED_VALUE"""),21.0)</f>
        <v>21</v>
      </c>
      <c r="B13" s="19"/>
      <c r="C13" s="45"/>
      <c r="D13" s="3"/>
      <c r="E13" s="12"/>
      <c r="F13" s="12"/>
      <c r="G13" s="12"/>
      <c r="H13" s="12"/>
      <c r="I13" s="12"/>
      <c r="J13" s="12"/>
    </row>
    <row r="14">
      <c r="A14" s="48">
        <f>IFERROR(__xludf.DUMMYFUNCTION("""COMPUTED_VALUE"""),22.0)</f>
        <v>22</v>
      </c>
      <c r="B14" s="19"/>
      <c r="C14" s="45"/>
      <c r="D14" s="3"/>
      <c r="E14" s="3"/>
      <c r="F14" s="3"/>
      <c r="G14" s="12"/>
      <c r="H14" s="12"/>
      <c r="I14" s="12"/>
      <c r="J14" s="12"/>
    </row>
    <row r="15">
      <c r="A15" s="48">
        <f>IFERROR(__xludf.DUMMYFUNCTION("""COMPUTED_VALUE"""),24.0)</f>
        <v>24</v>
      </c>
      <c r="B15" s="19"/>
      <c r="C15" s="46"/>
      <c r="D15" s="3"/>
      <c r="E15" s="12"/>
      <c r="F15" s="12"/>
      <c r="G15" s="12"/>
      <c r="H15" s="12"/>
      <c r="I15" s="12"/>
      <c r="J15" s="12"/>
    </row>
    <row r="16">
      <c r="A16" s="48">
        <f>IFERROR(__xludf.DUMMYFUNCTION("""COMPUTED_VALUE"""),25.0)</f>
        <v>25</v>
      </c>
      <c r="B16" s="19"/>
      <c r="C16" s="45"/>
      <c r="D16" s="3"/>
      <c r="E16" s="3"/>
      <c r="F16" s="12"/>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26"/>
      <c r="D19" s="3"/>
      <c r="E19" s="3"/>
      <c r="F19" s="12"/>
      <c r="G19" s="12"/>
      <c r="H19" s="12"/>
      <c r="I19" s="12"/>
      <c r="J19" s="12"/>
    </row>
    <row r="20">
      <c r="A20" s="48">
        <f>IFERROR(__xludf.DUMMYFUNCTION("""COMPUTED_VALUE"""),30.0)</f>
        <v>30</v>
      </c>
      <c r="B20" s="19"/>
      <c r="C20" s="34"/>
      <c r="D20" s="45"/>
      <c r="E20" s="45"/>
      <c r="F20" s="12"/>
      <c r="G20" s="12"/>
      <c r="H20" s="12"/>
      <c r="I20" s="12"/>
      <c r="J20" s="12"/>
    </row>
    <row r="21">
      <c r="A21" s="48">
        <f>IFERROR(__xludf.DUMMYFUNCTION("""COMPUTED_VALUE"""),31.0)</f>
        <v>31</v>
      </c>
      <c r="B21" s="19"/>
      <c r="C21" s="45"/>
      <c r="D21" s="3"/>
      <c r="E21" s="12"/>
      <c r="F21" s="12"/>
      <c r="G21" s="12"/>
      <c r="H21" s="12"/>
      <c r="I21" s="12"/>
      <c r="J21" s="12"/>
    </row>
    <row r="22">
      <c r="A22" s="48">
        <f>IFERROR(__xludf.DUMMYFUNCTION("""COMPUTED_VALUE"""),32.0)</f>
        <v>32</v>
      </c>
      <c r="B22" s="19"/>
      <c r="C22" s="45"/>
      <c r="D22" s="26"/>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45"/>
      <c r="D27" s="3"/>
      <c r="E27" s="12"/>
      <c r="F27" s="12"/>
      <c r="G27" s="12"/>
      <c r="H27" s="12"/>
      <c r="I27" s="12"/>
      <c r="J27" s="12"/>
    </row>
    <row r="28">
      <c r="A28" s="48">
        <f>IFERROR(__xludf.DUMMYFUNCTION("""COMPUTED_VALUE"""),46.0)</f>
        <v>46</v>
      </c>
      <c r="B28" s="19"/>
      <c r="C28" s="45"/>
      <c r="D28" s="3"/>
      <c r="E28" s="26"/>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45"/>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45"/>
      <c r="D33" s="45"/>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45"/>
      <c r="D36" s="3"/>
      <c r="E36" s="12"/>
      <c r="F36" s="12"/>
      <c r="G36" s="12"/>
      <c r="H36" s="12"/>
      <c r="I36" s="12"/>
      <c r="J36" s="12"/>
    </row>
    <row r="37">
      <c r="A37">
        <f>IFERROR(__xludf.DUMMYFUNCTION("""COMPUTED_VALUE"""),59.0)</f>
        <v>59</v>
      </c>
      <c r="B37" s="12"/>
      <c r="C37" s="45"/>
      <c r="D37" s="3"/>
      <c r="E37" s="3"/>
      <c r="F37" s="3"/>
      <c r="G37" s="3"/>
      <c r="H37" s="12"/>
      <c r="I37" s="12"/>
      <c r="J37" s="12"/>
    </row>
    <row r="38">
      <c r="A38">
        <f>IFERROR(__xludf.DUMMYFUNCTION("""COMPUTED_VALUE"""),60.0)</f>
        <v>60</v>
      </c>
      <c r="B38" s="12"/>
      <c r="C38" s="45"/>
      <c r="D38" s="12"/>
      <c r="E38" s="12"/>
      <c r="F38" s="12"/>
      <c r="G38" s="12"/>
      <c r="H38" s="12"/>
      <c r="I38" s="12"/>
      <c r="J38" s="12"/>
    </row>
    <row r="39">
      <c r="A39">
        <f>IFERROR(__xludf.DUMMYFUNCTION("""COMPUTED_VALUE"""),61.0)</f>
        <v>61</v>
      </c>
      <c r="B39" s="12"/>
      <c r="C39" s="45"/>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26"/>
      <c r="D41" s="3"/>
      <c r="E41" s="12"/>
      <c r="F41" s="12"/>
      <c r="G41" s="12"/>
      <c r="H41" s="12"/>
      <c r="I41" s="12"/>
      <c r="J41" s="12"/>
    </row>
    <row r="42">
      <c r="A42">
        <f>IFERROR(__xludf.DUMMYFUNCTION("""COMPUTED_VALUE"""),66.0)</f>
        <v>66</v>
      </c>
      <c r="B42" s="12"/>
      <c r="C42" s="3"/>
      <c r="D42" s="3"/>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3"/>
      <c r="E56" s="3"/>
      <c r="F56" s="12"/>
      <c r="G56" s="12"/>
      <c r="H56" s="12"/>
      <c r="I56" s="12"/>
      <c r="J56" s="12"/>
    </row>
    <row r="57">
      <c r="A57">
        <f>IFERROR(__xludf.DUMMYFUNCTION("""COMPUTED_VALUE"""),89.0)</f>
        <v>89</v>
      </c>
      <c r="B57" s="12" t="str">
        <f>IFERROR(__xludf.DUMMYFUNCTION("""COMPUTED_VALUE"""),"I used log in with Apple.")</f>
        <v>I used log in with Apple.</v>
      </c>
      <c r="C57" s="3"/>
      <c r="D57" s="3"/>
      <c r="E57" s="12"/>
      <c r="F57" s="12"/>
      <c r="G57" s="12"/>
      <c r="H57" s="12"/>
      <c r="I57" s="12"/>
      <c r="J57" s="12"/>
    </row>
    <row r="58">
      <c r="A58">
        <f>IFERROR(__xludf.DUMMYFUNCTION("""COMPUTED_VALUE"""),90.0)</f>
        <v>90</v>
      </c>
      <c r="B58" s="12"/>
      <c r="C58" s="3"/>
      <c r="D58" s="3"/>
      <c r="E58" s="3"/>
      <c r="F58" s="3"/>
      <c r="G58" s="28"/>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3"/>
      <c r="E61" s="3"/>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4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3"/>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3"/>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28"/>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68"/>
      <c r="E93" s="12"/>
      <c r="F93" s="12"/>
      <c r="G93" s="12"/>
      <c r="H93" s="12"/>
      <c r="I93" s="12"/>
      <c r="J93" s="12"/>
    </row>
    <row r="94">
      <c r="A94">
        <f>IFERROR(__xludf.DUMMYFUNCTION("""COMPUTED_VALUE"""),143.0)</f>
        <v>143</v>
      </c>
      <c r="B94" s="12"/>
      <c r="C94" s="28"/>
      <c r="D94" s="3"/>
      <c r="E94" s="68"/>
      <c r="F94" s="12"/>
      <c r="G94" s="12"/>
      <c r="H94" s="12"/>
      <c r="I94" s="12"/>
      <c r="J94" s="12"/>
    </row>
    <row r="95">
      <c r="A95">
        <f>IFERROR(__xludf.DUMMYFUNCTION("""COMPUTED_VALUE"""),146.0)</f>
        <v>146</v>
      </c>
      <c r="B95" s="12"/>
      <c r="C95" s="3"/>
      <c r="D95" s="3"/>
      <c r="E95" s="3"/>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28"/>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IFERROR(__xludf.DUMMYFUNCTION("QUERY({'S16 (secondary)'!C2:C1000;'S16 (secondary)'!D2:D1000;'S16 (secondary)'!E2:E1000;'S16 (secondary)'!F2:F1000;'S16 (secondary)'!G2:G1000;'S16 (secondary)'!H2:H1000;'S16 (secondary)'!I2:I1000;'S16 (secondary)'!J2:J1000;'S16 (secondary)'!K2:K1000}, ""s"&amp;"elect Col1, count(Col1) where Col1 is not null group by Col1 order by Col1 asc"")"),"")</f>
        <v/>
      </c>
      <c r="B2" s="34" t="str">
        <f>IFERROR(__xludf.DUMMYFUNCTION("""COMPUTED_VALUE"""),"count ")</f>
        <v>count </v>
      </c>
      <c r="C2" s="34"/>
      <c r="D2" s="34"/>
      <c r="E2" s="34" t="str">
        <f>IFERROR(__xludf.DUMMYFUNCTION("QUERY({'S16 (secondary)'!C2:C1000;'S16 (secondary)'!D2:D1000;'S16 (secondary)'!E2:E1000;'S16 (secondary)'!F2:F1000;'S16 (secondary)'!G2:G1000;'S16 (secondary)'!H2:H1000;'S16 (secondary)'!I2:I1000;'S16 (secondary)'!J2:J1000;'S16 (secondary)'!K2:K1000}, ""s"&amp;"elect Col1, count(Col1) where Col1 is not null and not Col1 contains '-&gt;' group by Col1 order by count(Col1) asc"")"),"")</f>
        <v/>
      </c>
      <c r="F2" s="34" t="str">
        <f>IFERROR(__xludf.DUMMYFUNCTION("""COMPUTED_VALUE"""),"count ")</f>
        <v>count </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A,J"")"),"Response ID")</f>
        <v>Response ID</v>
      </c>
      <c r="B1" s="17" t="str">
        <f>IFERROR(__xludf.DUMMYFUNCTION("""COMPUTED_VALUE"""),"generic_recall_sso_yes_consider")</f>
        <v>generic_recall_sso_yes_consider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5"/>
      <c r="D2" s="3"/>
      <c r="E2" s="3"/>
      <c r="F2" s="3"/>
      <c r="G2" s="3"/>
      <c r="H2" s="12"/>
      <c r="I2" s="12"/>
      <c r="J2" s="12"/>
    </row>
    <row r="3">
      <c r="A3" s="48">
        <f>IFERROR(__xludf.DUMMYFUNCTION("""COMPUTED_VALUE"""),2.0)</f>
        <v>2</v>
      </c>
      <c r="B3" s="19"/>
      <c r="C3" s="35"/>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5"/>
      <c r="D8" s="3"/>
      <c r="E8" s="12"/>
      <c r="F8" s="12"/>
      <c r="G8" s="12"/>
      <c r="H8" s="12"/>
      <c r="I8" s="12"/>
      <c r="J8" s="12"/>
    </row>
    <row r="9">
      <c r="A9" s="48">
        <f>IFERROR(__xludf.DUMMYFUNCTION("""COMPUTED_VALUE"""),13.0)</f>
        <v>13</v>
      </c>
      <c r="B9" s="19"/>
      <c r="C9" s="35"/>
      <c r="D9" s="3"/>
      <c r="E9" s="3"/>
      <c r="F9" s="3"/>
      <c r="G9" s="3"/>
      <c r="H9" s="12"/>
      <c r="I9" s="12"/>
      <c r="J9" s="12"/>
    </row>
    <row r="10">
      <c r="A10" s="48">
        <f>IFERROR(__xludf.DUMMYFUNCTION("""COMPUTED_VALUE"""),14.0)</f>
        <v>14</v>
      </c>
      <c r="B10" s="19"/>
      <c r="C10" s="35"/>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5"/>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12"/>
      <c r="F15" s="12"/>
      <c r="G15" s="12"/>
      <c r="H15" s="12"/>
      <c r="I15" s="12"/>
      <c r="J15" s="12"/>
    </row>
    <row r="16">
      <c r="A16" s="48">
        <f>IFERROR(__xludf.DUMMYFUNCTION("""COMPUTED_VALUE"""),25.0)</f>
        <v>25</v>
      </c>
      <c r="B16" s="19"/>
      <c r="C16" s="3"/>
      <c r="D16" s="3"/>
      <c r="E16" s="3"/>
      <c r="F16" s="12"/>
      <c r="G16" s="12"/>
      <c r="H16" s="12"/>
      <c r="I16" s="12"/>
      <c r="J16" s="12"/>
    </row>
    <row r="17">
      <c r="A17" s="48">
        <f>IFERROR(__xludf.DUMMYFUNCTION("""COMPUTED_VALUE"""),26.0)</f>
        <v>26</v>
      </c>
      <c r="B17" s="19"/>
      <c r="C17" s="35"/>
      <c r="D17" s="26"/>
      <c r="E17" s="26"/>
      <c r="F17" s="12"/>
      <c r="G17" s="12"/>
      <c r="H17" s="12"/>
      <c r="I17" s="12"/>
      <c r="J17" s="12"/>
    </row>
    <row r="18">
      <c r="A18" s="48">
        <f>IFERROR(__xludf.DUMMYFUNCTION("""COMPUTED_VALUE"""),28.0)</f>
        <v>28</v>
      </c>
      <c r="B18" s="19"/>
      <c r="C18" s="35"/>
      <c r="D18" s="3"/>
      <c r="E18" s="3"/>
      <c r="F18" s="12"/>
      <c r="G18" s="12"/>
      <c r="H18" s="12"/>
      <c r="I18" s="12"/>
      <c r="J18" s="12"/>
    </row>
    <row r="19">
      <c r="A19" s="48">
        <f>IFERROR(__xludf.DUMMYFUNCTION("""COMPUTED_VALUE"""),29.0)</f>
        <v>29</v>
      </c>
      <c r="B19" s="19"/>
      <c r="C19" s="3"/>
      <c r="D19" s="26"/>
      <c r="E19" s="3"/>
      <c r="F19" s="12"/>
      <c r="G19" s="12"/>
      <c r="H19" s="12"/>
      <c r="I19" s="12"/>
      <c r="J19" s="12"/>
    </row>
    <row r="20">
      <c r="A20" s="48">
        <f>IFERROR(__xludf.DUMMYFUNCTION("""COMPUTED_VALUE"""),30.0)</f>
        <v>30</v>
      </c>
      <c r="B20" s="19"/>
      <c r="C20" s="35"/>
      <c r="D20" s="3"/>
      <c r="E20" s="3"/>
      <c r="F20" s="12"/>
      <c r="G20" s="12"/>
      <c r="H20" s="12"/>
      <c r="I20" s="12"/>
      <c r="J20" s="12"/>
    </row>
    <row r="21">
      <c r="A21" s="48">
        <f>IFERROR(__xludf.DUMMYFUNCTION("""COMPUTED_VALUE"""),31.0)</f>
        <v>31</v>
      </c>
      <c r="B21" s="19"/>
      <c r="C21" s="35"/>
      <c r="D21" s="3"/>
      <c r="E21" s="12"/>
      <c r="F21" s="12"/>
      <c r="G21" s="12"/>
      <c r="H21" s="12"/>
      <c r="I21" s="12"/>
      <c r="J21" s="12"/>
    </row>
    <row r="22">
      <c r="A22" s="48">
        <f>IFERROR(__xludf.DUMMYFUNCTION("""COMPUTED_VALUE"""),32.0)</f>
        <v>32</v>
      </c>
      <c r="B22" s="19"/>
      <c r="C22" s="35"/>
      <c r="D22" s="26"/>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5"/>
      <c r="D24" s="3"/>
      <c r="E24" s="12"/>
      <c r="F24" s="12"/>
      <c r="G24" s="12"/>
      <c r="H24" s="12"/>
      <c r="I24" s="12"/>
      <c r="J24" s="12"/>
    </row>
    <row r="25">
      <c r="A25" s="48">
        <f>IFERROR(__xludf.DUMMYFUNCTION("""COMPUTED_VALUE"""),39.0)</f>
        <v>39</v>
      </c>
      <c r="B25" s="19"/>
      <c r="C25" s="35"/>
      <c r="D25" s="3"/>
      <c r="E25" s="3"/>
      <c r="F25" s="12"/>
      <c r="G25" s="12"/>
      <c r="H25" s="12"/>
      <c r="I25" s="12"/>
      <c r="J25" s="12"/>
    </row>
    <row r="26">
      <c r="A26" s="48">
        <f>IFERROR(__xludf.DUMMYFUNCTION("""COMPUTED_VALUE"""),40.0)</f>
        <v>40</v>
      </c>
      <c r="B26" s="19"/>
      <c r="C26" s="35"/>
      <c r="D26" s="3"/>
      <c r="E26" s="3"/>
      <c r="F26" s="12"/>
      <c r="G26" s="12"/>
      <c r="H26" s="12"/>
      <c r="I26" s="12"/>
      <c r="J26" s="12"/>
    </row>
    <row r="27">
      <c r="A27" s="48">
        <f>IFERROR(__xludf.DUMMYFUNCTION("""COMPUTED_VALUE"""),42.0)</f>
        <v>42</v>
      </c>
      <c r="B27" s="19"/>
      <c r="C27" s="35"/>
      <c r="D27" s="3"/>
      <c r="E27" s="12"/>
      <c r="F27" s="12"/>
      <c r="G27" s="12"/>
      <c r="H27" s="12"/>
      <c r="I27" s="12"/>
      <c r="J27" s="12"/>
    </row>
    <row r="28">
      <c r="A28" s="48">
        <f>IFERROR(__xludf.DUMMYFUNCTION("""COMPUTED_VALUE"""),46.0)</f>
        <v>46</v>
      </c>
      <c r="B28" s="19"/>
      <c r="C28" s="3"/>
      <c r="D28" s="3"/>
      <c r="E28" s="26"/>
      <c r="F28" s="26"/>
      <c r="G28" s="12"/>
      <c r="H28" s="12"/>
      <c r="I28" s="12"/>
      <c r="J28" s="12"/>
    </row>
    <row r="29">
      <c r="A29">
        <f>IFERROR(__xludf.DUMMYFUNCTION("""COMPUTED_VALUE"""),47.0)</f>
        <v>47</v>
      </c>
      <c r="B29" s="12"/>
      <c r="C29" s="35"/>
      <c r="D29" s="3"/>
      <c r="E29" s="26"/>
      <c r="F29" s="26"/>
      <c r="G29" s="12"/>
      <c r="H29" s="12"/>
      <c r="I29" s="12"/>
      <c r="J29" s="12"/>
    </row>
    <row r="30">
      <c r="A30">
        <f>IFERROR(__xludf.DUMMYFUNCTION("""COMPUTED_VALUE"""),50.0)</f>
        <v>50</v>
      </c>
      <c r="B30" s="12"/>
      <c r="C30" s="35"/>
      <c r="D30" s="3"/>
      <c r="E30" s="3"/>
      <c r="F30" s="12"/>
      <c r="G30" s="12"/>
      <c r="H30" s="12"/>
      <c r="I30" s="12"/>
      <c r="J30" s="12"/>
    </row>
    <row r="31">
      <c r="A31">
        <f>IFERROR(__xludf.DUMMYFUNCTION("""COMPUTED_VALUE"""),51.0)</f>
        <v>51</v>
      </c>
      <c r="B31" s="12"/>
      <c r="C31" s="35"/>
      <c r="D31" s="26"/>
      <c r="E31" s="12"/>
      <c r="F31" s="12"/>
      <c r="G31" s="12"/>
      <c r="H31" s="12"/>
      <c r="I31" s="12"/>
      <c r="J31" s="12"/>
    </row>
    <row r="32">
      <c r="A32">
        <f>IFERROR(__xludf.DUMMYFUNCTION("""COMPUTED_VALUE"""),52.0)</f>
        <v>52</v>
      </c>
      <c r="B32" s="12"/>
      <c r="C32" s="28"/>
      <c r="D32" s="3"/>
      <c r="E32" s="12"/>
      <c r="F32" s="12"/>
      <c r="G32" s="12"/>
      <c r="H32" s="12"/>
      <c r="I32" s="12"/>
      <c r="J32" s="12"/>
    </row>
    <row r="33">
      <c r="A33">
        <f>IFERROR(__xludf.DUMMYFUNCTION("""COMPUTED_VALUE"""),53.0)</f>
        <v>53</v>
      </c>
      <c r="B33" s="12"/>
      <c r="C33" s="35"/>
      <c r="D33" s="3"/>
      <c r="E33" s="12"/>
      <c r="F33" s="12"/>
      <c r="G33" s="12"/>
      <c r="H33" s="12"/>
      <c r="I33" s="12"/>
      <c r="J33" s="12"/>
    </row>
    <row r="34">
      <c r="A34">
        <f>IFERROR(__xludf.DUMMYFUNCTION("""COMPUTED_VALUE"""),55.0)</f>
        <v>55</v>
      </c>
      <c r="B34" s="12"/>
      <c r="C34" s="28"/>
      <c r="D34" s="3"/>
      <c r="E34" s="12"/>
      <c r="F34" s="12"/>
      <c r="G34" s="12"/>
      <c r="H34" s="12"/>
      <c r="I34" s="12"/>
      <c r="J34" s="12"/>
    </row>
    <row r="35">
      <c r="A35">
        <f>IFERROR(__xludf.DUMMYFUNCTION("""COMPUTED_VALUE"""),56.0)</f>
        <v>56</v>
      </c>
      <c r="B35" s="12"/>
      <c r="C35" s="28"/>
      <c r="D35" s="28"/>
      <c r="E35" s="12"/>
      <c r="F35" s="12"/>
      <c r="G35" s="12"/>
      <c r="H35" s="12"/>
      <c r="I35" s="12"/>
      <c r="J35" s="12"/>
    </row>
    <row r="36">
      <c r="A36">
        <f>IFERROR(__xludf.DUMMYFUNCTION("""COMPUTED_VALUE"""),58.0)</f>
        <v>58</v>
      </c>
      <c r="B36" s="12"/>
      <c r="C36" s="35"/>
      <c r="D36" s="3"/>
      <c r="E36" s="12"/>
      <c r="F36" s="12"/>
      <c r="G36" s="12"/>
      <c r="H36" s="12"/>
      <c r="I36" s="12"/>
      <c r="J36" s="12"/>
    </row>
    <row r="37">
      <c r="A37">
        <f>IFERROR(__xludf.DUMMYFUNCTION("""COMPUTED_VALUE"""),59.0)</f>
        <v>59</v>
      </c>
      <c r="B37" s="12"/>
      <c r="C37" s="28"/>
      <c r="D37" s="3"/>
      <c r="E37" s="3"/>
      <c r="F37" s="3"/>
      <c r="G37" s="3"/>
      <c r="H37" s="12"/>
      <c r="I37" s="12"/>
      <c r="J37" s="12"/>
    </row>
    <row r="38">
      <c r="A38">
        <f>IFERROR(__xludf.DUMMYFUNCTION("""COMPUTED_VALUE"""),60.0)</f>
        <v>60</v>
      </c>
      <c r="B38" s="12"/>
      <c r="C38" s="35"/>
      <c r="D38" s="12"/>
      <c r="E38" s="12"/>
      <c r="F38" s="12"/>
      <c r="G38" s="12"/>
      <c r="H38" s="12"/>
      <c r="I38" s="12"/>
      <c r="J38" s="12"/>
    </row>
    <row r="39">
      <c r="A39">
        <f>IFERROR(__xludf.DUMMYFUNCTION("""COMPUTED_VALUE"""),61.0)</f>
        <v>61</v>
      </c>
      <c r="B39" s="12"/>
      <c r="C39" s="35"/>
      <c r="D39" s="26"/>
      <c r="E39" s="12"/>
      <c r="F39" s="12"/>
      <c r="G39" s="12"/>
      <c r="H39" s="12"/>
      <c r="I39" s="12"/>
      <c r="J39" s="12"/>
    </row>
    <row r="40">
      <c r="A40">
        <f>IFERROR(__xludf.DUMMYFUNCTION("""COMPUTED_VALUE"""),62.0)</f>
        <v>62</v>
      </c>
      <c r="B40" s="12"/>
      <c r="C40" s="35"/>
      <c r="D40" s="3"/>
      <c r="E40" s="3"/>
      <c r="F40" s="12"/>
      <c r="G40" s="12"/>
      <c r="H40" s="12"/>
      <c r="I40" s="12"/>
      <c r="J40" s="12"/>
    </row>
    <row r="41">
      <c r="A41">
        <f>IFERROR(__xludf.DUMMYFUNCTION("""COMPUTED_VALUE"""),64.0)</f>
        <v>64</v>
      </c>
      <c r="B41" s="12"/>
      <c r="C41" s="35"/>
      <c r="D41" s="3"/>
      <c r="E41" s="12"/>
      <c r="F41" s="12"/>
      <c r="G41" s="12"/>
      <c r="H41" s="12"/>
      <c r="I41" s="12"/>
      <c r="J41" s="12"/>
    </row>
    <row r="42">
      <c r="A42">
        <f>IFERROR(__xludf.DUMMYFUNCTION("""COMPUTED_VALUE"""),66.0)</f>
        <v>66</v>
      </c>
      <c r="B42" s="12"/>
      <c r="C42" s="35"/>
      <c r="D42" s="12"/>
      <c r="E42" s="12"/>
      <c r="F42" s="12"/>
      <c r="G42" s="12"/>
      <c r="H42" s="12"/>
      <c r="I42" s="12"/>
      <c r="J42" s="12"/>
    </row>
    <row r="43">
      <c r="A43">
        <f>IFERROR(__xludf.DUMMYFUNCTION("""COMPUTED_VALUE"""),67.0)</f>
        <v>67</v>
      </c>
      <c r="B43" s="12"/>
      <c r="C43" s="35"/>
      <c r="D43" s="3"/>
      <c r="F43" s="3"/>
      <c r="G43" s="3"/>
      <c r="H43" s="3"/>
      <c r="I43" s="12"/>
      <c r="J43" s="12"/>
    </row>
    <row r="44">
      <c r="A44">
        <f>IFERROR(__xludf.DUMMYFUNCTION("""COMPUTED_VALUE"""),69.0)</f>
        <v>69</v>
      </c>
      <c r="B44" s="12"/>
      <c r="C44" s="35"/>
      <c r="D44" s="3"/>
      <c r="E44" s="12"/>
      <c r="F44" s="12"/>
      <c r="G44" s="12"/>
      <c r="H44" s="12"/>
      <c r="I44" s="12"/>
      <c r="J44" s="12"/>
    </row>
    <row r="45">
      <c r="A45">
        <f>IFERROR(__xludf.DUMMYFUNCTION("""COMPUTED_VALUE"""),70.0)</f>
        <v>70</v>
      </c>
      <c r="B45" s="12"/>
      <c r="C45" s="35"/>
      <c r="D45" s="3"/>
      <c r="E45" s="12"/>
      <c r="F45" s="12"/>
      <c r="G45" s="12"/>
      <c r="H45" s="12"/>
      <c r="I45" s="12"/>
      <c r="J45" s="12"/>
    </row>
    <row r="46">
      <c r="A46">
        <f>IFERROR(__xludf.DUMMYFUNCTION("""COMPUTED_VALUE"""),72.0)</f>
        <v>72</v>
      </c>
      <c r="B46" s="12"/>
      <c r="C46" s="35"/>
      <c r="D46" s="3"/>
      <c r="E46" s="12"/>
      <c r="F46" s="12"/>
      <c r="G46" s="12"/>
      <c r="H46" s="12"/>
      <c r="I46" s="12"/>
      <c r="J46" s="12"/>
    </row>
    <row r="47">
      <c r="A47">
        <f>IFERROR(__xludf.DUMMYFUNCTION("""COMPUTED_VALUE"""),73.0)</f>
        <v>73</v>
      </c>
      <c r="B47" s="12"/>
      <c r="C47" s="28"/>
      <c r="D47" s="3"/>
      <c r="E47" s="3"/>
      <c r="F47" s="12"/>
      <c r="G47" s="12"/>
      <c r="H47" s="12"/>
      <c r="I47" s="12"/>
      <c r="J47" s="12"/>
    </row>
    <row r="48">
      <c r="A48">
        <f>IFERROR(__xludf.DUMMYFUNCTION("""COMPUTED_VALUE"""),74.0)</f>
        <v>74</v>
      </c>
      <c r="B48" s="12"/>
      <c r="C48" s="35"/>
      <c r="D48" s="3"/>
      <c r="E48" s="12"/>
      <c r="F48" s="12"/>
      <c r="G48" s="12"/>
      <c r="H48" s="12"/>
      <c r="I48" s="12"/>
      <c r="J48" s="12"/>
    </row>
    <row r="49">
      <c r="A49">
        <f>IFERROR(__xludf.DUMMYFUNCTION("""COMPUTED_VALUE"""),75.0)</f>
        <v>75</v>
      </c>
      <c r="B49" s="12"/>
      <c r="C49" s="35"/>
      <c r="D49" s="3"/>
      <c r="E49" s="12"/>
      <c r="F49" s="12"/>
      <c r="G49" s="12"/>
      <c r="H49" s="12"/>
      <c r="I49" s="12"/>
      <c r="J49" s="12"/>
    </row>
    <row r="50">
      <c r="A50">
        <f>IFERROR(__xludf.DUMMYFUNCTION("""COMPUTED_VALUE"""),78.0)</f>
        <v>78</v>
      </c>
      <c r="B50" s="12"/>
      <c r="C50" s="35"/>
      <c r="D50" s="12"/>
      <c r="E50" s="12"/>
      <c r="F50" s="12"/>
      <c r="G50" s="12"/>
      <c r="H50" s="12"/>
      <c r="I50" s="12"/>
      <c r="J50" s="12"/>
    </row>
    <row r="51">
      <c r="A51">
        <f>IFERROR(__xludf.DUMMYFUNCTION("""COMPUTED_VALUE"""),80.0)</f>
        <v>80</v>
      </c>
      <c r="B51" s="12"/>
      <c r="C51" s="28"/>
      <c r="D51" s="3"/>
      <c r="E51" s="3"/>
      <c r="F51" s="12"/>
      <c r="G51" s="12"/>
      <c r="H51" s="12"/>
      <c r="I51" s="12"/>
      <c r="J51" s="12"/>
    </row>
    <row r="52">
      <c r="A52">
        <f>IFERROR(__xludf.DUMMYFUNCTION("""COMPUTED_VALUE"""),81.0)</f>
        <v>81</v>
      </c>
      <c r="B52" s="12"/>
      <c r="C52" s="35"/>
      <c r="D52" s="3"/>
      <c r="E52" s="12"/>
      <c r="F52" s="12"/>
      <c r="G52" s="12"/>
      <c r="H52" s="12"/>
      <c r="I52" s="12"/>
      <c r="J52" s="12"/>
    </row>
    <row r="53">
      <c r="A53">
        <f>IFERROR(__xludf.DUMMYFUNCTION("""COMPUTED_VALUE"""),84.0)</f>
        <v>84</v>
      </c>
      <c r="B53" s="12"/>
      <c r="C53" s="28"/>
      <c r="D53" s="3"/>
      <c r="E53" s="3"/>
      <c r="F53" s="3"/>
      <c r="G53" s="12"/>
      <c r="H53" s="12"/>
      <c r="I53" s="12"/>
      <c r="J53" s="12"/>
    </row>
    <row r="54">
      <c r="A54">
        <f>IFERROR(__xludf.DUMMYFUNCTION("""COMPUTED_VALUE"""),86.0)</f>
        <v>86</v>
      </c>
      <c r="B54" s="12"/>
      <c r="C54" s="35"/>
      <c r="D54" s="3"/>
      <c r="E54" s="12"/>
      <c r="F54" s="12"/>
      <c r="G54" s="12"/>
      <c r="H54" s="12"/>
      <c r="I54" s="12"/>
      <c r="J54" s="12"/>
    </row>
    <row r="55">
      <c r="A55">
        <f>IFERROR(__xludf.DUMMYFUNCTION("""COMPUTED_VALUE"""),87.0)</f>
        <v>87</v>
      </c>
      <c r="B55" s="12"/>
      <c r="C55" s="35"/>
      <c r="D55" s="3"/>
      <c r="E55" s="12"/>
      <c r="F55" s="12"/>
      <c r="G55" s="12"/>
      <c r="H55" s="12"/>
      <c r="I55" s="12"/>
      <c r="J55" s="12"/>
    </row>
    <row r="56">
      <c r="A56">
        <f>IFERROR(__xludf.DUMMYFUNCTION("""COMPUTED_VALUE"""),88.0)</f>
        <v>88</v>
      </c>
      <c r="B56" s="12"/>
      <c r="C56" s="35"/>
      <c r="D56" s="12"/>
      <c r="E56" s="12"/>
      <c r="F56" s="12"/>
      <c r="G56" s="12"/>
      <c r="H56" s="12"/>
      <c r="I56" s="12"/>
      <c r="J56" s="12"/>
    </row>
    <row r="57">
      <c r="A57">
        <f>IFERROR(__xludf.DUMMYFUNCTION("""COMPUTED_VALUE"""),89.0)</f>
        <v>89</v>
      </c>
      <c r="B57" s="12" t="str">
        <f>IFERROR(__xludf.DUMMYFUNCTION("""COMPUTED_VALUE"""),"I considered how often I would use the service, if it was something I'd use temporarily then I'd sign in with an existing account, otherwise I used my email.")</f>
        <v>I considered how often I would use the service, if it was something I'd use temporarily then I'd sign in with an existing account, otherwise I used my email.</v>
      </c>
      <c r="C57" s="28"/>
      <c r="D57" s="3"/>
      <c r="E57" s="12"/>
      <c r="F57" s="12"/>
      <c r="G57" s="12"/>
      <c r="H57" s="12"/>
      <c r="I57" s="12"/>
      <c r="J57" s="12"/>
    </row>
    <row r="58">
      <c r="A58">
        <f>IFERROR(__xludf.DUMMYFUNCTION("""COMPUTED_VALUE"""),90.0)</f>
        <v>90</v>
      </c>
      <c r="B58" s="12"/>
      <c r="C58" s="35"/>
      <c r="D58" s="3"/>
      <c r="E58" s="3"/>
      <c r="F58" s="12"/>
      <c r="G58" s="12"/>
      <c r="H58" s="12"/>
      <c r="I58" s="12"/>
      <c r="J58" s="12"/>
    </row>
    <row r="59">
      <c r="A59">
        <f>IFERROR(__xludf.DUMMYFUNCTION("""COMPUTED_VALUE"""),93.0)</f>
        <v>93</v>
      </c>
      <c r="B59" s="12"/>
      <c r="C59" s="35"/>
      <c r="D59" s="3"/>
      <c r="E59" s="12"/>
      <c r="F59" s="12"/>
      <c r="G59" s="12"/>
      <c r="H59" s="12"/>
      <c r="I59" s="12"/>
      <c r="J59" s="12"/>
    </row>
    <row r="60">
      <c r="A60">
        <f>IFERROR(__xludf.DUMMYFUNCTION("""COMPUTED_VALUE"""),95.0)</f>
        <v>95</v>
      </c>
      <c r="B60" s="12"/>
      <c r="C60" s="35"/>
      <c r="D60" s="3"/>
      <c r="E60" s="3"/>
      <c r="F60" s="3"/>
      <c r="G60" s="3"/>
      <c r="H60" s="12"/>
      <c r="I60" s="12"/>
      <c r="J60" s="12"/>
    </row>
    <row r="61">
      <c r="A61">
        <f>IFERROR(__xludf.DUMMYFUNCTION("""COMPUTED_VALUE"""),97.0)</f>
        <v>97</v>
      </c>
      <c r="B61" s="12"/>
      <c r="C61" s="35"/>
      <c r="D61" s="12"/>
      <c r="E61" s="12"/>
      <c r="F61" s="12"/>
      <c r="G61" s="12"/>
      <c r="H61" s="12"/>
      <c r="I61" s="12"/>
      <c r="J61" s="12"/>
    </row>
    <row r="62">
      <c r="A62">
        <f>IFERROR(__xludf.DUMMYFUNCTION("""COMPUTED_VALUE"""),98.0)</f>
        <v>98</v>
      </c>
      <c r="B62" s="12"/>
      <c r="C62" s="35"/>
      <c r="D62" s="3"/>
      <c r="E62" s="12"/>
      <c r="F62" s="12"/>
      <c r="G62" s="12"/>
      <c r="H62" s="12"/>
      <c r="I62" s="12"/>
      <c r="J62" s="12"/>
    </row>
    <row r="63">
      <c r="A63">
        <f>IFERROR(__xludf.DUMMYFUNCTION("""COMPUTED_VALUE"""),99.0)</f>
        <v>99</v>
      </c>
      <c r="B63" s="12"/>
      <c r="C63" s="28"/>
      <c r="D63" s="3"/>
      <c r="F63" s="3"/>
      <c r="G63" s="3"/>
      <c r="H63" s="12"/>
      <c r="I63" s="12"/>
      <c r="J63" s="12"/>
    </row>
    <row r="64">
      <c r="A64">
        <f>IFERROR(__xludf.DUMMYFUNCTION("""COMPUTED_VALUE"""),100.0)</f>
        <v>100</v>
      </c>
      <c r="B64" s="12"/>
      <c r="C64" s="35"/>
      <c r="D64" s="3"/>
      <c r="E64" s="12"/>
      <c r="F64" s="12"/>
      <c r="G64" s="12"/>
      <c r="H64" s="12"/>
      <c r="I64" s="12"/>
      <c r="J64" s="12"/>
    </row>
    <row r="65">
      <c r="A65">
        <f>IFERROR(__xludf.DUMMYFUNCTION("""COMPUTED_VALUE"""),101.0)</f>
        <v>101</v>
      </c>
      <c r="B65" s="12"/>
      <c r="C65" s="28"/>
      <c r="D65" s="28"/>
      <c r="E65" s="28"/>
      <c r="F65" s="3"/>
      <c r="G65" s="26"/>
      <c r="H65" s="12"/>
      <c r="I65" s="12"/>
      <c r="J65" s="12"/>
    </row>
    <row r="66">
      <c r="A66">
        <f>IFERROR(__xludf.DUMMYFUNCTION("""COMPUTED_VALUE"""),103.0)</f>
        <v>103</v>
      </c>
      <c r="B66" s="12"/>
      <c r="C66" s="35"/>
      <c r="D66" s="3"/>
      <c r="F66" s="12"/>
      <c r="G66" s="12"/>
      <c r="H66" s="12"/>
      <c r="I66" s="12"/>
      <c r="J66" s="12"/>
    </row>
    <row r="67">
      <c r="A67">
        <f>IFERROR(__xludf.DUMMYFUNCTION("""COMPUTED_VALUE"""),104.0)</f>
        <v>104</v>
      </c>
      <c r="B67" s="12"/>
      <c r="C67" s="35"/>
      <c r="D67" s="3"/>
      <c r="E67" s="26"/>
      <c r="F67" s="26"/>
      <c r="G67" s="3"/>
      <c r="H67" s="3"/>
      <c r="J67" s="12"/>
    </row>
    <row r="68">
      <c r="A68">
        <f>IFERROR(__xludf.DUMMYFUNCTION("""COMPUTED_VALUE"""),105.0)</f>
        <v>105</v>
      </c>
      <c r="B68" s="12"/>
      <c r="C68" s="35"/>
      <c r="D68" s="3"/>
      <c r="E68" s="12"/>
      <c r="F68" s="12"/>
      <c r="G68" s="12"/>
      <c r="J68" s="12"/>
    </row>
    <row r="69">
      <c r="A69">
        <f>IFERROR(__xludf.DUMMYFUNCTION("""COMPUTED_VALUE"""),107.0)</f>
        <v>107</v>
      </c>
      <c r="B69" s="12"/>
      <c r="C69" s="35"/>
      <c r="D69" s="3"/>
      <c r="E69" s="3"/>
      <c r="F69" s="3"/>
      <c r="G69" s="3"/>
      <c r="J69" s="12"/>
    </row>
    <row r="70">
      <c r="A70">
        <f>IFERROR(__xludf.DUMMYFUNCTION("""COMPUTED_VALUE"""),108.0)</f>
        <v>108</v>
      </c>
      <c r="B70" s="12"/>
      <c r="C70" s="28"/>
      <c r="D70" s="28"/>
      <c r="E70" s="28"/>
      <c r="F70" s="28"/>
      <c r="G70" s="3"/>
      <c r="H70" s="12"/>
      <c r="I70" s="12"/>
      <c r="J70" s="12"/>
    </row>
    <row r="71">
      <c r="A71">
        <f>IFERROR(__xludf.DUMMYFUNCTION("""COMPUTED_VALUE"""),109.0)</f>
        <v>109</v>
      </c>
      <c r="B71" s="12"/>
      <c r="C71" s="28"/>
      <c r="D71" s="3"/>
      <c r="E71" s="3"/>
      <c r="F71" s="3"/>
      <c r="G71" s="3"/>
      <c r="H71" s="3"/>
      <c r="I71" s="3"/>
      <c r="J71" s="12"/>
    </row>
    <row r="72">
      <c r="A72">
        <f>IFERROR(__xludf.DUMMYFUNCTION("""COMPUTED_VALUE"""),111.0)</f>
        <v>111</v>
      </c>
      <c r="B72" s="12"/>
      <c r="C72" s="28"/>
      <c r="D72" s="3"/>
      <c r="E72" s="12"/>
      <c r="F72" s="12"/>
      <c r="G72" s="12"/>
      <c r="H72" s="12"/>
      <c r="I72" s="12"/>
      <c r="J72" s="12"/>
    </row>
    <row r="73">
      <c r="A73">
        <f>IFERROR(__xludf.DUMMYFUNCTION("""COMPUTED_VALUE"""),112.0)</f>
        <v>112</v>
      </c>
      <c r="B73" s="12"/>
      <c r="C73" s="35"/>
      <c r="D73" s="3"/>
      <c r="E73" s="3"/>
      <c r="F73" s="3"/>
      <c r="G73" s="3"/>
      <c r="H73" s="3"/>
      <c r="I73" s="12"/>
      <c r="J73" s="12"/>
    </row>
    <row r="74">
      <c r="A74">
        <f>IFERROR(__xludf.DUMMYFUNCTION("""COMPUTED_VALUE"""),113.0)</f>
        <v>113</v>
      </c>
      <c r="B74" s="12"/>
      <c r="C74" s="35"/>
      <c r="D74" s="3"/>
      <c r="E74" s="3"/>
      <c r="F74" s="12"/>
      <c r="G74" s="12"/>
      <c r="H74" s="12"/>
      <c r="I74" s="12"/>
      <c r="J74" s="12"/>
    </row>
    <row r="75">
      <c r="A75">
        <f>IFERROR(__xludf.DUMMYFUNCTION("""COMPUTED_VALUE"""),115.0)</f>
        <v>115</v>
      </c>
      <c r="B75" s="12"/>
      <c r="C75" s="35"/>
      <c r="D75" s="3"/>
      <c r="E75" s="3"/>
      <c r="F75" s="12"/>
      <c r="G75" s="12"/>
      <c r="H75" s="12"/>
      <c r="I75" s="12"/>
      <c r="J75" s="12"/>
    </row>
    <row r="76">
      <c r="A76">
        <f>IFERROR(__xludf.DUMMYFUNCTION("""COMPUTED_VALUE"""),116.0)</f>
        <v>116</v>
      </c>
      <c r="B76" s="12"/>
      <c r="C76" s="28"/>
      <c r="D76" s="28"/>
      <c r="E76" s="3"/>
      <c r="F76" s="12"/>
      <c r="G76" s="12"/>
      <c r="H76" s="12"/>
      <c r="I76" s="12"/>
      <c r="J76" s="12"/>
    </row>
    <row r="77">
      <c r="A77">
        <f>IFERROR(__xludf.DUMMYFUNCTION("""COMPUTED_VALUE"""),117.0)</f>
        <v>117</v>
      </c>
      <c r="B77" s="12"/>
      <c r="C77" s="35"/>
      <c r="D77" s="3"/>
      <c r="E77" s="3"/>
      <c r="F77" s="12"/>
      <c r="G77" s="12"/>
      <c r="H77" s="12"/>
      <c r="I77" s="12"/>
      <c r="J77" s="12"/>
    </row>
    <row r="78">
      <c r="A78">
        <f>IFERROR(__xludf.DUMMYFUNCTION("""COMPUTED_VALUE"""),122.0)</f>
        <v>122</v>
      </c>
      <c r="B78" s="12"/>
      <c r="C78" s="35"/>
      <c r="D78" s="3"/>
      <c r="E78" s="12"/>
      <c r="F78" s="12"/>
      <c r="G78" s="12"/>
      <c r="H78" s="12"/>
      <c r="I78" s="12"/>
      <c r="J78" s="12"/>
    </row>
    <row r="79">
      <c r="A79">
        <f>IFERROR(__xludf.DUMMYFUNCTION("""COMPUTED_VALUE"""),123.0)</f>
        <v>123</v>
      </c>
      <c r="B79" s="12"/>
      <c r="C79" s="28"/>
      <c r="D79" s="28"/>
      <c r="E79" s="12"/>
      <c r="F79" s="12"/>
      <c r="G79" s="12"/>
      <c r="H79" s="12"/>
      <c r="I79" s="12"/>
      <c r="J79" s="12"/>
    </row>
    <row r="80">
      <c r="A80">
        <f>IFERROR(__xludf.DUMMYFUNCTION("""COMPUTED_VALUE"""),124.0)</f>
        <v>124</v>
      </c>
      <c r="B80" s="12"/>
      <c r="C80" s="35"/>
      <c r="D80" s="3"/>
      <c r="E80" s="3"/>
      <c r="F80" s="12"/>
      <c r="G80" s="12"/>
      <c r="H80" s="12"/>
      <c r="I80" s="12"/>
      <c r="J80" s="12"/>
    </row>
    <row r="81">
      <c r="A81">
        <f>IFERROR(__xludf.DUMMYFUNCTION("""COMPUTED_VALUE"""),125.0)</f>
        <v>125</v>
      </c>
      <c r="B81" s="12"/>
      <c r="C81" s="35"/>
      <c r="D81" s="3"/>
      <c r="E81" s="3"/>
      <c r="F81" s="3"/>
      <c r="G81" s="12"/>
      <c r="H81" s="12"/>
      <c r="I81" s="12"/>
      <c r="J81" s="12"/>
    </row>
    <row r="82">
      <c r="A82">
        <f>IFERROR(__xludf.DUMMYFUNCTION("""COMPUTED_VALUE"""),126.0)</f>
        <v>126</v>
      </c>
      <c r="B82" s="12"/>
      <c r="C82" s="28"/>
      <c r="D82" s="3"/>
      <c r="E82" s="12"/>
      <c r="F82" s="12"/>
      <c r="G82" s="12"/>
      <c r="H82" s="12"/>
      <c r="I82" s="12"/>
      <c r="J82" s="12"/>
    </row>
    <row r="83">
      <c r="A83">
        <f>IFERROR(__xludf.DUMMYFUNCTION("""COMPUTED_VALUE"""),127.0)</f>
        <v>127</v>
      </c>
      <c r="B83" s="12"/>
      <c r="C83" s="35"/>
      <c r="D83" s="3"/>
      <c r="E83" s="3"/>
      <c r="F83" s="3"/>
      <c r="G83" s="12"/>
      <c r="H83" s="12"/>
      <c r="I83" s="12"/>
      <c r="J83" s="12"/>
    </row>
    <row r="84">
      <c r="A84">
        <f>IFERROR(__xludf.DUMMYFUNCTION("""COMPUTED_VALUE"""),128.0)</f>
        <v>128</v>
      </c>
      <c r="B84" s="12"/>
      <c r="C84" s="28"/>
      <c r="D84" s="3"/>
      <c r="E84" s="3"/>
      <c r="F84" s="3"/>
      <c r="G84" s="3"/>
      <c r="H84" s="12"/>
      <c r="I84" s="12"/>
      <c r="J84" s="12"/>
    </row>
    <row r="85">
      <c r="A85">
        <f>IFERROR(__xludf.DUMMYFUNCTION("""COMPUTED_VALUE"""),129.0)</f>
        <v>129</v>
      </c>
      <c r="B85" s="12"/>
      <c r="C85" s="28"/>
      <c r="D85" s="28"/>
      <c r="E85" s="3"/>
      <c r="F85" s="12"/>
      <c r="G85" s="12"/>
      <c r="H85" s="12"/>
      <c r="I85" s="12"/>
      <c r="J85" s="12"/>
    </row>
    <row r="86">
      <c r="A86">
        <f>IFERROR(__xludf.DUMMYFUNCTION("""COMPUTED_VALUE"""),130.0)</f>
        <v>130</v>
      </c>
      <c r="B86" s="12"/>
      <c r="C86" s="35"/>
      <c r="D86" s="3"/>
      <c r="E86" s="3"/>
      <c r="F86" s="3"/>
      <c r="G86" s="3"/>
      <c r="H86" s="12"/>
      <c r="I86" s="12"/>
      <c r="J86" s="12"/>
    </row>
    <row r="87">
      <c r="A87">
        <f>IFERROR(__xludf.DUMMYFUNCTION("""COMPUTED_VALUE"""),132.0)</f>
        <v>132</v>
      </c>
      <c r="B87" s="12"/>
      <c r="C87" s="35"/>
      <c r="D87" s="12"/>
      <c r="E87" s="12"/>
      <c r="F87" s="12"/>
      <c r="G87" s="12"/>
      <c r="H87" s="12"/>
      <c r="I87" s="12"/>
      <c r="J87" s="12"/>
    </row>
    <row r="88">
      <c r="A88">
        <f>IFERROR(__xludf.DUMMYFUNCTION("""COMPUTED_VALUE"""),135.0)</f>
        <v>135</v>
      </c>
      <c r="B88" s="12"/>
      <c r="D88" s="3"/>
      <c r="E88" s="12"/>
      <c r="F88" s="12"/>
      <c r="G88" s="12"/>
      <c r="H88" s="12"/>
      <c r="I88" s="12"/>
      <c r="J88" s="12"/>
    </row>
    <row r="89">
      <c r="A89">
        <f>IFERROR(__xludf.DUMMYFUNCTION("""COMPUTED_VALUE"""),137.0)</f>
        <v>137</v>
      </c>
      <c r="B89" s="12"/>
      <c r="C89" s="35"/>
      <c r="D89" s="3"/>
      <c r="E89" s="3"/>
      <c r="F89" s="3"/>
      <c r="G89" s="12"/>
      <c r="H89" s="12"/>
      <c r="I89" s="12"/>
      <c r="J89" s="12"/>
    </row>
    <row r="90">
      <c r="A90">
        <f>IFERROR(__xludf.DUMMYFUNCTION("""COMPUTED_VALUE"""),138.0)</f>
        <v>138</v>
      </c>
      <c r="B90" s="12"/>
      <c r="C90" s="43"/>
      <c r="D90" s="3"/>
      <c r="E90" s="12"/>
      <c r="F90" s="12"/>
      <c r="G90" s="12"/>
      <c r="H90" s="12"/>
      <c r="I90" s="12"/>
      <c r="J90" s="12"/>
    </row>
    <row r="91">
      <c r="A91">
        <f>IFERROR(__xludf.DUMMYFUNCTION("""COMPUTED_VALUE"""),140.0)</f>
        <v>140</v>
      </c>
      <c r="B91" s="12"/>
      <c r="C91" s="35"/>
      <c r="D91" s="3"/>
      <c r="E91" s="3"/>
      <c r="F91" s="12"/>
      <c r="G91" s="12"/>
      <c r="H91" s="12"/>
      <c r="I91" s="12"/>
      <c r="J91" s="12"/>
    </row>
    <row r="92">
      <c r="A92">
        <f>IFERROR(__xludf.DUMMYFUNCTION("""COMPUTED_VALUE"""),141.0)</f>
        <v>141</v>
      </c>
      <c r="B92" s="12"/>
      <c r="C92" s="35"/>
      <c r="D92" s="3"/>
      <c r="E92" s="3"/>
      <c r="F92" s="12"/>
      <c r="G92" s="12"/>
      <c r="H92" s="12"/>
      <c r="I92" s="12"/>
      <c r="J92" s="12"/>
    </row>
    <row r="93">
      <c r="A93">
        <f>IFERROR(__xludf.DUMMYFUNCTION("""COMPUTED_VALUE"""),142.0)</f>
        <v>142</v>
      </c>
      <c r="B93" s="12"/>
      <c r="C93" s="43"/>
      <c r="D93" s="3"/>
      <c r="E93" s="12"/>
      <c r="F93" s="12"/>
      <c r="G93" s="12"/>
      <c r="H93" s="12"/>
      <c r="I93" s="12"/>
      <c r="J93" s="12"/>
    </row>
    <row r="94">
      <c r="A94">
        <f>IFERROR(__xludf.DUMMYFUNCTION("""COMPUTED_VALUE"""),143.0)</f>
        <v>143</v>
      </c>
      <c r="B94" s="12"/>
      <c r="C94" s="35"/>
      <c r="D94" s="3"/>
      <c r="E94" s="12"/>
      <c r="F94" s="12"/>
      <c r="G94" s="12"/>
      <c r="H94" s="12"/>
      <c r="I94" s="12"/>
      <c r="J94" s="12"/>
    </row>
    <row r="95">
      <c r="A95">
        <f>IFERROR(__xludf.DUMMYFUNCTION("""COMPUTED_VALUE"""),146.0)</f>
        <v>146</v>
      </c>
      <c r="B95" s="12"/>
      <c r="C95" s="43"/>
      <c r="D95" s="43"/>
      <c r="E95" s="26"/>
      <c r="F95" s="12"/>
      <c r="G95" s="12"/>
      <c r="H95" s="12"/>
      <c r="I95" s="12"/>
      <c r="J95" s="12"/>
    </row>
    <row r="96">
      <c r="A96">
        <f>IFERROR(__xludf.DUMMYFUNCTION("""COMPUTED_VALUE"""),147.0)</f>
        <v>147</v>
      </c>
      <c r="B96" s="12"/>
      <c r="C96" s="35"/>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5"/>
      <c r="D98" s="3"/>
      <c r="E98" s="3"/>
      <c r="F98" s="3"/>
      <c r="G98" s="12"/>
      <c r="H98" s="12"/>
      <c r="I98" s="12"/>
      <c r="J98" s="12"/>
    </row>
    <row r="99">
      <c r="A99">
        <f>IFERROR(__xludf.DUMMYFUNCTION("""COMPUTED_VALUE"""),150.0)</f>
        <v>150</v>
      </c>
      <c r="B99" s="12"/>
      <c r="C99" s="35"/>
      <c r="D99" s="12"/>
      <c r="E99" s="12"/>
      <c r="F99" s="12"/>
      <c r="G99" s="12"/>
      <c r="H99" s="12"/>
      <c r="I99" s="12"/>
      <c r="J99" s="12"/>
    </row>
    <row r="100">
      <c r="A100">
        <f>IFERROR(__xludf.DUMMYFUNCTION("""COMPUTED_VALUE"""),151.0)</f>
        <v>151</v>
      </c>
      <c r="B100" s="12"/>
      <c r="C100" s="35"/>
      <c r="D100" s="12"/>
      <c r="E100" s="12"/>
      <c r="F100" s="12"/>
      <c r="G100" s="12"/>
      <c r="H100" s="12"/>
      <c r="I100" s="12"/>
      <c r="J100" s="12"/>
    </row>
    <row r="101">
      <c r="A101">
        <f>IFERROR(__xludf.DUMMYFUNCTION("""COMPUTED_VALUE"""),152.0)</f>
        <v>152</v>
      </c>
      <c r="B101" s="12"/>
      <c r="C101" s="35"/>
      <c r="D101" s="3"/>
      <c r="E101" s="3"/>
      <c r="F101" s="12"/>
      <c r="G101" s="12"/>
      <c r="H101" s="12"/>
      <c r="I101" s="12"/>
      <c r="J101" s="12"/>
    </row>
    <row r="102">
      <c r="A102">
        <f>IFERROR(__xludf.DUMMYFUNCTION("""COMPUTED_VALUE"""),154.0)</f>
        <v>154</v>
      </c>
      <c r="B102" s="12"/>
      <c r="C102" s="35"/>
      <c r="D102" s="3"/>
      <c r="E102" s="3"/>
      <c r="F102" s="12"/>
      <c r="G102" s="12"/>
      <c r="H102" s="12"/>
      <c r="I102" s="12"/>
      <c r="J102" s="12"/>
    </row>
    <row r="103">
      <c r="A103">
        <f>IFERROR(__xludf.DUMMYFUNCTION("""COMPUTED_VALUE"""),155.0)</f>
        <v>155</v>
      </c>
      <c r="B103" s="12"/>
      <c r="C103" s="43"/>
      <c r="D103" s="26"/>
      <c r="E103" s="12"/>
      <c r="F103" s="12"/>
      <c r="G103" s="12"/>
      <c r="H103" s="12"/>
      <c r="I103" s="12"/>
      <c r="J103" s="12"/>
    </row>
    <row r="104">
      <c r="A104">
        <f>IFERROR(__xludf.DUMMYFUNCTION("""COMPUTED_VALUE"""),156.0)</f>
        <v>156</v>
      </c>
      <c r="B104" s="12"/>
      <c r="C104" s="35"/>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IFERROR(__xludf.DUMMYFUNCTION("QUERY({'S17 (primary)'!C2:C1000;'S17 (primary)'!D2:D1000;'S17 (primary)'!E2:E1000;'S17 (primary)'!F2:F1000;'S17 (primary)'!G2:G1000;'S17 (primary)'!H2:H1000;'S17 (primary)'!I2:I1000;'S17 (primary)'!J2:J1000;'S17 (primary)'!K2:K1000}, ""select Col1, count("&amp;"Col1) where Col1 is not null group by Col1 order by Col1 asc"")"),"")</f>
        <v/>
      </c>
      <c r="B2" s="34" t="str">
        <f>IFERROR(__xludf.DUMMYFUNCTION("""COMPUTED_VALUE"""),"count ")</f>
        <v>count </v>
      </c>
      <c r="C2" s="34"/>
      <c r="D2" s="34"/>
      <c r="E2" s="34" t="str">
        <f>IFERROR(__xludf.DUMMYFUNCTION("QUERY({'S17 (primary)'!C2:C1000;'S17 (primary)'!D2:D1000;'S17 (primary)'!E2:E1000;'S17 (primary)'!F2:F1000;'S17 (primary)'!G2:G1000;'S17 (primary)'!H2:H1000;'S17 (primary)'!I2:I1000;'S17 (primary)'!J2:J1000;'S17 (primary)'!K2:K1000}, ""select Col1, count("&amp;"Col1) where Col1 is not null and not Col1 contains '-&gt;' group by Col1 order by count(Col1) desc"")"),"")</f>
        <v/>
      </c>
      <c r="F2" s="34" t="str">
        <f>IFERROR(__xludf.DUMMYFUNCTION("""COMPUTED_VALUE"""),"count ")</f>
        <v>count </v>
      </c>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row r="19">
      <c r="G19" s="44"/>
    </row>
    <row r="20">
      <c r="G20" s="44"/>
    </row>
    <row r="21">
      <c r="G21" s="4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A,J"")"),"Response ID")</f>
        <v>Response ID</v>
      </c>
      <c r="B1" s="17" t="str">
        <f>IFERROR(__xludf.DUMMYFUNCTION("""COMPUTED_VALUE"""),"generic_recall_sso_yes_consider")</f>
        <v>generic_recall_sso_yes_consider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4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43"/>
      <c r="D14" s="3"/>
      <c r="E14" s="3"/>
      <c r="F14" s="3"/>
      <c r="G14" s="12"/>
      <c r="H14" s="12"/>
      <c r="I14" s="12"/>
      <c r="J14" s="12"/>
    </row>
    <row r="15">
      <c r="A15" s="48">
        <f>IFERROR(__xludf.DUMMYFUNCTION("""COMPUTED_VALUE"""),24.0)</f>
        <v>24</v>
      </c>
      <c r="B15" s="19"/>
      <c r="C15" s="3"/>
      <c r="D15" s="3"/>
      <c r="E15" s="12"/>
      <c r="F15" s="12"/>
      <c r="G15" s="12"/>
      <c r="H15" s="12"/>
      <c r="I15" s="12"/>
      <c r="J15" s="12"/>
    </row>
    <row r="16">
      <c r="A16" s="48">
        <f>IFERROR(__xludf.DUMMYFUNCTION("""COMPUTED_VALUE"""),25.0)</f>
        <v>25</v>
      </c>
      <c r="B16" s="19"/>
      <c r="C16" s="3"/>
      <c r="D16" s="3"/>
      <c r="E16" s="3"/>
      <c r="F16" s="12"/>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26"/>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26"/>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26"/>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28"/>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43"/>
      <c r="D34" s="3"/>
      <c r="E34" s="12"/>
      <c r="F34" s="12"/>
      <c r="G34" s="12"/>
      <c r="H34" s="12"/>
      <c r="I34" s="12"/>
      <c r="J34" s="12"/>
    </row>
    <row r="35">
      <c r="A35">
        <f>IFERROR(__xludf.DUMMYFUNCTION("""COMPUTED_VALUE"""),56.0)</f>
        <v>56</v>
      </c>
      <c r="B35" s="12"/>
      <c r="C35" s="43"/>
      <c r="D35" s="43"/>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28"/>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26"/>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28"/>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4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4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IFERROR(__xludf.DUMMYFUNCTION("""COMPUTED_VALUE"""),"I considered how often I would use the service, if it was something I'd use temporarily then I'd sign in with an existing account, otherwise I used my email.")</f>
        <v>I considered how often I would use the service, if it was something I'd use temporarily then I'd sign in with an existing account, otherwise I used my email.</v>
      </c>
      <c r="C57" s="4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42"/>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43"/>
      <c r="D63" s="3"/>
      <c r="E63" s="12"/>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43"/>
      <c r="D65" s="43"/>
      <c r="E65" s="43"/>
      <c r="F65" s="3"/>
      <c r="G65" s="26"/>
      <c r="H65" s="12"/>
      <c r="I65" s="12"/>
      <c r="J65" s="12"/>
    </row>
    <row r="66">
      <c r="A66">
        <f>IFERROR(__xludf.DUMMYFUNCTION("""COMPUTED_VALUE"""),103.0)</f>
        <v>103</v>
      </c>
      <c r="B66" s="12"/>
      <c r="C66" s="3"/>
      <c r="D66" s="3"/>
      <c r="E66" s="12"/>
      <c r="F66" s="12"/>
      <c r="G66" s="12"/>
      <c r="H66" s="12"/>
      <c r="I66" s="12"/>
      <c r="J66" s="12"/>
    </row>
    <row r="67">
      <c r="A67">
        <f>IFERROR(__xludf.DUMMYFUNCTION("""COMPUTED_VALUE"""),104.0)</f>
        <v>104</v>
      </c>
      <c r="B67" s="12"/>
      <c r="C67" s="3"/>
      <c r="D67" s="3"/>
      <c r="E67" s="42"/>
      <c r="F67" s="42"/>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43"/>
      <c r="D70" s="43"/>
      <c r="E70" s="43"/>
      <c r="F70" s="43"/>
      <c r="G70" s="3"/>
      <c r="H70" s="12"/>
      <c r="I70" s="12"/>
      <c r="J70" s="12"/>
    </row>
    <row r="71">
      <c r="A71">
        <f>IFERROR(__xludf.DUMMYFUNCTION("""COMPUTED_VALUE"""),109.0)</f>
        <v>109</v>
      </c>
      <c r="B71" s="12"/>
      <c r="C71" s="43"/>
      <c r="D71" s="3"/>
      <c r="E71" s="3"/>
      <c r="F71" s="3"/>
      <c r="G71" s="3"/>
      <c r="H71" s="3"/>
      <c r="I71" s="3"/>
      <c r="J71" s="12"/>
    </row>
    <row r="72">
      <c r="A72">
        <f>IFERROR(__xludf.DUMMYFUNCTION("""COMPUTED_VALUE"""),111.0)</f>
        <v>111</v>
      </c>
      <c r="B72" s="12"/>
      <c r="C72" s="4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43"/>
      <c r="D76" s="4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28"/>
      <c r="D79" s="28"/>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4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43"/>
      <c r="D84" s="3"/>
      <c r="E84" s="3"/>
      <c r="F84" s="3"/>
      <c r="G84" s="3"/>
      <c r="H84" s="12"/>
      <c r="I84" s="12"/>
      <c r="J84" s="12"/>
    </row>
    <row r="85">
      <c r="A85">
        <f>IFERROR(__xludf.DUMMYFUNCTION("""COMPUTED_VALUE"""),129.0)</f>
        <v>129</v>
      </c>
      <c r="B85" s="12"/>
      <c r="C85" s="43"/>
      <c r="D85" s="4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4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4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43"/>
      <c r="D95" s="4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43"/>
      <c r="D103" s="4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IFERROR(__xludf.DUMMYFUNCTION("QUERY({'S17 (secondary)'!C2:C1000;'S17 (secondary)'!D2:D1000;'S17 (secondary)'!E2:E1000;'S17 (secondary)'!F2:F1000;'S17 (secondary)'!G2:G1000;'S17 (secondary)'!H2:H1000;'S17 (secondary)'!I2:I1000;'S17 (secondary)'!J2:J1000;'S17 (secondary)'!K2:K1000}, ""s"&amp;"elect Col1, count(Col1) where Col1 is not null group by Col1 order by Col1 asc"")"),"")</f>
        <v/>
      </c>
      <c r="B2" s="34" t="str">
        <f>IFERROR(__xludf.DUMMYFUNCTION("""COMPUTED_VALUE"""),"count ")</f>
        <v>count </v>
      </c>
      <c r="C2" s="34"/>
      <c r="D2" s="34"/>
      <c r="E2" s="34" t="str">
        <f>IFERROR(__xludf.DUMMYFUNCTION("QUERY({'S17 (secondary)'!C2:C1000;'S17 (secondary)'!D2:D1000;'S17 (secondary)'!E2:E1000;'S17 (secondary)'!F2:F1000;'S17 (secondary)'!G2:G1000;'S17 (secondary)'!H2:H1000;'S17 (secondary)'!I2:I1000;'S17 (secondary)'!J2:J1000;'S17 (secondary)'!K2:K1000}, ""s"&amp;"elect Col1, count(Col1) where Col1 is not null and not Col1 contains '-&gt;' group by Col1 order by count(Col1) asc"")"),"")</f>
        <v/>
      </c>
      <c r="F2" s="34" t="str">
        <f>IFERROR(__xludf.DUMMYFUNCTION("""COMPUTED_VALUE"""),"count ")</f>
        <v>count </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A,K"")"),"Response ID")</f>
        <v>Response ID</v>
      </c>
      <c r="B1" s="17" t="str">
        <f>IFERROR(__xludf.DUMMYFUNCTION("""COMPUTED_VALUE"""),"generic_recall_sso_no_account")</f>
        <v>generic_recall_sso_no_account</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c r="K4" s="53"/>
      <c r="L4" s="53"/>
      <c r="M4" s="53"/>
      <c r="N4" s="53"/>
      <c r="O4" s="53"/>
      <c r="P4" s="53"/>
      <c r="Q4" s="53"/>
      <c r="R4" s="53"/>
      <c r="S4" s="53"/>
      <c r="T4" s="53"/>
      <c r="U4" s="53"/>
      <c r="V4" s="53"/>
      <c r="W4" s="53"/>
      <c r="X4" s="53"/>
      <c r="Y4" s="53"/>
      <c r="Z4" s="53"/>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c r="K9" s="53"/>
      <c r="L9" s="53"/>
      <c r="M9" s="53"/>
      <c r="N9" s="53"/>
      <c r="O9" s="53"/>
      <c r="P9" s="53"/>
      <c r="Q9" s="53"/>
      <c r="R9" s="53"/>
      <c r="S9" s="53"/>
      <c r="T9" s="53"/>
      <c r="U9" s="53"/>
      <c r="V9" s="53"/>
      <c r="W9" s="53"/>
      <c r="X9" s="53"/>
      <c r="Y9" s="53"/>
      <c r="Z9" s="53"/>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54"/>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c r="K30" s="53"/>
      <c r="L30" s="53"/>
      <c r="M30" s="53"/>
      <c r="N30" s="53"/>
      <c r="O30" s="53"/>
      <c r="P30" s="53"/>
      <c r="Q30" s="53"/>
      <c r="R30" s="53"/>
      <c r="S30" s="53"/>
      <c r="T30" s="53"/>
      <c r="U30" s="53"/>
      <c r="V30" s="53"/>
      <c r="W30" s="53"/>
      <c r="X30" s="53"/>
      <c r="Y30" s="53"/>
      <c r="Z30" s="53"/>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28"/>
      <c r="E34" s="12"/>
      <c r="F34" s="12"/>
      <c r="G34" s="12"/>
      <c r="H34" s="12"/>
      <c r="I34" s="12"/>
      <c r="J34" s="12"/>
    </row>
    <row r="35">
      <c r="A35">
        <f>IFERROR(__xludf.DUMMYFUNCTION("""COMPUTED_VALUE"""),56.0)</f>
        <v>56</v>
      </c>
      <c r="B35" s="12"/>
      <c r="C35" s="3"/>
      <c r="D35" s="28"/>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3"/>
      <c r="E38" s="12"/>
      <c r="F38" s="12"/>
      <c r="G38" s="12"/>
      <c r="H38" s="12"/>
      <c r="I38" s="12"/>
      <c r="J38" s="12"/>
      <c r="K38" s="53"/>
      <c r="L38" s="53"/>
      <c r="M38" s="53"/>
      <c r="N38" s="53"/>
      <c r="O38" s="53"/>
      <c r="P38" s="53"/>
      <c r="Q38" s="53"/>
      <c r="R38" s="53"/>
      <c r="S38" s="53"/>
      <c r="T38" s="53"/>
      <c r="U38" s="53"/>
      <c r="V38" s="53"/>
      <c r="W38" s="53"/>
      <c r="X38" s="53"/>
      <c r="Y38" s="53"/>
      <c r="Z38" s="53"/>
    </row>
    <row r="39">
      <c r="A39">
        <f>IFERROR(__xludf.DUMMYFUNCTION("""COMPUTED_VALUE"""),61.0)</f>
        <v>61</v>
      </c>
      <c r="B39" s="12"/>
      <c r="C39" s="3"/>
      <c r="D39" s="3"/>
      <c r="E39" s="12"/>
      <c r="F39" s="12"/>
      <c r="G39" s="12"/>
      <c r="H39" s="12"/>
      <c r="I39" s="12"/>
      <c r="J39" s="12"/>
    </row>
    <row r="40">
      <c r="A40">
        <f>IFERROR(__xludf.DUMMYFUNCTION("""COMPUTED_VALUE"""),62.0)</f>
        <v>62</v>
      </c>
      <c r="B40" s="12"/>
      <c r="C40" s="3"/>
      <c r="D40" s="28"/>
      <c r="E40" s="3"/>
      <c r="F40" s="12"/>
      <c r="G40" s="12"/>
      <c r="H40" s="12"/>
      <c r="I40" s="12"/>
      <c r="J40" s="12"/>
    </row>
    <row r="41">
      <c r="A41">
        <f>IFERROR(__xludf.DUMMYFUNCTION("""COMPUTED_VALUE"""),64.0)</f>
        <v>64</v>
      </c>
      <c r="B41" s="12"/>
      <c r="C41" s="3"/>
      <c r="D41" s="28"/>
      <c r="E41" s="12"/>
      <c r="F41" s="12"/>
      <c r="G41" s="12"/>
      <c r="H41" s="12"/>
      <c r="I41" s="12"/>
      <c r="J41" s="12"/>
    </row>
    <row r="42">
      <c r="A42">
        <f>IFERROR(__xludf.DUMMYFUNCTION("""COMPUTED_VALUE"""),66.0)</f>
        <v>66</v>
      </c>
      <c r="B42" s="12"/>
      <c r="C42" s="3"/>
      <c r="D42" s="28"/>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28"/>
      <c r="D44" s="3"/>
      <c r="E44" s="12"/>
      <c r="F44" s="12"/>
      <c r="G44" s="12"/>
      <c r="H44" s="12"/>
      <c r="I44" s="12"/>
      <c r="J44" s="12"/>
      <c r="K44" s="53"/>
      <c r="L44" s="53"/>
      <c r="M44" s="53"/>
      <c r="N44" s="53"/>
      <c r="O44" s="53"/>
      <c r="P44" s="53"/>
      <c r="Q44" s="53"/>
      <c r="R44" s="53"/>
      <c r="S44" s="53"/>
      <c r="T44" s="53"/>
      <c r="U44" s="53"/>
      <c r="V44" s="53"/>
      <c r="W44" s="53"/>
      <c r="X44" s="53"/>
      <c r="Y44" s="53"/>
      <c r="Z44" s="53"/>
    </row>
    <row r="45">
      <c r="A45">
        <f>IFERROR(__xludf.DUMMYFUNCTION("""COMPUTED_VALUE"""),70.0)</f>
        <v>70</v>
      </c>
      <c r="B45" s="12"/>
      <c r="C45" s="3"/>
      <c r="D45" s="28"/>
      <c r="E45" s="12"/>
      <c r="F45" s="12"/>
      <c r="G45" s="12"/>
      <c r="H45" s="12"/>
      <c r="I45" s="12"/>
      <c r="J45" s="12"/>
    </row>
    <row r="46">
      <c r="A46">
        <f>IFERROR(__xludf.DUMMYFUNCTION("""COMPUTED_VALUE"""),72.0)</f>
        <v>72</v>
      </c>
      <c r="B46" s="12"/>
      <c r="C46" s="3"/>
      <c r="D46" s="28"/>
      <c r="E46" s="12"/>
      <c r="F46" s="12"/>
      <c r="G46" s="12"/>
      <c r="H46" s="12"/>
      <c r="I46" s="12"/>
      <c r="J46" s="12"/>
    </row>
    <row r="47">
      <c r="A47">
        <f>IFERROR(__xludf.DUMMYFUNCTION("""COMPUTED_VALUE"""),73.0)</f>
        <v>73</v>
      </c>
      <c r="B47" s="12"/>
      <c r="C47" s="28"/>
      <c r="D47" s="3"/>
      <c r="E47" s="3"/>
      <c r="F47" s="12"/>
      <c r="G47" s="12"/>
      <c r="H47" s="12"/>
      <c r="I47" s="12"/>
      <c r="J47" s="12"/>
      <c r="K47" s="53"/>
      <c r="L47" s="53"/>
      <c r="M47" s="53"/>
      <c r="N47" s="53"/>
      <c r="O47" s="53"/>
      <c r="P47" s="53"/>
      <c r="Q47" s="53"/>
      <c r="R47" s="53"/>
      <c r="S47" s="53"/>
      <c r="T47" s="53"/>
      <c r="U47" s="53"/>
      <c r="V47" s="53"/>
      <c r="W47" s="53"/>
      <c r="X47" s="53"/>
      <c r="Y47" s="53"/>
      <c r="Z47" s="53"/>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c r="K49" s="53"/>
      <c r="L49" s="53"/>
      <c r="M49" s="53"/>
      <c r="N49" s="53"/>
      <c r="O49" s="53"/>
      <c r="P49" s="53"/>
      <c r="Q49" s="53"/>
      <c r="R49" s="53"/>
      <c r="S49" s="53"/>
      <c r="T49" s="53"/>
      <c r="U49" s="53"/>
      <c r="V49" s="53"/>
      <c r="W49" s="53"/>
      <c r="X49" s="53"/>
      <c r="Y49" s="53"/>
      <c r="Z49" s="53"/>
    </row>
    <row r="50">
      <c r="A50">
        <f>IFERROR(__xludf.DUMMYFUNCTION("""COMPUTED_VALUE"""),78.0)</f>
        <v>78</v>
      </c>
      <c r="B50" s="12"/>
      <c r="C50" s="3"/>
      <c r="D50" s="28"/>
      <c r="E50" s="12"/>
      <c r="F50" s="12"/>
      <c r="G50" s="12"/>
      <c r="H50" s="12"/>
      <c r="I50" s="12"/>
      <c r="J50" s="12"/>
    </row>
    <row r="51">
      <c r="A51">
        <f>IFERROR(__xludf.DUMMYFUNCTION("""COMPUTED_VALUE"""),80.0)</f>
        <v>80</v>
      </c>
      <c r="B51" s="12"/>
      <c r="C51" s="3"/>
      <c r="D51" s="3"/>
      <c r="E51" s="3"/>
      <c r="F51" s="12"/>
      <c r="G51" s="12"/>
      <c r="H51" s="12"/>
      <c r="I51" s="12"/>
      <c r="J51" s="12"/>
      <c r="K51" s="53"/>
      <c r="L51" s="53"/>
      <c r="M51" s="53"/>
      <c r="N51" s="53"/>
      <c r="O51" s="53"/>
      <c r="P51" s="53"/>
      <c r="Q51" s="53"/>
      <c r="R51" s="53"/>
      <c r="S51" s="53"/>
      <c r="T51" s="53"/>
      <c r="U51" s="53"/>
      <c r="V51" s="53"/>
      <c r="W51" s="53"/>
      <c r="X51" s="53"/>
      <c r="Y51" s="53"/>
      <c r="Z51" s="53"/>
    </row>
    <row r="52">
      <c r="A52">
        <f>IFERROR(__xludf.DUMMYFUNCTION("""COMPUTED_VALUE"""),81.0)</f>
        <v>81</v>
      </c>
      <c r="B52" s="12"/>
      <c r="C52" s="3"/>
      <c r="D52" s="28"/>
      <c r="E52" s="12"/>
      <c r="F52" s="12"/>
      <c r="G52" s="12"/>
      <c r="H52" s="12"/>
      <c r="I52" s="12"/>
      <c r="J52" s="12"/>
    </row>
    <row r="53">
      <c r="A53">
        <f>IFERROR(__xludf.DUMMYFUNCTION("""COMPUTED_VALUE"""),84.0)</f>
        <v>84</v>
      </c>
      <c r="B53" s="12"/>
      <c r="C53" s="3"/>
      <c r="E53" s="3"/>
      <c r="F53" s="3"/>
      <c r="G53" s="12"/>
      <c r="H53" s="12"/>
      <c r="I53" s="12"/>
      <c r="J53" s="12"/>
      <c r="K53" s="53"/>
      <c r="L53" s="53"/>
      <c r="M53" s="53"/>
      <c r="N53" s="53"/>
      <c r="O53" s="53"/>
      <c r="P53" s="53"/>
      <c r="Q53" s="53"/>
      <c r="R53" s="53"/>
      <c r="S53" s="53"/>
      <c r="T53" s="53"/>
      <c r="U53" s="53"/>
      <c r="V53" s="53"/>
      <c r="W53" s="53"/>
      <c r="X53" s="53"/>
      <c r="Y53" s="53"/>
      <c r="Z53" s="53"/>
    </row>
    <row r="54">
      <c r="A54">
        <f>IFERROR(__xludf.DUMMYFUNCTION("""COMPUTED_VALUE"""),86.0)</f>
        <v>86</v>
      </c>
      <c r="B54" s="12"/>
      <c r="C54" s="3"/>
      <c r="D54" s="28"/>
      <c r="E54" s="12"/>
      <c r="F54" s="12"/>
      <c r="G54" s="12"/>
      <c r="H54" s="12"/>
      <c r="I54" s="12"/>
      <c r="J54" s="12"/>
    </row>
    <row r="55">
      <c r="A55">
        <f>IFERROR(__xludf.DUMMYFUNCTION("""COMPUTED_VALUE"""),87.0)</f>
        <v>87</v>
      </c>
      <c r="B55" s="12"/>
      <c r="C55" s="3"/>
      <c r="D55" s="3"/>
      <c r="E55" s="12"/>
      <c r="F55" s="12"/>
      <c r="G55" s="12"/>
      <c r="H55" s="12"/>
      <c r="I55" s="12"/>
      <c r="J55" s="12"/>
      <c r="K55" s="53"/>
      <c r="L55" s="53"/>
      <c r="M55" s="53"/>
      <c r="N55" s="53"/>
      <c r="O55" s="53"/>
      <c r="P55" s="53"/>
      <c r="Q55" s="53"/>
      <c r="R55" s="53"/>
      <c r="S55" s="53"/>
      <c r="T55" s="53"/>
      <c r="U55" s="53"/>
      <c r="V55" s="53"/>
      <c r="W55" s="53"/>
      <c r="X55" s="53"/>
      <c r="Y55" s="53"/>
      <c r="Z55" s="53"/>
    </row>
    <row r="56">
      <c r="A56">
        <f>IFERROR(__xludf.DUMMYFUNCTION("""COMPUTED_VALUE"""),88.0)</f>
        <v>88</v>
      </c>
      <c r="B56" s="12"/>
      <c r="C56" s="3"/>
      <c r="D56" s="12"/>
      <c r="E56" s="12"/>
      <c r="F56" s="12"/>
      <c r="G56" s="12"/>
      <c r="H56" s="12"/>
      <c r="I56" s="12"/>
      <c r="J56" s="12"/>
    </row>
    <row r="57">
      <c r="A57">
        <f>IFERROR(__xludf.DUMMYFUNCTION("""COMPUTED_VALUE"""),89.0)</f>
        <v>89</v>
      </c>
      <c r="B57" s="12"/>
      <c r="C57" s="3"/>
      <c r="D57" s="28"/>
      <c r="E57" s="28"/>
      <c r="F57" s="28"/>
      <c r="G57" s="12"/>
      <c r="H57" s="12"/>
      <c r="I57" s="12"/>
      <c r="J57" s="12"/>
    </row>
    <row r="58">
      <c r="A58">
        <f>IFERROR(__xludf.DUMMYFUNCTION("""COMPUTED_VALUE"""),90.0)</f>
        <v>90</v>
      </c>
      <c r="B58" s="12"/>
      <c r="C58" s="3"/>
      <c r="D58" s="28"/>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28"/>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28"/>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c r="K65" s="53"/>
      <c r="L65" s="53"/>
      <c r="M65" s="53"/>
      <c r="N65" s="53"/>
      <c r="O65" s="53"/>
      <c r="P65" s="53"/>
      <c r="Q65" s="53"/>
      <c r="R65" s="53"/>
      <c r="S65" s="53"/>
      <c r="T65" s="53"/>
      <c r="U65" s="53"/>
      <c r="V65" s="53"/>
      <c r="W65" s="53"/>
      <c r="X65" s="53"/>
      <c r="Y65" s="53"/>
      <c r="Z65" s="53"/>
    </row>
    <row r="66">
      <c r="A66">
        <f>IFERROR(__xludf.DUMMYFUNCTION("""COMPUTED_VALUE"""),103.0)</f>
        <v>103</v>
      </c>
      <c r="B66" s="12"/>
      <c r="C66" s="3"/>
      <c r="D66" s="28"/>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28"/>
      <c r="E68" s="12"/>
      <c r="F68" s="12"/>
      <c r="G68" s="12"/>
      <c r="J68" s="12"/>
    </row>
    <row r="69">
      <c r="A69">
        <f>IFERROR(__xludf.DUMMYFUNCTION("""COMPUTED_VALUE"""),107.0)</f>
        <v>107</v>
      </c>
      <c r="B69" s="12"/>
      <c r="C69" s="3"/>
      <c r="D69" s="28"/>
      <c r="E69" s="3"/>
      <c r="F69" s="3"/>
      <c r="G69" s="3"/>
      <c r="J69" s="12"/>
    </row>
    <row r="70">
      <c r="A70">
        <f>IFERROR(__xludf.DUMMYFUNCTION("""COMPUTED_VALUE"""),108.0)</f>
        <v>108</v>
      </c>
      <c r="B70" s="12"/>
      <c r="C70" s="3"/>
      <c r="D70" s="28"/>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28"/>
      <c r="E73" s="3"/>
      <c r="F73" s="3"/>
      <c r="G73" s="3"/>
      <c r="H73" s="3"/>
      <c r="I73" s="12"/>
      <c r="J73" s="12"/>
    </row>
    <row r="74">
      <c r="A74">
        <f>IFERROR(__xludf.DUMMYFUNCTION("""COMPUTED_VALUE"""),113.0)</f>
        <v>113</v>
      </c>
      <c r="B74" s="12"/>
      <c r="C74" s="3"/>
      <c r="D74" s="28"/>
      <c r="E74" s="3"/>
      <c r="F74" s="12"/>
      <c r="G74" s="12"/>
      <c r="H74" s="12"/>
      <c r="I74" s="12"/>
      <c r="J74" s="12"/>
    </row>
    <row r="75">
      <c r="A75">
        <f>IFERROR(__xludf.DUMMYFUNCTION("""COMPUTED_VALUE"""),115.0)</f>
        <v>115</v>
      </c>
      <c r="B75" s="12"/>
      <c r="C75" s="54"/>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28"/>
      <c r="E77" s="3"/>
      <c r="F77" s="12"/>
      <c r="G77" s="12"/>
      <c r="H77" s="12"/>
      <c r="I77" s="12"/>
      <c r="J77" s="12"/>
    </row>
    <row r="78">
      <c r="A78">
        <f>IFERROR(__xludf.DUMMYFUNCTION("""COMPUTED_VALUE"""),122.0)</f>
        <v>122</v>
      </c>
      <c r="B78" s="12"/>
      <c r="C78" s="3"/>
      <c r="D78" s="3"/>
      <c r="E78" s="12"/>
      <c r="F78" s="12"/>
      <c r="G78" s="12"/>
      <c r="H78" s="12"/>
      <c r="I78" s="12"/>
      <c r="J78" s="12"/>
      <c r="K78" s="53"/>
      <c r="L78" s="53"/>
      <c r="M78" s="53"/>
      <c r="N78" s="53"/>
      <c r="O78" s="53"/>
      <c r="P78" s="53"/>
      <c r="Q78" s="53"/>
      <c r="R78" s="53"/>
      <c r="S78" s="53"/>
      <c r="T78" s="53"/>
      <c r="U78" s="53"/>
      <c r="V78" s="53"/>
      <c r="W78" s="53"/>
      <c r="X78" s="53"/>
      <c r="Y78" s="53"/>
      <c r="Z78" s="53"/>
    </row>
    <row r="79">
      <c r="A79">
        <f>IFERROR(__xludf.DUMMYFUNCTION("""COMPUTED_VALUE"""),123.0)</f>
        <v>123</v>
      </c>
      <c r="B79" s="12"/>
      <c r="C79" s="3"/>
      <c r="D79" s="28"/>
      <c r="E79" s="12"/>
      <c r="F79" s="12"/>
      <c r="G79" s="12"/>
      <c r="H79" s="12"/>
      <c r="I79" s="12"/>
      <c r="J79" s="12"/>
    </row>
    <row r="80">
      <c r="A80">
        <f>IFERROR(__xludf.DUMMYFUNCTION("""COMPUTED_VALUE"""),124.0)</f>
        <v>124</v>
      </c>
      <c r="B80" s="12"/>
      <c r="C80" s="54"/>
      <c r="D80" s="3"/>
      <c r="E80" s="3"/>
      <c r="F80" s="12"/>
      <c r="G80" s="12"/>
      <c r="H80" s="12"/>
      <c r="I80" s="12"/>
      <c r="J80" s="12"/>
    </row>
    <row r="81">
      <c r="A81">
        <f>IFERROR(__xludf.DUMMYFUNCTION("""COMPUTED_VALUE"""),125.0)</f>
        <v>125</v>
      </c>
      <c r="B81" s="12"/>
      <c r="C81" s="3"/>
      <c r="D81" s="28"/>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28"/>
      <c r="E83" s="3"/>
      <c r="F83" s="3"/>
      <c r="G83" s="12"/>
      <c r="H83" s="12"/>
      <c r="I83" s="12"/>
      <c r="J83" s="12"/>
    </row>
    <row r="84">
      <c r="A84">
        <f>IFERROR(__xludf.DUMMYFUNCTION("""COMPUTED_VALUE"""),128.0)</f>
        <v>128</v>
      </c>
      <c r="B84" s="12"/>
      <c r="C84" s="3"/>
      <c r="D84" s="28"/>
      <c r="E84" s="28"/>
      <c r="F84" s="3"/>
      <c r="G84" s="3"/>
      <c r="H84" s="12"/>
      <c r="I84" s="12"/>
      <c r="J84" s="12"/>
    </row>
    <row r="85">
      <c r="A85">
        <f>IFERROR(__xludf.DUMMYFUNCTION("""COMPUTED_VALUE"""),129.0)</f>
        <v>129</v>
      </c>
      <c r="B85" s="12"/>
      <c r="C85" s="28"/>
      <c r="D85" s="28"/>
      <c r="E85" s="3"/>
      <c r="F85" s="12"/>
      <c r="G85" s="12"/>
      <c r="H85" s="12"/>
      <c r="I85" s="12"/>
      <c r="J85" s="12"/>
    </row>
    <row r="86">
      <c r="A86">
        <f>IFERROR(__xludf.DUMMYFUNCTION("""COMPUTED_VALUE"""),130.0)</f>
        <v>130</v>
      </c>
      <c r="B86" s="12"/>
      <c r="C86" s="3"/>
      <c r="D86" s="3"/>
      <c r="E86" s="3"/>
      <c r="F86" s="3"/>
      <c r="G86" s="3"/>
      <c r="H86" s="12"/>
      <c r="I86" s="12"/>
      <c r="J86" s="12"/>
      <c r="K86" s="53"/>
      <c r="L86" s="53"/>
      <c r="M86" s="53"/>
      <c r="N86" s="53"/>
      <c r="O86" s="53"/>
      <c r="P86" s="53"/>
      <c r="Q86" s="53"/>
      <c r="R86" s="53"/>
      <c r="S86" s="53"/>
      <c r="T86" s="53"/>
      <c r="U86" s="53"/>
      <c r="V86" s="53"/>
      <c r="W86" s="53"/>
      <c r="X86" s="53"/>
      <c r="Y86" s="53"/>
      <c r="Z86" s="53"/>
    </row>
    <row r="87">
      <c r="A87">
        <f>IFERROR(__xludf.DUMMYFUNCTION("""COMPUTED_VALUE"""),132.0)</f>
        <v>132</v>
      </c>
      <c r="B87" s="12"/>
      <c r="C87" s="3"/>
      <c r="D87" s="12"/>
      <c r="E87" s="12"/>
      <c r="F87" s="12"/>
      <c r="G87" s="12"/>
      <c r="H87" s="12"/>
      <c r="I87" s="12"/>
      <c r="J87" s="12"/>
      <c r="K87" s="53"/>
      <c r="L87" s="53"/>
      <c r="M87" s="53"/>
      <c r="N87" s="53"/>
      <c r="O87" s="53"/>
      <c r="P87" s="53"/>
      <c r="Q87" s="53"/>
      <c r="R87" s="53"/>
      <c r="S87" s="53"/>
      <c r="T87" s="53"/>
      <c r="U87" s="53"/>
      <c r="V87" s="53"/>
      <c r="W87" s="53"/>
      <c r="X87" s="53"/>
      <c r="Y87" s="53"/>
      <c r="Z87" s="53"/>
    </row>
    <row r="88">
      <c r="A88">
        <f>IFERROR(__xludf.DUMMYFUNCTION("""COMPUTED_VALUE"""),135.0)</f>
        <v>135</v>
      </c>
      <c r="B88" s="12"/>
      <c r="C88" s="3"/>
      <c r="D88" s="28"/>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28"/>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28"/>
      <c r="E92" s="3"/>
      <c r="F92" s="12"/>
      <c r="G92" s="12"/>
      <c r="H92" s="12"/>
      <c r="I92" s="12"/>
      <c r="J92" s="12"/>
    </row>
    <row r="93">
      <c r="A93">
        <f>IFERROR(__xludf.DUMMYFUNCTION("""COMPUTED_VALUE"""),142.0)</f>
        <v>142</v>
      </c>
      <c r="B93" s="12"/>
      <c r="C93" s="3"/>
      <c r="D93" s="28"/>
      <c r="E93" s="12"/>
      <c r="F93" s="12"/>
      <c r="G93" s="12"/>
      <c r="H93" s="12"/>
      <c r="I93" s="12"/>
      <c r="J93" s="12"/>
    </row>
    <row r="94">
      <c r="A94">
        <f>IFERROR(__xludf.DUMMYFUNCTION("""COMPUTED_VALUE"""),143.0)</f>
        <v>143</v>
      </c>
      <c r="B94" s="12"/>
      <c r="C94" s="28"/>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28"/>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28"/>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28"/>
      <c r="E102" s="3"/>
      <c r="F102" s="12"/>
      <c r="G102" s="12"/>
      <c r="H102" s="12"/>
      <c r="I102" s="12"/>
      <c r="J102" s="12"/>
    </row>
    <row r="103">
      <c r="A103">
        <f>IFERROR(__xludf.DUMMYFUNCTION("""COMPUTED_VALUE"""),155.0)</f>
        <v>155</v>
      </c>
      <c r="B103" s="12"/>
      <c r="C103" s="3"/>
      <c r="D103" s="28"/>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t="str">
        <f>IFERROR(__xludf.DUMMYFUNCTION("""COMPUTED_VALUE"""),"I wouldn't do it.")</f>
        <v>I wouldn't do it.</v>
      </c>
      <c r="C173" s="12"/>
      <c r="D173" s="12"/>
      <c r="E173" s="12"/>
      <c r="F173" s="12"/>
      <c r="G173" s="12"/>
      <c r="H173" s="12"/>
      <c r="I173" s="12"/>
      <c r="J173" s="12"/>
    </row>
    <row r="174">
      <c r="A174">
        <f>IFERROR(__xludf.DUMMYFUNCTION("""COMPUTED_VALUE"""),251.0)</f>
        <v>251</v>
      </c>
      <c r="B174" s="12" t="str">
        <f>IFERROR(__xludf.DUMMYFUNCTION("""COMPUTED_VALUE"""),"I would not use one.")</f>
        <v>I would not use one.</v>
      </c>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t="str">
        <f>IFERROR(__xludf.DUMMYFUNCTION("""COMPUTED_VALUE"""),"I am not sure.")</f>
        <v>I am not sure.</v>
      </c>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66.14"/>
    <col customWidth="1" min="5" max="5" width="30.86"/>
  </cols>
  <sheetData>
    <row r="1">
      <c r="A1" s="16" t="s">
        <v>1596</v>
      </c>
      <c r="B1" s="34"/>
      <c r="C1" s="34"/>
      <c r="D1" s="34"/>
      <c r="E1" s="16" t="s">
        <v>1597</v>
      </c>
      <c r="F1" s="34"/>
    </row>
    <row r="2">
      <c r="A2" s="34" t="str">
        <f>IFERROR(__xludf.DUMMYFUNCTION("QUERY({'S18 (primary)'!C2:C1000;'S18 (primary)'!D2:D1000;'S18 (primary)'!E2:E1000;'S18 (primary)'!F2:F1000;'S18 (primary)'!G2:G1000;'S18 (primary)'!H2:H1000;'S18 (primary)'!I2:I1000;'S18 (primary)'!J2:J1000;'S18 (primary)'!K2:K1000}, ""select Col1, count("&amp;"Col1) where Col1 is not null group by Col1 order by Col1 asc"")"),"")</f>
        <v/>
      </c>
      <c r="B2" s="34" t="str">
        <f>IFERROR(__xludf.DUMMYFUNCTION("""COMPUTED_VALUE"""),"count ")</f>
        <v>count </v>
      </c>
      <c r="C2" s="34"/>
      <c r="D2" s="34"/>
      <c r="E2" s="34" t="str">
        <f>IFERROR(__xludf.DUMMYFUNCTION("QUERY({'S18 (primary)'!C2:C1000;'S18 (primary)'!D2:D1000;'S18 (primary)'!E2:E1000;'S18 (primary)'!F2:F1000;'S18 (primary)'!G2:G1000;'S18 (primary)'!H2:H1000;'S18 (primary)'!I2:I1000;'S18 (primary)'!J2:J1000;'S18 (primary)'!K2:K1000}, ""select Col1, count("&amp;"Col1)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row r="19">
      <c r="G19" s="44"/>
    </row>
    <row r="20">
      <c r="G20" s="44"/>
    </row>
    <row r="21">
      <c r="G21" s="4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A,K"")"),"Response ID")</f>
        <v>Response ID</v>
      </c>
      <c r="B1" s="17" t="str">
        <f>IFERROR(__xludf.DUMMYFUNCTION("""COMPUTED_VALUE"""),"generic_recall_sso_no_account")</f>
        <v>generic_recall_sso_no_account</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28"/>
      <c r="D7" s="4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12"/>
      <c r="H9" s="12"/>
      <c r="I9" s="12"/>
      <c r="J9" s="12"/>
    </row>
    <row r="10">
      <c r="A10" s="48">
        <f>IFERROR(__xludf.DUMMYFUNCTION("""COMPUTED_VALUE"""),14.0)</f>
        <v>14</v>
      </c>
      <c r="B10" s="19"/>
      <c r="C10" s="28"/>
      <c r="D10" s="3"/>
      <c r="E10" s="3"/>
      <c r="F10" s="12"/>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3"/>
      <c r="F12" s="12"/>
      <c r="G12" s="12"/>
      <c r="H12" s="12"/>
      <c r="I12" s="12"/>
      <c r="J12" s="12"/>
    </row>
    <row r="13">
      <c r="A13" s="48">
        <f>IFERROR(__xludf.DUMMYFUNCTION("""COMPUTED_VALUE"""),21.0)</f>
        <v>21</v>
      </c>
      <c r="B13" s="19"/>
      <c r="C13" s="3"/>
      <c r="D13" s="3"/>
      <c r="E13" s="3"/>
      <c r="F13" s="12"/>
      <c r="G13" s="12"/>
      <c r="H13" s="12"/>
      <c r="I13" s="12"/>
      <c r="J13" s="12"/>
    </row>
    <row r="14">
      <c r="A14" s="48">
        <f>IFERROR(__xludf.DUMMYFUNCTION("""COMPUTED_VALUE"""),22.0)</f>
        <v>22</v>
      </c>
      <c r="B14" s="19"/>
      <c r="C14" s="3"/>
      <c r="D14" s="3"/>
      <c r="E14" s="12"/>
      <c r="F14" s="12"/>
      <c r="G14" s="12"/>
      <c r="H14" s="12"/>
      <c r="I14" s="12"/>
      <c r="J14" s="12"/>
    </row>
    <row r="15">
      <c r="A15" s="48">
        <f>IFERROR(__xludf.DUMMYFUNCTION("""COMPUTED_VALUE"""),24.0)</f>
        <v>24</v>
      </c>
      <c r="B15" s="19"/>
      <c r="C15" s="3"/>
      <c r="D15" s="3"/>
      <c r="E15" s="3"/>
      <c r="F15" s="26"/>
      <c r="G15" s="12"/>
      <c r="H15" s="12"/>
      <c r="I15" s="12"/>
      <c r="J15" s="12"/>
    </row>
    <row r="16">
      <c r="A16" s="48">
        <f>IFERROR(__xludf.DUMMYFUNCTION("""COMPUTED_VALUE"""),25.0)</f>
        <v>25</v>
      </c>
      <c r="B16" s="19"/>
      <c r="C16" s="3"/>
      <c r="D16" s="3"/>
      <c r="E16" s="26"/>
      <c r="F16" s="26"/>
      <c r="G16" s="12"/>
      <c r="H16" s="12"/>
      <c r="I16" s="12"/>
      <c r="J16" s="12"/>
    </row>
    <row r="17">
      <c r="A17" s="48">
        <f>IFERROR(__xludf.DUMMYFUNCTION("""COMPUTED_VALUE"""),26.0)</f>
        <v>26</v>
      </c>
      <c r="B17" s="19"/>
      <c r="C17" s="35"/>
      <c r="D17" s="3"/>
      <c r="E17" s="3"/>
      <c r="F17" s="12"/>
      <c r="G17" s="12"/>
      <c r="H17" s="12"/>
      <c r="I17" s="12"/>
      <c r="J17" s="12"/>
    </row>
    <row r="18">
      <c r="A18" s="48">
        <f>IFERROR(__xludf.DUMMYFUNCTION("""COMPUTED_VALUE"""),28.0)</f>
        <v>28</v>
      </c>
      <c r="B18" s="19"/>
      <c r="C18" s="3"/>
      <c r="D18" s="26"/>
      <c r="E18" s="12"/>
      <c r="F18" s="12"/>
      <c r="G18" s="12"/>
      <c r="H18" s="12"/>
      <c r="I18" s="12"/>
      <c r="J18" s="12"/>
    </row>
    <row r="19">
      <c r="A19" s="48">
        <f>IFERROR(__xludf.DUMMYFUNCTION("""COMPUTED_VALUE"""),29.0)</f>
        <v>29</v>
      </c>
      <c r="B19" s="19"/>
      <c r="C19" s="3"/>
      <c r="D19" s="3"/>
      <c r="E19" s="12"/>
      <c r="F19" s="12"/>
      <c r="G19" s="12"/>
      <c r="H19" s="12"/>
      <c r="I19" s="12"/>
      <c r="J19" s="12"/>
    </row>
    <row r="20">
      <c r="A20" s="48">
        <f>IFERROR(__xludf.DUMMYFUNCTION("""COMPUTED_VALUE"""),30.0)</f>
        <v>30</v>
      </c>
      <c r="B20" s="19"/>
      <c r="C20" s="3"/>
      <c r="D20" s="3"/>
      <c r="E20" s="12"/>
      <c r="F20" s="12"/>
      <c r="G20" s="12"/>
      <c r="H20" s="12"/>
      <c r="I20" s="12"/>
      <c r="J20" s="12"/>
    </row>
    <row r="21">
      <c r="A21" s="48">
        <f>IFERROR(__xludf.DUMMYFUNCTION("""COMPUTED_VALUE"""),31.0)</f>
        <v>31</v>
      </c>
      <c r="B21" s="19"/>
      <c r="C21" s="3"/>
      <c r="D21" s="28"/>
      <c r="E21" s="12"/>
      <c r="F21" s="12"/>
      <c r="G21" s="12"/>
      <c r="H21" s="12"/>
      <c r="I21" s="12"/>
      <c r="J21" s="12"/>
    </row>
    <row r="22">
      <c r="A22" s="48">
        <f>IFERROR(__xludf.DUMMYFUNCTION("""COMPUTED_VALUE"""),32.0)</f>
        <v>32</v>
      </c>
      <c r="B22" s="19"/>
      <c r="C22" s="3"/>
      <c r="D22" s="28"/>
      <c r="E22" s="12"/>
      <c r="F22" s="12"/>
      <c r="G22" s="12"/>
      <c r="H22" s="12"/>
      <c r="I22" s="12"/>
      <c r="J22" s="12"/>
    </row>
    <row r="23">
      <c r="A23" s="48">
        <f>IFERROR(__xludf.DUMMYFUNCTION("""COMPUTED_VALUE"""),35.0)</f>
        <v>35</v>
      </c>
      <c r="B23" s="19"/>
      <c r="C23" s="3"/>
      <c r="D23" s="3"/>
      <c r="E23" s="12"/>
      <c r="F23" s="12"/>
      <c r="G23" s="12"/>
      <c r="H23" s="12"/>
      <c r="I23" s="12"/>
      <c r="J23" s="12"/>
    </row>
    <row r="24">
      <c r="A24" s="48">
        <f>IFERROR(__xludf.DUMMYFUNCTION("""COMPUTED_VALUE"""),36.0)</f>
        <v>36</v>
      </c>
      <c r="B24" s="19"/>
      <c r="C24" s="3"/>
      <c r="D24" s="3"/>
      <c r="E24" s="3"/>
      <c r="F24" s="3"/>
      <c r="G24" s="3"/>
      <c r="H24" s="12"/>
      <c r="I24" s="12"/>
      <c r="J24" s="12"/>
    </row>
    <row r="25">
      <c r="A25" s="48">
        <f>IFERROR(__xludf.DUMMYFUNCTION("""COMPUTED_VALUE"""),39.0)</f>
        <v>39</v>
      </c>
      <c r="B25" s="19"/>
      <c r="C25" s="3"/>
      <c r="D25" s="12"/>
      <c r="E25" s="12"/>
      <c r="F25" s="12"/>
      <c r="G25" s="12"/>
      <c r="H25" s="12"/>
      <c r="I25" s="12"/>
      <c r="J25" s="12"/>
    </row>
    <row r="26">
      <c r="A26" s="48">
        <f>IFERROR(__xludf.DUMMYFUNCTION("""COMPUTED_VALUE"""),40.0)</f>
        <v>40</v>
      </c>
      <c r="B26" s="19"/>
      <c r="C26" s="3"/>
      <c r="D26" s="3"/>
      <c r="E26" s="12"/>
      <c r="F26" s="12"/>
      <c r="G26" s="12"/>
      <c r="H26" s="12"/>
      <c r="I26" s="12"/>
      <c r="J26" s="12"/>
    </row>
    <row r="27">
      <c r="A27" s="48">
        <f>IFERROR(__xludf.DUMMYFUNCTION("""COMPUTED_VALUE"""),42.0)</f>
        <v>42</v>
      </c>
      <c r="B27" s="19"/>
      <c r="C27" s="3"/>
      <c r="D27" s="28"/>
      <c r="E27" s="3"/>
      <c r="F27" s="12"/>
      <c r="G27" s="12"/>
      <c r="H27" s="12"/>
      <c r="I27" s="12"/>
      <c r="J27" s="12"/>
    </row>
    <row r="28">
      <c r="A28" s="48">
        <f>IFERROR(__xludf.DUMMYFUNCTION("""COMPUTED_VALUE"""),46.0)</f>
        <v>46</v>
      </c>
      <c r="B28" s="19"/>
      <c r="C28" s="3"/>
      <c r="D28" s="43"/>
      <c r="E28" s="12"/>
      <c r="F28" s="12"/>
      <c r="G28" s="12"/>
      <c r="H28" s="12"/>
      <c r="I28" s="12"/>
      <c r="J28" s="12"/>
    </row>
    <row r="29">
      <c r="A29">
        <f>IFERROR(__xludf.DUMMYFUNCTION("""COMPUTED_VALUE"""),47.0)</f>
        <v>47</v>
      </c>
      <c r="B29" s="12"/>
      <c r="C29" s="3"/>
      <c r="D29" s="43"/>
      <c r="E29" s="12"/>
      <c r="F29" s="12"/>
      <c r="G29" s="12"/>
      <c r="H29" s="12"/>
      <c r="I29" s="12"/>
      <c r="J29" s="12"/>
    </row>
    <row r="30">
      <c r="A30">
        <f>IFERROR(__xludf.DUMMYFUNCTION("""COMPUTED_VALUE"""),50.0)</f>
        <v>50</v>
      </c>
      <c r="B30" s="12"/>
      <c r="C30" s="3"/>
      <c r="D30" s="43"/>
      <c r="E30" s="12"/>
      <c r="F30" s="3"/>
      <c r="G30" s="3"/>
      <c r="H30" s="12"/>
      <c r="I30" s="12"/>
      <c r="J30" s="12"/>
    </row>
    <row r="31">
      <c r="A31">
        <f>IFERROR(__xludf.DUMMYFUNCTION("""COMPUTED_VALUE"""),51.0)</f>
        <v>51</v>
      </c>
      <c r="B31" s="12"/>
      <c r="C31" s="3"/>
      <c r="D31" s="3"/>
      <c r="E31" s="12"/>
      <c r="F31" s="12"/>
      <c r="G31" s="12"/>
      <c r="H31" s="12"/>
      <c r="I31" s="12"/>
      <c r="J31" s="12"/>
    </row>
    <row r="32">
      <c r="A32">
        <f>IFERROR(__xludf.DUMMYFUNCTION("""COMPUTED_VALUE"""),52.0)</f>
        <v>52</v>
      </c>
      <c r="B32" s="12"/>
      <c r="C32" s="3"/>
      <c r="D32" s="28"/>
      <c r="E32" s="12"/>
      <c r="F32" s="12"/>
      <c r="G32" s="12"/>
      <c r="H32" s="12"/>
      <c r="I32" s="12"/>
      <c r="J32" s="12"/>
    </row>
    <row r="33">
      <c r="A33">
        <f>IFERROR(__xludf.DUMMYFUNCTION("""COMPUTED_VALUE"""),53.0)</f>
        <v>53</v>
      </c>
      <c r="B33" s="12"/>
      <c r="C33" s="3"/>
      <c r="D33" s="43"/>
      <c r="E33" s="12"/>
      <c r="F33" s="12"/>
      <c r="G33" s="12"/>
      <c r="H33" s="12"/>
      <c r="I33" s="12"/>
      <c r="J33" s="12"/>
    </row>
    <row r="34">
      <c r="A34">
        <f>IFERROR(__xludf.DUMMYFUNCTION("""COMPUTED_VALUE"""),55.0)</f>
        <v>55</v>
      </c>
      <c r="B34" s="12"/>
      <c r="C34" s="3"/>
      <c r="D34" s="28"/>
      <c r="E34" s="3"/>
      <c r="F34" s="12"/>
      <c r="G34" s="12"/>
      <c r="H34" s="12"/>
      <c r="I34" s="12"/>
      <c r="J34" s="12"/>
    </row>
    <row r="35">
      <c r="A35">
        <f>IFERROR(__xludf.DUMMYFUNCTION("""COMPUTED_VALUE"""),56.0)</f>
        <v>56</v>
      </c>
      <c r="B35" s="12"/>
      <c r="C35" s="3"/>
      <c r="D35" s="3"/>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43"/>
      <c r="E37" s="12"/>
      <c r="F37" s="12"/>
      <c r="G37" s="12"/>
      <c r="H37" s="12"/>
      <c r="I37" s="12"/>
      <c r="J37" s="12"/>
    </row>
    <row r="38">
      <c r="A38">
        <f>IFERROR(__xludf.DUMMYFUNCTION("""COMPUTED_VALUE"""),60.0)</f>
        <v>60</v>
      </c>
      <c r="B38" s="12"/>
      <c r="C38" s="3"/>
      <c r="D38" s="3"/>
      <c r="E38" s="3"/>
      <c r="F38" s="12"/>
      <c r="G38" s="12"/>
      <c r="H38" s="12"/>
      <c r="I38" s="12"/>
      <c r="J38" s="12"/>
    </row>
    <row r="39">
      <c r="A39">
        <f>IFERROR(__xludf.DUMMYFUNCTION("""COMPUTED_VALUE"""),61.0)</f>
        <v>61</v>
      </c>
      <c r="B39" s="12"/>
      <c r="C39" s="3"/>
      <c r="D39" s="43"/>
      <c r="E39" s="12"/>
      <c r="F39" s="12"/>
      <c r="G39" s="12"/>
      <c r="H39" s="12"/>
      <c r="I39" s="12"/>
      <c r="J39" s="12"/>
    </row>
    <row r="40">
      <c r="A40">
        <f>IFERROR(__xludf.DUMMYFUNCTION("""COMPUTED_VALUE"""),62.0)</f>
        <v>62</v>
      </c>
      <c r="B40" s="12"/>
      <c r="C40" s="3"/>
      <c r="D40" s="43"/>
      <c r="E40" s="3"/>
      <c r="F40" s="3"/>
      <c r="G40" s="12"/>
      <c r="H40" s="12"/>
      <c r="I40" s="12"/>
      <c r="J40" s="12"/>
    </row>
    <row r="41">
      <c r="A41">
        <f>IFERROR(__xludf.DUMMYFUNCTION("""COMPUTED_VALUE"""),64.0)</f>
        <v>64</v>
      </c>
      <c r="B41" s="12"/>
      <c r="C41" s="3"/>
      <c r="D41" s="28"/>
      <c r="E41" s="12"/>
      <c r="F41" s="12"/>
      <c r="G41" s="12"/>
      <c r="H41" s="12"/>
      <c r="I41" s="12"/>
      <c r="J41" s="12"/>
    </row>
    <row r="42">
      <c r="A42">
        <f>IFERROR(__xludf.DUMMYFUNCTION("""COMPUTED_VALUE"""),66.0)</f>
        <v>66</v>
      </c>
      <c r="B42" s="12"/>
      <c r="C42" s="3"/>
      <c r="D42" s="28"/>
      <c r="E42" s="12"/>
      <c r="F42" s="12"/>
      <c r="G42" s="12"/>
      <c r="H42" s="12"/>
      <c r="I42" s="12"/>
      <c r="J42" s="12"/>
    </row>
    <row r="43">
      <c r="A43">
        <f>IFERROR(__xludf.DUMMYFUNCTION("""COMPUTED_VALUE"""),67.0)</f>
        <v>67</v>
      </c>
      <c r="B43" s="12"/>
      <c r="C43" s="3"/>
      <c r="D43" s="12"/>
      <c r="E43" s="12"/>
      <c r="F43" s="12"/>
      <c r="G43" s="12"/>
      <c r="H43" s="3"/>
      <c r="I43" s="12"/>
      <c r="J43" s="12"/>
    </row>
    <row r="44">
      <c r="A44">
        <f>IFERROR(__xludf.DUMMYFUNCTION("""COMPUTED_VALUE"""),69.0)</f>
        <v>69</v>
      </c>
      <c r="B44" s="12"/>
      <c r="C44" s="3"/>
      <c r="D44" s="28"/>
      <c r="E44" s="28"/>
      <c r="F44" s="28"/>
      <c r="G44" s="12"/>
      <c r="H44" s="12"/>
      <c r="I44" s="12"/>
      <c r="J44" s="12"/>
    </row>
    <row r="45">
      <c r="A45">
        <f>IFERROR(__xludf.DUMMYFUNCTION("""COMPUTED_VALUE"""),70.0)</f>
        <v>70</v>
      </c>
      <c r="B45" s="12"/>
      <c r="C45" s="3"/>
      <c r="D45" s="28"/>
      <c r="E45" s="12"/>
      <c r="F45" s="12"/>
      <c r="G45" s="12"/>
      <c r="H45" s="12"/>
      <c r="I45" s="12"/>
      <c r="J45" s="12"/>
    </row>
    <row r="46">
      <c r="A46">
        <f>IFERROR(__xludf.DUMMYFUNCTION("""COMPUTED_VALUE"""),72.0)</f>
        <v>72</v>
      </c>
      <c r="B46" s="12"/>
      <c r="C46" s="3"/>
      <c r="D46" s="28"/>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28"/>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28"/>
      <c r="E52" s="12"/>
      <c r="F52" s="12"/>
      <c r="G52" s="12"/>
      <c r="H52" s="12"/>
      <c r="I52" s="12"/>
      <c r="J52" s="12"/>
    </row>
    <row r="53">
      <c r="A53">
        <f>IFERROR(__xludf.DUMMYFUNCTION("""COMPUTED_VALUE"""),84.0)</f>
        <v>84</v>
      </c>
      <c r="B53" s="12"/>
      <c r="C53" s="3"/>
      <c r="D53" s="28"/>
      <c r="E53" s="3"/>
      <c r="F53" s="3"/>
      <c r="G53" s="12"/>
      <c r="H53" s="12"/>
      <c r="I53" s="12"/>
      <c r="J53" s="12"/>
    </row>
    <row r="54">
      <c r="A54">
        <f>IFERROR(__xludf.DUMMYFUNCTION("""COMPUTED_VALUE"""),86.0)</f>
        <v>86</v>
      </c>
      <c r="B54" s="12"/>
      <c r="C54" s="3"/>
      <c r="D54" s="28"/>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28"/>
      <c r="F56" s="12"/>
      <c r="G56" s="12"/>
      <c r="H56" s="12"/>
      <c r="I56" s="12"/>
      <c r="J56" s="12"/>
    </row>
    <row r="57">
      <c r="A57">
        <f>IFERROR(__xludf.DUMMYFUNCTION("""COMPUTED_VALUE"""),89.0)</f>
        <v>89</v>
      </c>
      <c r="B57" s="12"/>
      <c r="C57" s="3"/>
      <c r="D57" s="28"/>
      <c r="E57" s="28"/>
      <c r="F57" s="28"/>
      <c r="G57" s="12"/>
      <c r="H57" s="12"/>
      <c r="I57" s="12"/>
      <c r="J57" s="12"/>
    </row>
    <row r="58">
      <c r="A58">
        <f>IFERROR(__xludf.DUMMYFUNCTION("""COMPUTED_VALUE"""),90.0)</f>
        <v>90</v>
      </c>
      <c r="B58" s="12"/>
      <c r="C58" s="3"/>
      <c r="D58" s="28"/>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69"/>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28"/>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28"/>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28"/>
      <c r="E68" s="12"/>
      <c r="F68" s="12"/>
      <c r="G68" s="12"/>
      <c r="J68" s="12"/>
    </row>
    <row r="69">
      <c r="A69">
        <f>IFERROR(__xludf.DUMMYFUNCTION("""COMPUTED_VALUE"""),107.0)</f>
        <v>107</v>
      </c>
      <c r="B69" s="12"/>
      <c r="C69" s="3"/>
      <c r="D69" s="28"/>
      <c r="E69" s="3"/>
      <c r="F69" s="3"/>
      <c r="G69" s="3"/>
      <c r="J69" s="12"/>
    </row>
    <row r="70">
      <c r="A70">
        <f>IFERROR(__xludf.DUMMYFUNCTION("""COMPUTED_VALUE"""),108.0)</f>
        <v>108</v>
      </c>
      <c r="B70" s="12"/>
      <c r="C70" s="3"/>
      <c r="D70" s="28"/>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28"/>
      <c r="E73" s="3"/>
      <c r="F73" s="3"/>
      <c r="G73" s="3"/>
      <c r="H73" s="3"/>
      <c r="I73" s="12"/>
      <c r="J73" s="12"/>
    </row>
    <row r="74">
      <c r="A74">
        <f>IFERROR(__xludf.DUMMYFUNCTION("""COMPUTED_VALUE"""),113.0)</f>
        <v>113</v>
      </c>
      <c r="B74" s="12"/>
      <c r="C74" s="3"/>
      <c r="D74" s="28"/>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28"/>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28"/>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28"/>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28"/>
      <c r="D83" s="28"/>
      <c r="E83" s="3"/>
      <c r="F83" s="3"/>
      <c r="G83" s="12"/>
      <c r="H83" s="12"/>
      <c r="I83" s="12"/>
      <c r="J83" s="12"/>
    </row>
    <row r="84">
      <c r="A84">
        <f>IFERROR(__xludf.DUMMYFUNCTION("""COMPUTED_VALUE"""),128.0)</f>
        <v>128</v>
      </c>
      <c r="B84" s="12"/>
      <c r="C84" s="3"/>
      <c r="D84" s="28"/>
      <c r="E84" s="28"/>
      <c r="F84" s="3"/>
      <c r="G84" s="3"/>
      <c r="H84" s="12"/>
      <c r="I84" s="12"/>
      <c r="J84" s="12"/>
    </row>
    <row r="85">
      <c r="A85">
        <f>IFERROR(__xludf.DUMMYFUNCTION("""COMPUTED_VALUE"""),129.0)</f>
        <v>129</v>
      </c>
      <c r="B85" s="12"/>
      <c r="C85" s="28"/>
      <c r="D85" s="28"/>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28"/>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28"/>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28"/>
      <c r="E92" s="3"/>
      <c r="F92" s="12"/>
      <c r="G92" s="12"/>
      <c r="H92" s="12"/>
      <c r="I92" s="12"/>
      <c r="J92" s="12"/>
    </row>
    <row r="93">
      <c r="A93">
        <f>IFERROR(__xludf.DUMMYFUNCTION("""COMPUTED_VALUE"""),142.0)</f>
        <v>142</v>
      </c>
      <c r="B93" s="12"/>
      <c r="C93" s="3"/>
      <c r="D93" s="28"/>
      <c r="E93" s="12"/>
      <c r="F93" s="12"/>
      <c r="G93" s="12"/>
      <c r="H93" s="12"/>
      <c r="I93" s="12"/>
      <c r="J93" s="12"/>
    </row>
    <row r="94">
      <c r="A94">
        <f>IFERROR(__xludf.DUMMYFUNCTION("""COMPUTED_VALUE"""),143.0)</f>
        <v>143</v>
      </c>
      <c r="B94" s="12"/>
      <c r="C94" s="28"/>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28"/>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28"/>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28"/>
      <c r="E102" s="3"/>
      <c r="F102" s="12"/>
      <c r="G102" s="12"/>
      <c r="H102" s="12"/>
      <c r="I102" s="12"/>
      <c r="J102" s="12"/>
    </row>
    <row r="103">
      <c r="A103">
        <f>IFERROR(__xludf.DUMMYFUNCTION("""COMPUTED_VALUE"""),155.0)</f>
        <v>155</v>
      </c>
      <c r="B103" s="12"/>
      <c r="C103" s="3"/>
      <c r="D103" s="28"/>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t="str">
        <f>IFERROR(__xludf.DUMMYFUNCTION("""COMPUTED_VALUE"""),"I wouldn't do it.")</f>
        <v>I wouldn't do it.</v>
      </c>
      <c r="C173" s="12"/>
      <c r="D173" s="12"/>
      <c r="E173" s="12"/>
      <c r="F173" s="12"/>
      <c r="G173" s="12"/>
      <c r="H173" s="12"/>
      <c r="I173" s="12"/>
      <c r="J173" s="12"/>
    </row>
    <row r="174">
      <c r="A174">
        <f>IFERROR(__xludf.DUMMYFUNCTION("""COMPUTED_VALUE"""),251.0)</f>
        <v>251</v>
      </c>
      <c r="B174" s="12" t="str">
        <f>IFERROR(__xludf.DUMMYFUNCTION("""COMPUTED_VALUE"""),"I would not use one.")</f>
        <v>I would not use one.</v>
      </c>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t="str">
        <f>IFERROR(__xludf.DUMMYFUNCTION("""COMPUTED_VALUE"""),"I am not sure.")</f>
        <v>I am not sure.</v>
      </c>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IFERROR(__xludf.DUMMYFUNCTION("QUERY({'S18 (secondary)'!C2:C1000;'S18 (secondary)'!D2:D1000;'S18 (secondary)'!E2:E1000;'S18 (secondary)'!F2:F1000;'S18 (secondary)'!G2:G1000;'S18 (secondary)'!H2:H1000;'S18 (secondary)'!I2:I1000;'S18 (secondary)'!J2:J1000;'S18 (secondary)'!K2:K1000}, ""s"&amp;"elect Col1, count(Col1) where Col1 is not null group by Col1 order by Col1 asc"")"),"")</f>
        <v/>
      </c>
      <c r="B2" s="34" t="str">
        <f>IFERROR(__xludf.DUMMYFUNCTION("""COMPUTED_VALUE"""),"count ")</f>
        <v>count </v>
      </c>
      <c r="C2" s="34"/>
      <c r="D2" s="34"/>
      <c r="E2" s="34" t="str">
        <f>IFERROR(__xludf.DUMMYFUNCTION("QUERY({'S18 (secondary)'!C2:C1000;'S18 (secondary)'!D2:D1000;'S18 (secondary)'!E2:E1000;'S18 (secondary)'!F2:F1000;'S18 (secondary)'!G2:G1000;'S18 (secondary)'!H2:H1000;'S18 (secondary)'!I2:I1000;'S18 (secondary)'!J2:J1000;'S18 (secondary)'!K2:K1000}, ""s"&amp;"elect Col1, count(Col1) where Col1 is not null and not Col1 contains '-&gt;' group by Col1 order by count(Col1) asc"")"),"")</f>
        <v/>
      </c>
      <c r="F2" s="34" t="str">
        <f>IFERROR(__xludf.DUMMYFUNCTION("""COMPUTED_VALUE"""),"count ")</f>
        <v>count </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A,L"")"),"Response ID")</f>
        <v>Response ID</v>
      </c>
      <c r="B1" s="17" t="str">
        <f>IFERROR(__xludf.DUMMYFUNCTION("""COMPUTED_VALUE"""),"generic_recall_sso_no_consider")</f>
        <v>generic_recall_sso_no_consider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45"/>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45"/>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t="str">
        <f>IFERROR(__xludf.DUMMYFUNCTION("""COMPUTED_VALUE"""),"I wouldn't do it.")</f>
        <v>I wouldn't do it.</v>
      </c>
      <c r="C173" s="12"/>
      <c r="D173" s="12"/>
      <c r="E173" s="12"/>
      <c r="F173" s="12"/>
      <c r="G173" s="12"/>
      <c r="H173" s="12"/>
      <c r="I173" s="12"/>
      <c r="J173" s="12"/>
    </row>
    <row r="174">
      <c r="A174">
        <f>IFERROR(__xludf.DUMMYFUNCTION("""COMPUTED_VALUE"""),251.0)</f>
        <v>251</v>
      </c>
      <c r="B174" s="12" t="str">
        <f>IFERROR(__xludf.DUMMYFUNCTION("""COMPUTED_VALUE"""),"Yes.")</f>
        <v>Yes.</v>
      </c>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t="str">
        <f>IFERROR(__xludf.DUMMYFUNCTION("""COMPUTED_VALUE"""),"I would consider the privacy I have before using this feature.")</f>
        <v>I would consider the privacy I have before using this feature.</v>
      </c>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IFERROR(__xludf.DUMMYFUNCTION("QUERY({'S19 (primary)'!C2:C1000;'S19 (primary)'!D2:D1000;'S19 (primary)'!E2:E1000;'S19 (primary)'!F2:F1000;'S19 (primary)'!G2:G1000;'S19 (primary)'!H2:H1000;'S19 (primary)'!I2:I1000;'S19 (primary)'!J2:J1000;'S19 (primary)'!K2:K1000}, ""select Col1, count("&amp;"Col1) where Col1 is not null group by Col1 order by Col1 asc"")"),"")</f>
        <v/>
      </c>
      <c r="B2" s="34" t="str">
        <f>IFERROR(__xludf.DUMMYFUNCTION("""COMPUTED_VALUE"""),"count ")</f>
        <v>count </v>
      </c>
      <c r="C2" s="34"/>
      <c r="D2" s="34"/>
      <c r="E2" s="34" t="str">
        <f>IFERROR(__xludf.DUMMYFUNCTION("QUERY({'S19 (primary)'!C2:C1000;'S19 (primary)'!D2:D1000;'S19 (primary)'!E2:E1000;'S19 (primary)'!F2:F1000;'S19 (primary)'!G2:G1000;'S19 (primary)'!H2:H1000;'S19 (primary)'!I2:I1000;'S19 (primary)'!J2:J1000;'S19 (primary)'!K2:K1000}, ""select Col1, count("&amp;"Col1) where Col1 is not null and not Col1 contains '-&gt;' group by Col1 order by count(Col1) desc"")"),"")</f>
        <v/>
      </c>
      <c r="F2" s="34" t="str">
        <f>IFERROR(__xludf.DUMMYFUNCTION("""COMPUTED_VALUE"""),"count ")</f>
        <v>count </v>
      </c>
    </row>
    <row r="3">
      <c r="G3" s="44"/>
    </row>
    <row r="4">
      <c r="G4" s="44"/>
    </row>
    <row r="5">
      <c r="G5" s="4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A,L"")"),"Response ID")</f>
        <v>Response ID</v>
      </c>
      <c r="B1" s="17" t="str">
        <f>IFERROR(__xludf.DUMMYFUNCTION("""COMPUTED_VALUE"""),"generic_recall_sso_no_consider")</f>
        <v>generic_recall_sso_no_consider</v>
      </c>
      <c r="C1" s="17" t="s">
        <v>1399</v>
      </c>
      <c r="D1" s="17" t="s">
        <v>1400</v>
      </c>
      <c r="E1" s="17" t="s">
        <v>1401</v>
      </c>
      <c r="F1" s="17" t="s">
        <v>1402</v>
      </c>
      <c r="G1" s="17" t="s">
        <v>1403</v>
      </c>
      <c r="H1" s="17" t="s">
        <v>1404</v>
      </c>
      <c r="I1" s="17" t="s">
        <v>1405</v>
      </c>
      <c r="J1" s="17" t="s">
        <v>1406</v>
      </c>
    </row>
    <row r="2">
      <c r="A2" s="48">
        <f>IFERROR(__xludf.DUMMYFUNCTION("""COMPUTED_VALUE"""),1.0)</f>
        <v>1</v>
      </c>
      <c r="B2" s="19"/>
      <c r="C2" s="45"/>
      <c r="D2" s="3"/>
      <c r="E2" s="3"/>
      <c r="F2" s="3"/>
      <c r="G2" s="3"/>
      <c r="H2" s="12"/>
      <c r="I2" s="12"/>
      <c r="J2" s="12"/>
    </row>
    <row r="3">
      <c r="A3" s="48">
        <f>IFERROR(__xludf.DUMMYFUNCTION("""COMPUTED_VALUE"""),2.0)</f>
        <v>2</v>
      </c>
      <c r="B3" s="19"/>
      <c r="C3" s="45"/>
      <c r="D3" s="3"/>
      <c r="E3" s="3"/>
      <c r="F3" s="3"/>
      <c r="G3" s="12"/>
      <c r="H3" s="12"/>
      <c r="I3" s="12"/>
      <c r="J3" s="12"/>
    </row>
    <row r="4">
      <c r="A4" s="48">
        <f>IFERROR(__xludf.DUMMYFUNCTION("""COMPUTED_VALUE"""),3.0)</f>
        <v>3</v>
      </c>
      <c r="B4" s="19"/>
      <c r="C4" s="45"/>
      <c r="D4" s="3"/>
      <c r="E4" s="3"/>
      <c r="F4" s="3"/>
      <c r="G4" s="12"/>
      <c r="H4" s="12"/>
      <c r="I4" s="12"/>
      <c r="J4" s="12"/>
    </row>
    <row r="5">
      <c r="A5" s="48">
        <f>IFERROR(__xludf.DUMMYFUNCTION("""COMPUTED_VALUE"""),4.0)</f>
        <v>4</v>
      </c>
      <c r="B5" s="19"/>
      <c r="C5" s="45"/>
      <c r="D5" s="3"/>
      <c r="E5" s="3"/>
      <c r="F5" s="3"/>
      <c r="G5" s="3"/>
      <c r="H5" s="12"/>
      <c r="I5" s="12"/>
      <c r="J5" s="12"/>
    </row>
    <row r="6">
      <c r="A6" s="48">
        <f>IFERROR(__xludf.DUMMYFUNCTION("""COMPUTED_VALUE"""),5.0)</f>
        <v>5</v>
      </c>
      <c r="B6" s="19"/>
      <c r="C6" s="45"/>
      <c r="D6" s="12"/>
      <c r="E6" s="12"/>
      <c r="F6" s="12"/>
      <c r="G6" s="12"/>
      <c r="H6" s="12"/>
      <c r="I6" s="12"/>
      <c r="J6" s="12"/>
    </row>
    <row r="7">
      <c r="A7" s="48">
        <f>IFERROR(__xludf.DUMMYFUNCTION("""COMPUTED_VALUE"""),10.0)</f>
        <v>10</v>
      </c>
      <c r="B7" s="19"/>
      <c r="C7" s="45"/>
      <c r="D7" s="3"/>
      <c r="E7" s="3"/>
      <c r="F7" s="3"/>
      <c r="G7" s="3"/>
      <c r="H7" s="3"/>
      <c r="I7" s="12"/>
      <c r="J7" s="12"/>
    </row>
    <row r="8">
      <c r="A8" s="48">
        <f>IFERROR(__xludf.DUMMYFUNCTION("""COMPUTED_VALUE"""),12.0)</f>
        <v>12</v>
      </c>
      <c r="B8" s="19"/>
      <c r="C8" s="45"/>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45"/>
      <c r="D10" s="3"/>
      <c r="E10" s="3"/>
      <c r="G10" s="12"/>
      <c r="H10" s="12"/>
      <c r="I10" s="12"/>
      <c r="J10" s="12"/>
    </row>
    <row r="11">
      <c r="A11" s="48">
        <f>IFERROR(__xludf.DUMMYFUNCTION("""COMPUTED_VALUE"""),16.0)</f>
        <v>16</v>
      </c>
      <c r="B11" s="19"/>
      <c r="C11" s="45"/>
      <c r="D11" s="3"/>
      <c r="E11" s="12"/>
      <c r="F11" s="12"/>
      <c r="G11" s="12"/>
      <c r="H11" s="12"/>
      <c r="I11" s="12"/>
      <c r="J11" s="12"/>
    </row>
    <row r="12">
      <c r="A12" s="48">
        <f>IFERROR(__xludf.DUMMYFUNCTION("""COMPUTED_VALUE"""),19.0)</f>
        <v>19</v>
      </c>
      <c r="B12" s="19"/>
      <c r="C12" s="45"/>
      <c r="D12" s="3"/>
      <c r="E12" s="12"/>
      <c r="F12" s="12"/>
      <c r="G12" s="12"/>
      <c r="H12" s="12"/>
      <c r="I12" s="12"/>
      <c r="J12" s="12"/>
    </row>
    <row r="13">
      <c r="A13" s="48">
        <f>IFERROR(__xludf.DUMMYFUNCTION("""COMPUTED_VALUE"""),21.0)</f>
        <v>21</v>
      </c>
      <c r="B13" s="19"/>
      <c r="C13" s="45"/>
      <c r="D13" s="45"/>
      <c r="E13" s="12"/>
      <c r="F13" s="12"/>
      <c r="G13" s="12"/>
      <c r="H13" s="12"/>
      <c r="I13" s="12"/>
      <c r="J13" s="12"/>
    </row>
    <row r="14">
      <c r="A14" s="48">
        <f>IFERROR(__xludf.DUMMYFUNCTION("""COMPUTED_VALUE"""),22.0)</f>
        <v>22</v>
      </c>
      <c r="B14" s="19"/>
      <c r="C14" s="45"/>
      <c r="D14" s="3"/>
      <c r="E14" s="3"/>
      <c r="F14" s="3"/>
      <c r="G14" s="12"/>
      <c r="H14" s="12"/>
      <c r="I14" s="12"/>
      <c r="J14" s="12"/>
    </row>
    <row r="15">
      <c r="A15" s="48">
        <f>IFERROR(__xludf.DUMMYFUNCTION("""COMPUTED_VALUE"""),24.0)</f>
        <v>24</v>
      </c>
      <c r="B15" s="19"/>
      <c r="C15" s="45"/>
      <c r="D15" s="3"/>
      <c r="E15" s="3"/>
      <c r="F15" s="12"/>
      <c r="G15" s="12"/>
      <c r="H15" s="12"/>
      <c r="I15" s="12"/>
      <c r="J15" s="12"/>
    </row>
    <row r="16">
      <c r="A16" s="48">
        <f>IFERROR(__xludf.DUMMYFUNCTION("""COMPUTED_VALUE"""),25.0)</f>
        <v>25</v>
      </c>
      <c r="B16" s="19"/>
      <c r="C16" s="45"/>
      <c r="D16" s="3"/>
      <c r="E16" s="3"/>
      <c r="F16" s="3"/>
      <c r="G16" s="12"/>
      <c r="H16" s="12"/>
      <c r="I16" s="12"/>
      <c r="J16" s="12"/>
    </row>
    <row r="17">
      <c r="A17" s="48">
        <f>IFERROR(__xludf.DUMMYFUNCTION("""COMPUTED_VALUE"""),26.0)</f>
        <v>26</v>
      </c>
      <c r="B17" s="19"/>
      <c r="C17" s="45"/>
      <c r="D17" s="26"/>
      <c r="E17" s="26"/>
      <c r="F17" s="12"/>
      <c r="G17" s="12"/>
      <c r="H17" s="12"/>
      <c r="I17" s="12"/>
      <c r="J17" s="12"/>
    </row>
    <row r="18">
      <c r="A18" s="48">
        <f>IFERROR(__xludf.DUMMYFUNCTION("""COMPUTED_VALUE"""),28.0)</f>
        <v>28</v>
      </c>
      <c r="B18" s="19"/>
      <c r="C18" s="34"/>
      <c r="D18" s="3"/>
      <c r="E18" s="3"/>
      <c r="F18" s="12"/>
      <c r="G18" s="12"/>
      <c r="H18" s="12"/>
      <c r="I18" s="12"/>
      <c r="J18" s="12"/>
    </row>
    <row r="19">
      <c r="A19" s="48">
        <f>IFERROR(__xludf.DUMMYFUNCTION("""COMPUTED_VALUE"""),29.0)</f>
        <v>29</v>
      </c>
      <c r="B19" s="19"/>
      <c r="C19" s="45"/>
      <c r="D19" s="3"/>
      <c r="E19" s="3"/>
      <c r="F19" s="12"/>
      <c r="G19" s="12"/>
      <c r="H19" s="12"/>
      <c r="I19" s="12"/>
      <c r="J19" s="12"/>
    </row>
    <row r="20">
      <c r="A20" s="48">
        <f>IFERROR(__xludf.DUMMYFUNCTION("""COMPUTED_VALUE"""),30.0)</f>
        <v>30</v>
      </c>
      <c r="B20" s="19"/>
      <c r="C20" s="45"/>
      <c r="D20" s="3"/>
      <c r="E20" s="3"/>
      <c r="F20" s="12"/>
      <c r="G20" s="12"/>
      <c r="H20" s="12"/>
      <c r="I20" s="12"/>
      <c r="J20" s="12"/>
    </row>
    <row r="21">
      <c r="A21" s="48">
        <f>IFERROR(__xludf.DUMMYFUNCTION("""COMPUTED_VALUE"""),31.0)</f>
        <v>31</v>
      </c>
      <c r="B21" s="19"/>
      <c r="C21" s="45"/>
      <c r="D21" s="3"/>
      <c r="E21" s="12"/>
      <c r="F21" s="12"/>
      <c r="G21" s="12"/>
      <c r="H21" s="12"/>
      <c r="I21" s="12"/>
      <c r="J21" s="12"/>
    </row>
    <row r="22">
      <c r="A22" s="48">
        <f>IFERROR(__xludf.DUMMYFUNCTION("""COMPUTED_VALUE"""),32.0)</f>
        <v>32</v>
      </c>
      <c r="B22" s="19"/>
      <c r="C22" s="45"/>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t="str">
        <f>IFERROR(__xludf.DUMMYFUNCTION("""COMPUTED_VALUE"""),"I wouldn't do it.")</f>
        <v>I wouldn't do it.</v>
      </c>
      <c r="C173" s="12"/>
      <c r="D173" s="12"/>
      <c r="E173" s="12"/>
      <c r="F173" s="12"/>
      <c r="G173" s="12"/>
      <c r="H173" s="12"/>
      <c r="I173" s="12"/>
      <c r="J173" s="12"/>
    </row>
    <row r="174">
      <c r="A174">
        <f>IFERROR(__xludf.DUMMYFUNCTION("""COMPUTED_VALUE"""),251.0)</f>
        <v>251</v>
      </c>
      <c r="B174" s="12" t="str">
        <f>IFERROR(__xludf.DUMMYFUNCTION("""COMPUTED_VALUE"""),"Yes.")</f>
        <v>Yes.</v>
      </c>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t="str">
        <f>IFERROR(__xludf.DUMMYFUNCTION("""COMPUTED_VALUE"""),"I would consider the privacy I have before using this feature.")</f>
        <v>I would consider the privacy I have before using this feature.</v>
      </c>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IFERROR(__xludf.DUMMYFUNCTION("QUERY({'S19 (secondary)'!C2:C1000;'S19 (secondary)'!D2:D1000;'S19 (secondary)'!E2:E1000;'S19 (secondary)'!F2:F1000;'S19 (secondary)'!G2:G1000;'S19 (secondary)'!H2:H1000;'S19 (secondary)'!I2:I1000;'S19 (secondary)'!J2:J1000;'S19 (secondary)'!K2:K1000}, ""s"&amp;"elect Col1, count(Col1) where Col1 is not null group by Col1 order by Col1 asc"")"),"")</f>
        <v/>
      </c>
      <c r="B2" s="34" t="str">
        <f>IFERROR(__xludf.DUMMYFUNCTION("""COMPUTED_VALUE"""),"count ")</f>
        <v>count </v>
      </c>
      <c r="C2" s="34"/>
      <c r="D2" s="34"/>
      <c r="E2" s="34" t="str">
        <f>IFERROR(__xludf.DUMMYFUNCTION("QUERY({'S19 (secondary)'!C2:C1000;'S19 (secondary)'!D2:D1000;'S19 (secondary)'!E2:E1000;'S19 (secondary)'!F2:F1000;'S19 (secondary)'!G2:G1000;'S19 (secondary)'!H2:H1000;'S19 (secondary)'!I2:I1000;'S19 (secondary)'!J2:J1000;'S19 (secondary)'!K2:K1000}, ""s"&amp;"elect Col1, count(Col1) where Col1 is not null and not Col1 contains '-&gt;' group by Col1 order by count(Col1) asc"")"),"")</f>
        <v/>
      </c>
      <c r="F2" s="34" t="str">
        <f>IFERROR(__xludf.DUMMYFUNCTION("""COMPUTED_VALUE"""),"count ")</f>
        <v>count </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A,M"")"),"Response ID")</f>
        <v>Response ID</v>
      </c>
      <c r="B1" s="17" t="str">
        <f>IFERROR(__xludf.DUMMYFUNCTION("""COMPUTED_VALUE"""),"generic_recall_app_yes_purpose")</f>
        <v>generic_recall_app_yes_purpose</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IFERROR(__xludf.DUMMYFUNCTION("""COMPUTED_VALUE"""),"It was relevant to the function of the app.")</f>
        <v>It was relevant to the function of the app.</v>
      </c>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IFERROR(__xludf.DUMMYFUNCTION("QUERY({'S21 (primary)'!C2:C1000;'S21 (primary)'!D2:D1000;'S21 (primary)'!E2:E1000;'S21 (primary)'!F2:F1000;'S21 (primary)'!G2:G1000;'S21 (primary)'!H2:H1000;'S21 (primary)'!I2:I1000;'S21 (primary)'!J2:J1000;'S21 (primary)'!K2:K1000}, ""select Col1, count("&amp;"Col1) where Col1 is not null group by Col1 order by Col1 asc"")"),"")</f>
        <v/>
      </c>
      <c r="B2" s="34" t="str">
        <f>IFERROR(__xludf.DUMMYFUNCTION("""COMPUTED_VALUE"""),"count ")</f>
        <v>count </v>
      </c>
      <c r="C2" s="34"/>
      <c r="D2" s="34"/>
      <c r="E2" s="34" t="str">
        <f>IFERROR(__xludf.DUMMYFUNCTION("QUERY({'S21 (primary)'!C2:C1000;'S21 (primary)'!D2:D1000;'S21 (primary)'!E2:E1000;'S21 (primary)'!F2:F1000;'S21 (primary)'!G2:G1000;'S21 (primary)'!H2:H1000;'S21 (primary)'!I2:I1000;'S21 (primary)'!J2:J1000;'S21 (primary)'!K2:K1000}, ""select Col1, count("&amp;"Col1)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A,M"")"),"Response ID")</f>
        <v>Response ID</v>
      </c>
      <c r="B1" s="17" t="str">
        <f>IFERROR(__xludf.DUMMYFUNCTION("""COMPUTED_VALUE"""),"generic_recall_app_yes_purpose")</f>
        <v>generic_recall_app_yes_purpose</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IFERROR(__xludf.DUMMYFUNCTION("""COMPUTED_VALUE"""),"It was relevant to the function of the app.")</f>
        <v>It was relevant to the function of the app.</v>
      </c>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IFERROR(__xludf.DUMMYFUNCTION("QUERY({'S21 (secondary)'!C2:C1000;'S21 (secondary)'!D2:D1000;'S21 (secondary)'!E2:E1000;'S21 (secondary)'!F2:F1000;'S21 (secondary)'!G2:G1000;'S21 (secondary)'!H2:H1000;'S21 (secondary)'!I2:I1000;'S21 (secondary)'!J2:J1000;'S21 (secondary)'!K2:K1000}, ""s"&amp;"elect Col1, count(Col1) where Col1 is not null group by Col1 order by Col1 asc"")"),"")</f>
        <v/>
      </c>
      <c r="B2" s="34" t="str">
        <f>IFERROR(__xludf.DUMMYFUNCTION("""COMPUTED_VALUE"""),"count ")</f>
        <v>count </v>
      </c>
      <c r="C2" s="34"/>
      <c r="D2" s="34"/>
      <c r="E2" s="34" t="str">
        <f>IFERROR(__xludf.DUMMYFUNCTION("QUERY({'S21 (secondary)'!C2:C1000;'S21 (secondary)'!D2:D1000;'S21 (secondary)'!E2:E1000;'S21 (secondary)'!F2:F1000;'S21 (secondary)'!G2:G1000;'S21 (secondary)'!H2:H1000;'S21 (secondary)'!I2:I1000;'S21 (secondary)'!J2:J1000;'S21 (secondary)'!K2:K1000}, ""s"&amp;"elect Col1, count(Col1) where Col1 is not null and not Col1 contains '-&gt;' group by Col1 order by count(Col1) desc"")"),"")</f>
        <v/>
      </c>
      <c r="F2" s="34" t="str">
        <f>IFERROR(__xludf.DUMMYFUNCTION("""COMPUTED_VALUE"""),"count ")</f>
        <v>count </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A,N"")"),"Response ID")</f>
        <v>Response ID</v>
      </c>
      <c r="B1" s="17" t="str">
        <f>IFERROR(__xludf.DUMMYFUNCTION("""COMPUTED_VALUE"""),"generic_recall_app_yes_consider")</f>
        <v>generic_recall_app_yes_consider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IFERROR(__xludf.DUMMYFUNCTION("""COMPUTED_VALUE"""),"I considered what the company does and their reasons for wanting access to that info, also the potential misuse of them with that info.")</f>
        <v>I considered what the company does and their reasons for wanting access to that info, also the potential misuse of them with that info.</v>
      </c>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IFERROR(__xludf.DUMMYFUNCTION("QUERY({'S22 (primary)'!C2:C1000;'S22 (primary)'!D2:D1000;'S22 (primary)'!E2:E1000;'S22 (primary)'!F2:F1000;'S22 (primary)'!G2:G1000;'S22 (primary)'!H2:H1000;'S22 (primary)'!I2:I1000;'S22 (primary)'!J2:J1000;'S22 (primary)'!K2:K1000}, ""select Col1, count("&amp;"Col1) where Col1 is not null group by Col1 order by Col1 asc"")"),"")</f>
        <v/>
      </c>
      <c r="B2" s="34" t="str">
        <f>IFERROR(__xludf.DUMMYFUNCTION("""COMPUTED_VALUE"""),"count ")</f>
        <v>count </v>
      </c>
      <c r="C2" s="34"/>
      <c r="D2" s="34"/>
      <c r="E2" s="34" t="str">
        <f>IFERROR(__xludf.DUMMYFUNCTION("QUERY({'S22 (primary)'!C2:C1000;'S22 (primary)'!D2:D1000;'S22 (primary)'!E2:E1000;'S22 (primary)'!F2:F1000;'S22 (primary)'!G2:G1000;'S22 (primary)'!H2:H1000;'S22 (primary)'!I2:I1000;'S22 (primary)'!J2:J1000;'S22 (primary)'!K2:K1000}, ""select Col1, count("&amp;"Col1)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A,N"")"),"Response ID")</f>
        <v>Response ID</v>
      </c>
      <c r="B1" s="17" t="str">
        <f>IFERROR(__xludf.DUMMYFUNCTION("""COMPUTED_VALUE"""),"generic_recall_app_yes_consider")</f>
        <v>generic_recall_app_yes_consider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t="str">
        <f>IFERROR(__xludf.DUMMYFUNCTION("""COMPUTED_VALUE"""),"I considered what the company does and their reasons for wanting access to that info, also the potential misuse of them with that info.")</f>
        <v>I considered what the company does and their reasons for wanting access to that info, also the potential misuse of them with that info.</v>
      </c>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c r="C173" s="12"/>
      <c r="D173" s="12"/>
      <c r="E173" s="12"/>
      <c r="F173" s="12"/>
      <c r="G173" s="12"/>
      <c r="H173" s="12"/>
      <c r="I173" s="12"/>
      <c r="J173" s="12"/>
    </row>
    <row r="174">
      <c r="A174">
        <f>IFERROR(__xludf.DUMMYFUNCTION("""COMPUTED_VALUE"""),251.0)</f>
        <v>251</v>
      </c>
      <c r="B174" s="12"/>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IFERROR(__xludf.DUMMYFUNCTION("QUERY({'S22 (secondary)'!C2:C1000;'S22 (secondary)'!D2:D1000;'S22 (secondary)'!E2:E1000;'S22 (secondary)'!F2:F1000;'S22 (secondary)'!G2:G1000;'S22 (secondary)'!H2:H1000;'S22 (secondary)'!I2:I1000;'S22 (secondary)'!J2:J1000;'S22 (secondary)'!K2:K1000}, ""s"&amp;"elect Col1, count(Col1) where Col1 is not null group by Col1 order by Col1 asc"")"),"")</f>
        <v/>
      </c>
      <c r="B2" s="34" t="str">
        <f>IFERROR(__xludf.DUMMYFUNCTION("""COMPUTED_VALUE"""),"count ")</f>
        <v>count </v>
      </c>
      <c r="C2" s="34"/>
      <c r="D2" s="34"/>
      <c r="E2" s="34" t="str">
        <f>IFERROR(__xludf.DUMMYFUNCTION("QUERY({'S22 (secondary)'!C2:C1000;'S22 (secondary)'!D2:D1000;'S22 (secondary)'!E2:E1000;'S22 (secondary)'!F2:F1000;'S22 (secondary)'!G2:G1000;'S22 (secondary)'!H2:H1000;'S22 (secondary)'!I2:I1000;'S22 (secondary)'!J2:J1000;'S22 (secondary)'!K2:K1000}, ""s"&amp;"elect Col1, count(Col1)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A,O"")"),"Response ID")</f>
        <v>Response ID</v>
      </c>
      <c r="B1" s="17" t="str">
        <f>IFERROR(__xludf.DUMMYFUNCTION("""COMPUTED_VALUE"""),"generic_recall_app_no_consider")</f>
        <v>generic_recall_app_no_consider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t="str">
        <f>IFERROR(__xludf.DUMMYFUNCTION("""COMPUTED_VALUE"""),"I wouldn't.")</f>
        <v>I wouldn't.</v>
      </c>
      <c r="C173" s="12"/>
      <c r="D173" s="12"/>
      <c r="E173" s="12"/>
      <c r="F173" s="12"/>
      <c r="G173" s="12"/>
      <c r="H173" s="12"/>
      <c r="I173" s="12"/>
      <c r="J173" s="12"/>
    </row>
    <row r="174">
      <c r="A174">
        <f>IFERROR(__xludf.DUMMYFUNCTION("""COMPUTED_VALUE"""),251.0)</f>
        <v>251</v>
      </c>
      <c r="B174" s="12" t="str">
        <f>IFERROR(__xludf.DUMMYFUNCTION("""COMPUTED_VALUE"""),"Yes.")</f>
        <v>Yes.</v>
      </c>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t="str">
        <f>IFERROR(__xludf.DUMMYFUNCTION("""COMPUTED_VALUE"""),"I would consider my privacy and the data that I would be giving away if I grant access.")</f>
        <v>I would consider my privacy and the data that I would be giving away if I grant access.</v>
      </c>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IFERROR(__xludf.DUMMYFUNCTION("QUERY({'S23 (primary)'!C2:C1000;'S23 (primary)'!D2:D1000;'S23 (primary)'!E2:E1000;'S23 (primary)'!F2:F1000;'S23 (primary)'!G2:G1000;'S23 (primary)'!H2:H1000;'S23 (primary)'!I2:I1000;'S23 (primary)'!J2:J1000;'S23 (primary)'!K2:K1000}, ""select Col1, count("&amp;"Col1) where Col1 is not null group by Col1 order by Col1 asc"")"),"")</f>
        <v/>
      </c>
      <c r="B2" s="34" t="str">
        <f>IFERROR(__xludf.DUMMYFUNCTION("""COMPUTED_VALUE"""),"count ")</f>
        <v>count </v>
      </c>
      <c r="C2" s="34"/>
      <c r="D2" s="34"/>
      <c r="E2" s="34" t="str">
        <f>IFERROR(__xludf.DUMMYFUNCTION("QUERY({'S23 (primary)'!C2:C1000;'S23 (primary)'!D2:D1000;'S23 (primary)'!E2:E1000;'S23 (primary)'!F2:F1000;'S23 (primary)'!G2:G1000;'S23 (primary)'!H2:H1000;'S23 (primary)'!I2:I1000;'S23 (primary)'!J2:J1000;'S23 (primary)'!K2:K1000}, ""select Col1, count("&amp;"Col1)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23.14"/>
    <col customWidth="1" min="2" max="2" width="48.14"/>
    <col customWidth="1" min="3" max="10" width="30.29"/>
  </cols>
  <sheetData>
    <row r="1">
      <c r="A1" s="47" t="str">
        <f>IFERROR(__xludf.DUMMYFUNCTION("QUERY('All Responses'!2:998,""select A,O"")"),"Response ID")</f>
        <v>Response ID</v>
      </c>
      <c r="B1" s="17" t="str">
        <f>IFERROR(__xludf.DUMMYFUNCTION("""COMPUTED_VALUE"""),"generic_recall_app_no_consider")</f>
        <v>generic_recall_app_no_consider</v>
      </c>
      <c r="C1" s="17" t="s">
        <v>1399</v>
      </c>
      <c r="D1" s="17" t="s">
        <v>1400</v>
      </c>
      <c r="E1" s="17" t="s">
        <v>1401</v>
      </c>
      <c r="F1" s="17" t="s">
        <v>1402</v>
      </c>
      <c r="G1" s="17" t="s">
        <v>1403</v>
      </c>
      <c r="H1" s="17" t="s">
        <v>1404</v>
      </c>
      <c r="I1" s="17" t="s">
        <v>1405</v>
      </c>
      <c r="J1" s="17" t="s">
        <v>1406</v>
      </c>
    </row>
    <row r="2">
      <c r="A2" s="48">
        <f>IFERROR(__xludf.DUMMYFUNCTION("""COMPUTED_VALUE"""),1.0)</f>
        <v>1</v>
      </c>
      <c r="B2" s="19"/>
      <c r="C2" s="3"/>
      <c r="D2" s="3"/>
      <c r="E2" s="3"/>
      <c r="F2" s="3"/>
      <c r="G2" s="3"/>
      <c r="H2" s="12"/>
      <c r="I2" s="12"/>
      <c r="J2" s="12"/>
    </row>
    <row r="3">
      <c r="A3" s="48">
        <f>IFERROR(__xludf.DUMMYFUNCTION("""COMPUTED_VALUE"""),2.0)</f>
        <v>2</v>
      </c>
      <c r="B3" s="19"/>
      <c r="C3" s="3"/>
      <c r="D3" s="3"/>
      <c r="E3" s="3"/>
      <c r="F3" s="3"/>
      <c r="G3" s="12"/>
      <c r="H3" s="12"/>
      <c r="I3" s="12"/>
      <c r="J3" s="12"/>
    </row>
    <row r="4">
      <c r="A4" s="48">
        <f>IFERROR(__xludf.DUMMYFUNCTION("""COMPUTED_VALUE"""),3.0)</f>
        <v>3</v>
      </c>
      <c r="B4" s="19"/>
      <c r="C4" s="3"/>
      <c r="D4" s="3"/>
      <c r="E4" s="3"/>
      <c r="F4" s="3"/>
      <c r="G4" s="12"/>
      <c r="H4" s="12"/>
      <c r="I4" s="12"/>
      <c r="J4" s="12"/>
    </row>
    <row r="5">
      <c r="A5" s="48">
        <f>IFERROR(__xludf.DUMMYFUNCTION("""COMPUTED_VALUE"""),4.0)</f>
        <v>4</v>
      </c>
      <c r="B5" s="19"/>
      <c r="C5" s="3"/>
      <c r="D5" s="3"/>
      <c r="E5" s="3"/>
      <c r="F5" s="3"/>
      <c r="G5" s="3"/>
      <c r="H5" s="12"/>
      <c r="I5" s="12"/>
      <c r="J5" s="12"/>
    </row>
    <row r="6">
      <c r="A6" s="48">
        <f>IFERROR(__xludf.DUMMYFUNCTION("""COMPUTED_VALUE"""),5.0)</f>
        <v>5</v>
      </c>
      <c r="B6" s="19"/>
      <c r="C6" s="3"/>
      <c r="D6" s="12"/>
      <c r="E6" s="12"/>
      <c r="F6" s="12"/>
      <c r="G6" s="12"/>
      <c r="H6" s="12"/>
      <c r="I6" s="12"/>
      <c r="J6" s="12"/>
    </row>
    <row r="7">
      <c r="A7" s="48">
        <f>IFERROR(__xludf.DUMMYFUNCTION("""COMPUTED_VALUE"""),10.0)</f>
        <v>10</v>
      </c>
      <c r="B7" s="19"/>
      <c r="C7" s="3"/>
      <c r="D7" s="3"/>
      <c r="E7" s="3"/>
      <c r="F7" s="3"/>
      <c r="G7" s="3"/>
      <c r="H7" s="3"/>
      <c r="I7" s="12"/>
      <c r="J7" s="12"/>
    </row>
    <row r="8">
      <c r="A8" s="48">
        <f>IFERROR(__xludf.DUMMYFUNCTION("""COMPUTED_VALUE"""),12.0)</f>
        <v>12</v>
      </c>
      <c r="B8" s="19"/>
      <c r="C8" s="3"/>
      <c r="D8" s="3"/>
      <c r="E8" s="12"/>
      <c r="F8" s="12"/>
      <c r="G8" s="12"/>
      <c r="H8" s="12"/>
      <c r="I8" s="12"/>
      <c r="J8" s="12"/>
    </row>
    <row r="9">
      <c r="A9" s="48">
        <f>IFERROR(__xludf.DUMMYFUNCTION("""COMPUTED_VALUE"""),13.0)</f>
        <v>13</v>
      </c>
      <c r="B9" s="19"/>
      <c r="C9" s="3"/>
      <c r="D9" s="3"/>
      <c r="E9" s="3"/>
      <c r="F9" s="3"/>
      <c r="G9" s="3"/>
      <c r="H9" s="12"/>
      <c r="I9" s="12"/>
      <c r="J9" s="12"/>
    </row>
    <row r="10">
      <c r="A10" s="48">
        <f>IFERROR(__xludf.DUMMYFUNCTION("""COMPUTED_VALUE"""),14.0)</f>
        <v>14</v>
      </c>
      <c r="B10" s="19"/>
      <c r="C10" s="3"/>
      <c r="D10" s="3"/>
      <c r="E10" s="3"/>
      <c r="G10" s="12"/>
      <c r="H10" s="12"/>
      <c r="I10" s="12"/>
      <c r="J10" s="12"/>
    </row>
    <row r="11">
      <c r="A11" s="48">
        <f>IFERROR(__xludf.DUMMYFUNCTION("""COMPUTED_VALUE"""),16.0)</f>
        <v>16</v>
      </c>
      <c r="B11" s="19"/>
      <c r="C11" s="3"/>
      <c r="D11" s="3"/>
      <c r="E11" s="12"/>
      <c r="F11" s="12"/>
      <c r="G11" s="12"/>
      <c r="H11" s="12"/>
      <c r="I11" s="12"/>
      <c r="J11" s="12"/>
    </row>
    <row r="12">
      <c r="A12" s="48">
        <f>IFERROR(__xludf.DUMMYFUNCTION("""COMPUTED_VALUE"""),19.0)</f>
        <v>19</v>
      </c>
      <c r="B12" s="19"/>
      <c r="C12" s="3"/>
      <c r="D12" s="3"/>
      <c r="E12" s="12"/>
      <c r="F12" s="12"/>
      <c r="G12" s="12"/>
      <c r="H12" s="12"/>
      <c r="I12" s="12"/>
      <c r="J12" s="12"/>
    </row>
    <row r="13">
      <c r="A13" s="48">
        <f>IFERROR(__xludf.DUMMYFUNCTION("""COMPUTED_VALUE"""),21.0)</f>
        <v>21</v>
      </c>
      <c r="B13" s="19"/>
      <c r="C13" s="3"/>
      <c r="D13" s="3"/>
      <c r="E13" s="12"/>
      <c r="F13" s="12"/>
      <c r="G13" s="12"/>
      <c r="H13" s="12"/>
      <c r="I13" s="12"/>
      <c r="J13" s="12"/>
    </row>
    <row r="14">
      <c r="A14" s="48">
        <f>IFERROR(__xludf.DUMMYFUNCTION("""COMPUTED_VALUE"""),22.0)</f>
        <v>22</v>
      </c>
      <c r="B14" s="19"/>
      <c r="C14" s="3"/>
      <c r="D14" s="3"/>
      <c r="E14" s="3"/>
      <c r="F14" s="3"/>
      <c r="G14" s="12"/>
      <c r="H14" s="12"/>
      <c r="I14" s="12"/>
      <c r="J14" s="12"/>
    </row>
    <row r="15">
      <c r="A15" s="48">
        <f>IFERROR(__xludf.DUMMYFUNCTION("""COMPUTED_VALUE"""),24.0)</f>
        <v>24</v>
      </c>
      <c r="B15" s="19"/>
      <c r="C15" s="3"/>
      <c r="D15" s="3"/>
      <c r="E15" s="3"/>
      <c r="F15" s="12"/>
      <c r="G15" s="12"/>
      <c r="H15" s="12"/>
      <c r="I15" s="12"/>
      <c r="J15" s="12"/>
    </row>
    <row r="16">
      <c r="A16" s="48">
        <f>IFERROR(__xludf.DUMMYFUNCTION("""COMPUTED_VALUE"""),25.0)</f>
        <v>25</v>
      </c>
      <c r="B16" s="19"/>
      <c r="C16" s="3"/>
      <c r="D16" s="3"/>
      <c r="E16" s="3"/>
      <c r="F16" s="3"/>
      <c r="G16" s="12"/>
      <c r="H16" s="12"/>
      <c r="I16" s="12"/>
      <c r="J16" s="12"/>
    </row>
    <row r="17">
      <c r="A17" s="48">
        <f>IFERROR(__xludf.DUMMYFUNCTION("""COMPUTED_VALUE"""),26.0)</f>
        <v>26</v>
      </c>
      <c r="B17" s="19"/>
      <c r="C17" s="3"/>
      <c r="D17" s="26"/>
      <c r="E17" s="26"/>
      <c r="F17" s="12"/>
      <c r="G17" s="12"/>
      <c r="H17" s="12"/>
      <c r="I17" s="12"/>
      <c r="J17" s="12"/>
    </row>
    <row r="18">
      <c r="A18" s="48">
        <f>IFERROR(__xludf.DUMMYFUNCTION("""COMPUTED_VALUE"""),28.0)</f>
        <v>28</v>
      </c>
      <c r="B18" s="19"/>
      <c r="C18" s="3"/>
      <c r="D18" s="3"/>
      <c r="E18" s="3"/>
      <c r="F18" s="12"/>
      <c r="G18" s="12"/>
      <c r="H18" s="12"/>
      <c r="I18" s="12"/>
      <c r="J18" s="12"/>
    </row>
    <row r="19">
      <c r="A19" s="48">
        <f>IFERROR(__xludf.DUMMYFUNCTION("""COMPUTED_VALUE"""),29.0)</f>
        <v>29</v>
      </c>
      <c r="B19" s="19"/>
      <c r="C19" s="3"/>
      <c r="D19" s="3"/>
      <c r="E19" s="3"/>
      <c r="F19" s="12"/>
      <c r="G19" s="12"/>
      <c r="H19" s="12"/>
      <c r="I19" s="12"/>
      <c r="J19" s="12"/>
    </row>
    <row r="20">
      <c r="A20" s="48">
        <f>IFERROR(__xludf.DUMMYFUNCTION("""COMPUTED_VALUE"""),30.0)</f>
        <v>30</v>
      </c>
      <c r="B20" s="19"/>
      <c r="C20" s="3"/>
      <c r="D20" s="3"/>
      <c r="E20" s="3"/>
      <c r="F20" s="12"/>
      <c r="G20" s="12"/>
      <c r="H20" s="12"/>
      <c r="I20" s="12"/>
      <c r="J20" s="12"/>
    </row>
    <row r="21">
      <c r="A21" s="48">
        <f>IFERROR(__xludf.DUMMYFUNCTION("""COMPUTED_VALUE"""),31.0)</f>
        <v>31</v>
      </c>
      <c r="B21" s="19"/>
      <c r="C21" s="3"/>
      <c r="D21" s="3"/>
      <c r="E21" s="12"/>
      <c r="F21" s="12"/>
      <c r="G21" s="12"/>
      <c r="H21" s="12"/>
      <c r="I21" s="12"/>
      <c r="J21" s="12"/>
    </row>
    <row r="22">
      <c r="A22" s="48">
        <f>IFERROR(__xludf.DUMMYFUNCTION("""COMPUTED_VALUE"""),32.0)</f>
        <v>32</v>
      </c>
      <c r="B22" s="19"/>
      <c r="C22" s="3"/>
      <c r="D22" s="3"/>
      <c r="E22" s="3"/>
      <c r="F22" s="3"/>
      <c r="G22" s="12"/>
      <c r="H22" s="12"/>
      <c r="I22" s="12"/>
      <c r="J22" s="12"/>
    </row>
    <row r="23">
      <c r="A23" s="48">
        <f>IFERROR(__xludf.DUMMYFUNCTION("""COMPUTED_VALUE"""),35.0)</f>
        <v>35</v>
      </c>
      <c r="B23" s="19"/>
      <c r="C23" s="3"/>
      <c r="D23" s="3"/>
      <c r="E23" s="3"/>
      <c r="F23" s="12"/>
      <c r="G23" s="12"/>
      <c r="H23" s="12"/>
      <c r="I23" s="12"/>
      <c r="J23" s="12"/>
    </row>
    <row r="24">
      <c r="A24" s="48">
        <f>IFERROR(__xludf.DUMMYFUNCTION("""COMPUTED_VALUE"""),36.0)</f>
        <v>36</v>
      </c>
      <c r="B24" s="19"/>
      <c r="C24" s="3"/>
      <c r="D24" s="3"/>
      <c r="E24" s="12"/>
      <c r="F24" s="12"/>
      <c r="G24" s="12"/>
      <c r="H24" s="12"/>
      <c r="I24" s="12"/>
      <c r="J24" s="12"/>
    </row>
    <row r="25">
      <c r="A25" s="48">
        <f>IFERROR(__xludf.DUMMYFUNCTION("""COMPUTED_VALUE"""),39.0)</f>
        <v>39</v>
      </c>
      <c r="B25" s="19"/>
      <c r="C25" s="3"/>
      <c r="D25" s="3"/>
      <c r="E25" s="3"/>
      <c r="F25" s="12"/>
      <c r="G25" s="12"/>
      <c r="H25" s="12"/>
      <c r="I25" s="12"/>
      <c r="J25" s="12"/>
    </row>
    <row r="26">
      <c r="A26" s="48">
        <f>IFERROR(__xludf.DUMMYFUNCTION("""COMPUTED_VALUE"""),40.0)</f>
        <v>40</v>
      </c>
      <c r="B26" s="19"/>
      <c r="C26" s="26"/>
      <c r="D26" s="3"/>
      <c r="E26" s="3"/>
      <c r="F26" s="12"/>
      <c r="G26" s="12"/>
      <c r="H26" s="12"/>
      <c r="I26" s="12"/>
      <c r="J26" s="12"/>
    </row>
    <row r="27">
      <c r="A27" s="48">
        <f>IFERROR(__xludf.DUMMYFUNCTION("""COMPUTED_VALUE"""),42.0)</f>
        <v>42</v>
      </c>
      <c r="B27" s="19"/>
      <c r="C27" s="3"/>
      <c r="D27" s="3"/>
      <c r="E27" s="12"/>
      <c r="F27" s="12"/>
      <c r="G27" s="12"/>
      <c r="H27" s="12"/>
      <c r="I27" s="12"/>
      <c r="J27" s="12"/>
    </row>
    <row r="28">
      <c r="A28" s="48">
        <f>IFERROR(__xludf.DUMMYFUNCTION("""COMPUTED_VALUE"""),46.0)</f>
        <v>46</v>
      </c>
      <c r="B28" s="19"/>
      <c r="C28" s="3"/>
      <c r="D28" s="3"/>
      <c r="E28" s="3"/>
      <c r="F28" s="26"/>
      <c r="G28" s="12"/>
      <c r="H28" s="12"/>
      <c r="I28" s="12"/>
      <c r="J28" s="12"/>
    </row>
    <row r="29">
      <c r="A29">
        <f>IFERROR(__xludf.DUMMYFUNCTION("""COMPUTED_VALUE"""),47.0)</f>
        <v>47</v>
      </c>
      <c r="B29" s="12"/>
      <c r="C29" s="3"/>
      <c r="D29" s="3"/>
      <c r="E29" s="26"/>
      <c r="F29" s="26"/>
      <c r="G29" s="12"/>
      <c r="H29" s="12"/>
      <c r="I29" s="12"/>
      <c r="J29" s="12"/>
    </row>
    <row r="30">
      <c r="A30">
        <f>IFERROR(__xludf.DUMMYFUNCTION("""COMPUTED_VALUE"""),50.0)</f>
        <v>50</v>
      </c>
      <c r="B30" s="12"/>
      <c r="C30" s="3"/>
      <c r="D30" s="3"/>
      <c r="E30" s="3"/>
      <c r="F30" s="12"/>
      <c r="G30" s="12"/>
      <c r="H30" s="12"/>
      <c r="I30" s="12"/>
      <c r="J30" s="12"/>
    </row>
    <row r="31">
      <c r="A31">
        <f>IFERROR(__xludf.DUMMYFUNCTION("""COMPUTED_VALUE"""),51.0)</f>
        <v>51</v>
      </c>
      <c r="B31" s="12"/>
      <c r="C31" s="3"/>
      <c r="D31" s="26"/>
      <c r="E31" s="12"/>
      <c r="F31" s="12"/>
      <c r="G31" s="12"/>
      <c r="H31" s="12"/>
      <c r="I31" s="12"/>
      <c r="J31" s="12"/>
    </row>
    <row r="32">
      <c r="A32">
        <f>IFERROR(__xludf.DUMMYFUNCTION("""COMPUTED_VALUE"""),52.0)</f>
        <v>52</v>
      </c>
      <c r="B32" s="12"/>
      <c r="C32" s="3"/>
      <c r="D32" s="3"/>
      <c r="E32" s="12"/>
      <c r="F32" s="12"/>
      <c r="G32" s="12"/>
      <c r="H32" s="12"/>
      <c r="I32" s="12"/>
      <c r="J32" s="12"/>
    </row>
    <row r="33">
      <c r="A33">
        <f>IFERROR(__xludf.DUMMYFUNCTION("""COMPUTED_VALUE"""),53.0)</f>
        <v>53</v>
      </c>
      <c r="B33" s="12"/>
      <c r="C33" s="3"/>
      <c r="D33" s="3"/>
      <c r="E33" s="12"/>
      <c r="F33" s="12"/>
      <c r="G33" s="12"/>
      <c r="H33" s="12"/>
      <c r="I33" s="12"/>
      <c r="J33" s="12"/>
    </row>
    <row r="34">
      <c r="A34">
        <f>IFERROR(__xludf.DUMMYFUNCTION("""COMPUTED_VALUE"""),55.0)</f>
        <v>55</v>
      </c>
      <c r="B34" s="12"/>
      <c r="C34" s="3"/>
      <c r="D34" s="3"/>
      <c r="E34" s="12"/>
      <c r="F34" s="12"/>
      <c r="G34" s="12"/>
      <c r="H34" s="12"/>
      <c r="I34" s="12"/>
      <c r="J34" s="12"/>
    </row>
    <row r="35">
      <c r="A35">
        <f>IFERROR(__xludf.DUMMYFUNCTION("""COMPUTED_VALUE"""),56.0)</f>
        <v>56</v>
      </c>
      <c r="B35" s="12"/>
      <c r="C35" s="3"/>
      <c r="D35" s="12"/>
      <c r="E35" s="12"/>
      <c r="F35" s="12"/>
      <c r="G35" s="12"/>
      <c r="H35" s="12"/>
      <c r="I35" s="12"/>
      <c r="J35" s="12"/>
    </row>
    <row r="36">
      <c r="A36">
        <f>IFERROR(__xludf.DUMMYFUNCTION("""COMPUTED_VALUE"""),58.0)</f>
        <v>58</v>
      </c>
      <c r="B36" s="12"/>
      <c r="C36" s="3"/>
      <c r="D36" s="3"/>
      <c r="E36" s="12"/>
      <c r="F36" s="12"/>
      <c r="G36" s="12"/>
      <c r="H36" s="12"/>
      <c r="I36" s="12"/>
      <c r="J36" s="12"/>
    </row>
    <row r="37">
      <c r="A37">
        <f>IFERROR(__xludf.DUMMYFUNCTION("""COMPUTED_VALUE"""),59.0)</f>
        <v>59</v>
      </c>
      <c r="B37" s="12"/>
      <c r="C37" s="3"/>
      <c r="D37" s="3"/>
      <c r="E37" s="3"/>
      <c r="F37" s="3"/>
      <c r="G37" s="3"/>
      <c r="H37" s="12"/>
      <c r="I37" s="12"/>
      <c r="J37" s="12"/>
    </row>
    <row r="38">
      <c r="A38">
        <f>IFERROR(__xludf.DUMMYFUNCTION("""COMPUTED_VALUE"""),60.0)</f>
        <v>60</v>
      </c>
      <c r="B38" s="12"/>
      <c r="C38" s="3"/>
      <c r="D38" s="12"/>
      <c r="E38" s="12"/>
      <c r="F38" s="12"/>
      <c r="G38" s="12"/>
      <c r="H38" s="12"/>
      <c r="I38" s="12"/>
      <c r="J38" s="12"/>
    </row>
    <row r="39">
      <c r="A39">
        <f>IFERROR(__xludf.DUMMYFUNCTION("""COMPUTED_VALUE"""),61.0)</f>
        <v>61</v>
      </c>
      <c r="B39" s="12"/>
      <c r="C39" s="3"/>
      <c r="D39" s="26"/>
      <c r="E39" s="12"/>
      <c r="F39" s="12"/>
      <c r="G39" s="12"/>
      <c r="H39" s="12"/>
      <c r="I39" s="12"/>
      <c r="J39" s="12"/>
    </row>
    <row r="40">
      <c r="A40">
        <f>IFERROR(__xludf.DUMMYFUNCTION("""COMPUTED_VALUE"""),62.0)</f>
        <v>62</v>
      </c>
      <c r="B40" s="12"/>
      <c r="C40" s="3"/>
      <c r="D40" s="3"/>
      <c r="E40" s="3"/>
      <c r="F40" s="12"/>
      <c r="G40" s="12"/>
      <c r="H40" s="12"/>
      <c r="I40" s="12"/>
      <c r="J40" s="12"/>
    </row>
    <row r="41">
      <c r="A41">
        <f>IFERROR(__xludf.DUMMYFUNCTION("""COMPUTED_VALUE"""),64.0)</f>
        <v>64</v>
      </c>
      <c r="B41" s="12"/>
      <c r="C41" s="3"/>
      <c r="D41" s="3"/>
      <c r="E41" s="12"/>
      <c r="F41" s="12"/>
      <c r="G41" s="12"/>
      <c r="H41" s="12"/>
      <c r="I41" s="12"/>
      <c r="J41" s="12"/>
    </row>
    <row r="42">
      <c r="A42">
        <f>IFERROR(__xludf.DUMMYFUNCTION("""COMPUTED_VALUE"""),66.0)</f>
        <v>66</v>
      </c>
      <c r="B42" s="12"/>
      <c r="C42" s="3"/>
      <c r="D42" s="12"/>
      <c r="E42" s="12"/>
      <c r="F42" s="12"/>
      <c r="G42" s="12"/>
      <c r="H42" s="12"/>
      <c r="I42" s="12"/>
      <c r="J42" s="12"/>
    </row>
    <row r="43">
      <c r="A43">
        <f>IFERROR(__xludf.DUMMYFUNCTION("""COMPUTED_VALUE"""),67.0)</f>
        <v>67</v>
      </c>
      <c r="B43" s="12"/>
      <c r="C43" s="3"/>
      <c r="D43" s="3"/>
      <c r="F43" s="3"/>
      <c r="G43" s="3"/>
      <c r="H43" s="3"/>
      <c r="I43" s="12"/>
      <c r="J43" s="12"/>
    </row>
    <row r="44">
      <c r="A44">
        <f>IFERROR(__xludf.DUMMYFUNCTION("""COMPUTED_VALUE"""),69.0)</f>
        <v>69</v>
      </c>
      <c r="B44" s="12"/>
      <c r="C44" s="3"/>
      <c r="D44" s="3"/>
      <c r="E44" s="12"/>
      <c r="F44" s="12"/>
      <c r="G44" s="12"/>
      <c r="H44" s="12"/>
      <c r="I44" s="12"/>
      <c r="J44" s="12"/>
    </row>
    <row r="45">
      <c r="A45">
        <f>IFERROR(__xludf.DUMMYFUNCTION("""COMPUTED_VALUE"""),70.0)</f>
        <v>70</v>
      </c>
      <c r="B45" s="12"/>
      <c r="C45" s="3"/>
      <c r="D45" s="3"/>
      <c r="E45" s="12"/>
      <c r="F45" s="12"/>
      <c r="G45" s="12"/>
      <c r="H45" s="12"/>
      <c r="I45" s="12"/>
      <c r="J45" s="12"/>
    </row>
    <row r="46">
      <c r="A46">
        <f>IFERROR(__xludf.DUMMYFUNCTION("""COMPUTED_VALUE"""),72.0)</f>
        <v>72</v>
      </c>
      <c r="B46" s="12"/>
      <c r="C46" s="3"/>
      <c r="D46" s="3"/>
      <c r="E46" s="12"/>
      <c r="F46" s="12"/>
      <c r="G46" s="12"/>
      <c r="H46" s="12"/>
      <c r="I46" s="12"/>
      <c r="J46" s="12"/>
    </row>
    <row r="47">
      <c r="A47">
        <f>IFERROR(__xludf.DUMMYFUNCTION("""COMPUTED_VALUE"""),73.0)</f>
        <v>73</v>
      </c>
      <c r="B47" s="12"/>
      <c r="C47" s="3"/>
      <c r="D47" s="3"/>
      <c r="E47" s="3"/>
      <c r="F47" s="12"/>
      <c r="G47" s="12"/>
      <c r="H47" s="12"/>
      <c r="I47" s="12"/>
      <c r="J47" s="12"/>
    </row>
    <row r="48">
      <c r="A48">
        <f>IFERROR(__xludf.DUMMYFUNCTION("""COMPUTED_VALUE"""),74.0)</f>
        <v>74</v>
      </c>
      <c r="B48" s="12"/>
      <c r="C48" s="3"/>
      <c r="D48" s="3"/>
      <c r="E48" s="12"/>
      <c r="F48" s="12"/>
      <c r="G48" s="12"/>
      <c r="H48" s="12"/>
      <c r="I48" s="12"/>
      <c r="J48" s="12"/>
    </row>
    <row r="49">
      <c r="A49">
        <f>IFERROR(__xludf.DUMMYFUNCTION("""COMPUTED_VALUE"""),75.0)</f>
        <v>75</v>
      </c>
      <c r="B49" s="12"/>
      <c r="C49" s="3"/>
      <c r="D49" s="3"/>
      <c r="E49" s="12"/>
      <c r="F49" s="12"/>
      <c r="G49" s="12"/>
      <c r="H49" s="12"/>
      <c r="I49" s="12"/>
      <c r="J49" s="12"/>
    </row>
    <row r="50">
      <c r="A50">
        <f>IFERROR(__xludf.DUMMYFUNCTION("""COMPUTED_VALUE"""),78.0)</f>
        <v>78</v>
      </c>
      <c r="B50" s="12"/>
      <c r="C50" s="3"/>
      <c r="D50" s="12"/>
      <c r="E50" s="12"/>
      <c r="F50" s="12"/>
      <c r="G50" s="12"/>
      <c r="H50" s="12"/>
      <c r="I50" s="12"/>
      <c r="J50" s="12"/>
    </row>
    <row r="51">
      <c r="A51">
        <f>IFERROR(__xludf.DUMMYFUNCTION("""COMPUTED_VALUE"""),80.0)</f>
        <v>80</v>
      </c>
      <c r="B51" s="12"/>
      <c r="C51" s="3"/>
      <c r="D51" s="3"/>
      <c r="E51" s="3"/>
      <c r="F51" s="12"/>
      <c r="G51" s="12"/>
      <c r="H51" s="12"/>
      <c r="I51" s="12"/>
      <c r="J51" s="12"/>
    </row>
    <row r="52">
      <c r="A52">
        <f>IFERROR(__xludf.DUMMYFUNCTION("""COMPUTED_VALUE"""),81.0)</f>
        <v>81</v>
      </c>
      <c r="B52" s="12"/>
      <c r="C52" s="3"/>
      <c r="D52" s="3"/>
      <c r="E52" s="12"/>
      <c r="F52" s="12"/>
      <c r="G52" s="12"/>
      <c r="H52" s="12"/>
      <c r="I52" s="12"/>
      <c r="J52" s="12"/>
    </row>
    <row r="53">
      <c r="A53">
        <f>IFERROR(__xludf.DUMMYFUNCTION("""COMPUTED_VALUE"""),84.0)</f>
        <v>84</v>
      </c>
      <c r="B53" s="12"/>
      <c r="C53" s="3"/>
      <c r="D53" s="3"/>
      <c r="E53" s="3"/>
      <c r="F53" s="3"/>
      <c r="G53" s="12"/>
      <c r="H53" s="12"/>
      <c r="I53" s="12"/>
      <c r="J53" s="12"/>
    </row>
    <row r="54">
      <c r="A54">
        <f>IFERROR(__xludf.DUMMYFUNCTION("""COMPUTED_VALUE"""),86.0)</f>
        <v>86</v>
      </c>
      <c r="B54" s="12"/>
      <c r="C54" s="3"/>
      <c r="D54" s="3"/>
      <c r="E54" s="12"/>
      <c r="F54" s="12"/>
      <c r="G54" s="12"/>
      <c r="H54" s="12"/>
      <c r="I54" s="12"/>
      <c r="J54" s="12"/>
    </row>
    <row r="55">
      <c r="A55">
        <f>IFERROR(__xludf.DUMMYFUNCTION("""COMPUTED_VALUE"""),87.0)</f>
        <v>87</v>
      </c>
      <c r="B55" s="12"/>
      <c r="C55" s="3"/>
      <c r="D55" s="3"/>
      <c r="E55" s="12"/>
      <c r="F55" s="12"/>
      <c r="G55" s="12"/>
      <c r="H55" s="12"/>
      <c r="I55" s="12"/>
      <c r="J55" s="12"/>
    </row>
    <row r="56">
      <c r="A56">
        <f>IFERROR(__xludf.DUMMYFUNCTION("""COMPUTED_VALUE"""),88.0)</f>
        <v>88</v>
      </c>
      <c r="B56" s="12"/>
      <c r="C56" s="3"/>
      <c r="D56" s="12"/>
      <c r="E56" s="12"/>
      <c r="F56" s="12"/>
      <c r="G56" s="12"/>
      <c r="H56" s="12"/>
      <c r="I56" s="12"/>
      <c r="J56" s="12"/>
    </row>
    <row r="57">
      <c r="A57">
        <f>IFERROR(__xludf.DUMMYFUNCTION("""COMPUTED_VALUE"""),89.0)</f>
        <v>89</v>
      </c>
      <c r="B57" s="12"/>
      <c r="C57" s="3"/>
      <c r="D57" s="3"/>
      <c r="E57" s="12"/>
      <c r="F57" s="12"/>
      <c r="G57" s="12"/>
      <c r="H57" s="12"/>
      <c r="I57" s="12"/>
      <c r="J57" s="12"/>
    </row>
    <row r="58">
      <c r="A58">
        <f>IFERROR(__xludf.DUMMYFUNCTION("""COMPUTED_VALUE"""),90.0)</f>
        <v>90</v>
      </c>
      <c r="B58" s="12"/>
      <c r="C58" s="3"/>
      <c r="D58" s="3"/>
      <c r="E58" s="3"/>
      <c r="F58" s="12"/>
      <c r="G58" s="12"/>
      <c r="H58" s="12"/>
      <c r="I58" s="12"/>
      <c r="J58" s="12"/>
    </row>
    <row r="59">
      <c r="A59">
        <f>IFERROR(__xludf.DUMMYFUNCTION("""COMPUTED_VALUE"""),93.0)</f>
        <v>93</v>
      </c>
      <c r="B59" s="12"/>
      <c r="C59" s="3"/>
      <c r="D59" s="3"/>
      <c r="E59" s="12"/>
      <c r="F59" s="12"/>
      <c r="G59" s="12"/>
      <c r="H59" s="12"/>
      <c r="I59" s="12"/>
      <c r="J59" s="12"/>
    </row>
    <row r="60">
      <c r="A60">
        <f>IFERROR(__xludf.DUMMYFUNCTION("""COMPUTED_VALUE"""),95.0)</f>
        <v>95</v>
      </c>
      <c r="B60" s="12"/>
      <c r="C60" s="3"/>
      <c r="D60" s="3"/>
      <c r="E60" s="3"/>
      <c r="F60" s="3"/>
      <c r="G60" s="3"/>
      <c r="H60" s="12"/>
      <c r="I60" s="12"/>
      <c r="J60" s="12"/>
    </row>
    <row r="61">
      <c r="A61">
        <f>IFERROR(__xludf.DUMMYFUNCTION("""COMPUTED_VALUE"""),97.0)</f>
        <v>97</v>
      </c>
      <c r="B61" s="12"/>
      <c r="C61" s="3"/>
      <c r="D61" s="12"/>
      <c r="E61" s="12"/>
      <c r="F61" s="12"/>
      <c r="G61" s="12"/>
      <c r="H61" s="12"/>
      <c r="I61" s="12"/>
      <c r="J61" s="12"/>
    </row>
    <row r="62">
      <c r="A62">
        <f>IFERROR(__xludf.DUMMYFUNCTION("""COMPUTED_VALUE"""),98.0)</f>
        <v>98</v>
      </c>
      <c r="B62" s="12"/>
      <c r="C62" s="3"/>
      <c r="D62" s="3"/>
      <c r="E62" s="12"/>
      <c r="F62" s="12"/>
      <c r="G62" s="12"/>
      <c r="H62" s="12"/>
      <c r="I62" s="12"/>
      <c r="J62" s="12"/>
    </row>
    <row r="63">
      <c r="A63">
        <f>IFERROR(__xludf.DUMMYFUNCTION("""COMPUTED_VALUE"""),99.0)</f>
        <v>99</v>
      </c>
      <c r="B63" s="12"/>
      <c r="C63" s="3"/>
      <c r="D63" s="3"/>
      <c r="F63" s="3"/>
      <c r="G63" s="3"/>
      <c r="H63" s="12"/>
      <c r="I63" s="12"/>
      <c r="J63" s="12"/>
    </row>
    <row r="64">
      <c r="A64">
        <f>IFERROR(__xludf.DUMMYFUNCTION("""COMPUTED_VALUE"""),100.0)</f>
        <v>100</v>
      </c>
      <c r="B64" s="12"/>
      <c r="C64" s="3"/>
      <c r="D64" s="3"/>
      <c r="E64" s="12"/>
      <c r="F64" s="12"/>
      <c r="G64" s="12"/>
      <c r="H64" s="12"/>
      <c r="I64" s="12"/>
      <c r="J64" s="12"/>
    </row>
    <row r="65">
      <c r="A65">
        <f>IFERROR(__xludf.DUMMYFUNCTION("""COMPUTED_VALUE"""),101.0)</f>
        <v>101</v>
      </c>
      <c r="B65" s="12"/>
      <c r="C65" s="3"/>
      <c r="D65" s="3"/>
      <c r="E65" s="3"/>
      <c r="F65" s="3"/>
      <c r="G65" s="26"/>
      <c r="H65" s="12"/>
      <c r="I65" s="12"/>
      <c r="J65" s="12"/>
    </row>
    <row r="66">
      <c r="A66">
        <f>IFERROR(__xludf.DUMMYFUNCTION("""COMPUTED_VALUE"""),103.0)</f>
        <v>103</v>
      </c>
      <c r="B66" s="12"/>
      <c r="C66" s="3"/>
      <c r="D66" s="3"/>
      <c r="F66" s="12"/>
      <c r="G66" s="12"/>
      <c r="H66" s="12"/>
      <c r="I66" s="12"/>
      <c r="J66" s="12"/>
    </row>
    <row r="67">
      <c r="A67">
        <f>IFERROR(__xludf.DUMMYFUNCTION("""COMPUTED_VALUE"""),104.0)</f>
        <v>104</v>
      </c>
      <c r="B67" s="12"/>
      <c r="C67" s="3"/>
      <c r="D67" s="3"/>
      <c r="E67" s="26"/>
      <c r="F67" s="26"/>
      <c r="G67" s="3"/>
      <c r="H67" s="3"/>
      <c r="J67" s="12"/>
    </row>
    <row r="68">
      <c r="A68">
        <f>IFERROR(__xludf.DUMMYFUNCTION("""COMPUTED_VALUE"""),105.0)</f>
        <v>105</v>
      </c>
      <c r="B68" s="12"/>
      <c r="C68" s="3"/>
      <c r="D68" s="3"/>
      <c r="E68" s="12"/>
      <c r="F68" s="12"/>
      <c r="G68" s="12"/>
      <c r="J68" s="12"/>
    </row>
    <row r="69">
      <c r="A69">
        <f>IFERROR(__xludf.DUMMYFUNCTION("""COMPUTED_VALUE"""),107.0)</f>
        <v>107</v>
      </c>
      <c r="B69" s="12"/>
      <c r="C69" s="3"/>
      <c r="D69" s="3"/>
      <c r="E69" s="3"/>
      <c r="F69" s="3"/>
      <c r="G69" s="3"/>
      <c r="J69" s="12"/>
    </row>
    <row r="70">
      <c r="A70">
        <f>IFERROR(__xludf.DUMMYFUNCTION("""COMPUTED_VALUE"""),108.0)</f>
        <v>108</v>
      </c>
      <c r="B70" s="12"/>
      <c r="C70" s="3"/>
      <c r="D70" s="3"/>
      <c r="E70" s="3"/>
      <c r="F70" s="3"/>
      <c r="G70" s="3"/>
      <c r="H70" s="12"/>
      <c r="I70" s="12"/>
      <c r="J70" s="12"/>
    </row>
    <row r="71">
      <c r="A71">
        <f>IFERROR(__xludf.DUMMYFUNCTION("""COMPUTED_VALUE"""),109.0)</f>
        <v>109</v>
      </c>
      <c r="B71" s="12"/>
      <c r="C71" s="3"/>
      <c r="D71" s="3"/>
      <c r="E71" s="3"/>
      <c r="F71" s="3"/>
      <c r="G71" s="3"/>
      <c r="H71" s="3"/>
      <c r="I71" s="3"/>
      <c r="J71" s="12"/>
    </row>
    <row r="72">
      <c r="A72">
        <f>IFERROR(__xludf.DUMMYFUNCTION("""COMPUTED_VALUE"""),111.0)</f>
        <v>111</v>
      </c>
      <c r="B72" s="12"/>
      <c r="C72" s="3"/>
      <c r="D72" s="3"/>
      <c r="E72" s="12"/>
      <c r="F72" s="12"/>
      <c r="G72" s="12"/>
      <c r="H72" s="12"/>
      <c r="I72" s="12"/>
      <c r="J72" s="12"/>
    </row>
    <row r="73">
      <c r="A73">
        <f>IFERROR(__xludf.DUMMYFUNCTION("""COMPUTED_VALUE"""),112.0)</f>
        <v>112</v>
      </c>
      <c r="B73" s="12"/>
      <c r="C73" s="3"/>
      <c r="D73" s="3"/>
      <c r="E73" s="3"/>
      <c r="F73" s="3"/>
      <c r="G73" s="3"/>
      <c r="H73" s="3"/>
      <c r="I73" s="12"/>
      <c r="J73" s="12"/>
    </row>
    <row r="74">
      <c r="A74">
        <f>IFERROR(__xludf.DUMMYFUNCTION("""COMPUTED_VALUE"""),113.0)</f>
        <v>113</v>
      </c>
      <c r="B74" s="12"/>
      <c r="C74" s="3"/>
      <c r="D74" s="3"/>
      <c r="E74" s="3"/>
      <c r="F74" s="12"/>
      <c r="G74" s="12"/>
      <c r="H74" s="12"/>
      <c r="I74" s="12"/>
      <c r="J74" s="12"/>
    </row>
    <row r="75">
      <c r="A75">
        <f>IFERROR(__xludf.DUMMYFUNCTION("""COMPUTED_VALUE"""),115.0)</f>
        <v>115</v>
      </c>
      <c r="B75" s="12"/>
      <c r="C75" s="3"/>
      <c r="D75" s="3"/>
      <c r="E75" s="3"/>
      <c r="F75" s="12"/>
      <c r="G75" s="12"/>
      <c r="H75" s="12"/>
      <c r="I75" s="12"/>
      <c r="J75" s="12"/>
    </row>
    <row r="76">
      <c r="A76">
        <f>IFERROR(__xludf.DUMMYFUNCTION("""COMPUTED_VALUE"""),116.0)</f>
        <v>116</v>
      </c>
      <c r="B76" s="12"/>
      <c r="C76" s="3"/>
      <c r="D76" s="3"/>
      <c r="E76" s="3"/>
      <c r="F76" s="12"/>
      <c r="G76" s="12"/>
      <c r="H76" s="12"/>
      <c r="I76" s="12"/>
      <c r="J76" s="12"/>
    </row>
    <row r="77">
      <c r="A77">
        <f>IFERROR(__xludf.DUMMYFUNCTION("""COMPUTED_VALUE"""),117.0)</f>
        <v>117</v>
      </c>
      <c r="B77" s="12"/>
      <c r="C77" s="3"/>
      <c r="D77" s="3"/>
      <c r="E77" s="3"/>
      <c r="F77" s="12"/>
      <c r="G77" s="12"/>
      <c r="H77" s="12"/>
      <c r="I77" s="12"/>
      <c r="J77" s="12"/>
    </row>
    <row r="78">
      <c r="A78">
        <f>IFERROR(__xludf.DUMMYFUNCTION("""COMPUTED_VALUE"""),122.0)</f>
        <v>122</v>
      </c>
      <c r="B78" s="12"/>
      <c r="C78" s="3"/>
      <c r="D78" s="3"/>
      <c r="E78" s="12"/>
      <c r="F78" s="12"/>
      <c r="G78" s="12"/>
      <c r="H78" s="12"/>
      <c r="I78" s="12"/>
      <c r="J78" s="12"/>
    </row>
    <row r="79">
      <c r="A79">
        <f>IFERROR(__xludf.DUMMYFUNCTION("""COMPUTED_VALUE"""),123.0)</f>
        <v>123</v>
      </c>
      <c r="B79" s="12"/>
      <c r="C79" s="3"/>
      <c r="D79" s="3"/>
      <c r="E79" s="12"/>
      <c r="F79" s="12"/>
      <c r="G79" s="12"/>
      <c r="H79" s="12"/>
      <c r="I79" s="12"/>
      <c r="J79" s="12"/>
    </row>
    <row r="80">
      <c r="A80">
        <f>IFERROR(__xludf.DUMMYFUNCTION("""COMPUTED_VALUE"""),124.0)</f>
        <v>124</v>
      </c>
      <c r="B80" s="12"/>
      <c r="C80" s="3"/>
      <c r="D80" s="3"/>
      <c r="E80" s="3"/>
      <c r="F80" s="12"/>
      <c r="G80" s="12"/>
      <c r="H80" s="12"/>
      <c r="I80" s="12"/>
      <c r="J80" s="12"/>
    </row>
    <row r="81">
      <c r="A81">
        <f>IFERROR(__xludf.DUMMYFUNCTION("""COMPUTED_VALUE"""),125.0)</f>
        <v>125</v>
      </c>
      <c r="B81" s="12"/>
      <c r="C81" s="3"/>
      <c r="D81" s="3"/>
      <c r="E81" s="3"/>
      <c r="F81" s="3"/>
      <c r="G81" s="12"/>
      <c r="H81" s="12"/>
      <c r="I81" s="12"/>
      <c r="J81" s="12"/>
    </row>
    <row r="82">
      <c r="A82">
        <f>IFERROR(__xludf.DUMMYFUNCTION("""COMPUTED_VALUE"""),126.0)</f>
        <v>126</v>
      </c>
      <c r="B82" s="12"/>
      <c r="C82" s="3"/>
      <c r="D82" s="3"/>
      <c r="E82" s="12"/>
      <c r="F82" s="12"/>
      <c r="G82" s="12"/>
      <c r="H82" s="12"/>
      <c r="I82" s="12"/>
      <c r="J82" s="12"/>
    </row>
    <row r="83">
      <c r="A83">
        <f>IFERROR(__xludf.DUMMYFUNCTION("""COMPUTED_VALUE"""),127.0)</f>
        <v>127</v>
      </c>
      <c r="B83" s="12"/>
      <c r="C83" s="3"/>
      <c r="D83" s="3"/>
      <c r="E83" s="3"/>
      <c r="F83" s="3"/>
      <c r="G83" s="12"/>
      <c r="H83" s="12"/>
      <c r="I83" s="12"/>
      <c r="J83" s="12"/>
    </row>
    <row r="84">
      <c r="A84">
        <f>IFERROR(__xludf.DUMMYFUNCTION("""COMPUTED_VALUE"""),128.0)</f>
        <v>128</v>
      </c>
      <c r="B84" s="12"/>
      <c r="C84" s="3"/>
      <c r="D84" s="3"/>
      <c r="E84" s="3"/>
      <c r="F84" s="3"/>
      <c r="G84" s="3"/>
      <c r="H84" s="12"/>
      <c r="I84" s="12"/>
      <c r="J84" s="12"/>
    </row>
    <row r="85">
      <c r="A85">
        <f>IFERROR(__xludf.DUMMYFUNCTION("""COMPUTED_VALUE"""),129.0)</f>
        <v>129</v>
      </c>
      <c r="B85" s="12"/>
      <c r="C85" s="3"/>
      <c r="D85" s="3"/>
      <c r="E85" s="3"/>
      <c r="F85" s="12"/>
      <c r="G85" s="12"/>
      <c r="H85" s="12"/>
      <c r="I85" s="12"/>
      <c r="J85" s="12"/>
    </row>
    <row r="86">
      <c r="A86">
        <f>IFERROR(__xludf.DUMMYFUNCTION("""COMPUTED_VALUE"""),130.0)</f>
        <v>130</v>
      </c>
      <c r="B86" s="12"/>
      <c r="C86" s="3"/>
      <c r="D86" s="3"/>
      <c r="E86" s="3"/>
      <c r="F86" s="3"/>
      <c r="G86" s="3"/>
      <c r="H86" s="12"/>
      <c r="I86" s="12"/>
      <c r="J86" s="12"/>
    </row>
    <row r="87">
      <c r="A87">
        <f>IFERROR(__xludf.DUMMYFUNCTION("""COMPUTED_VALUE"""),132.0)</f>
        <v>132</v>
      </c>
      <c r="B87" s="12"/>
      <c r="C87" s="3"/>
      <c r="D87" s="12"/>
      <c r="E87" s="12"/>
      <c r="F87" s="12"/>
      <c r="G87" s="12"/>
      <c r="H87" s="12"/>
      <c r="I87" s="12"/>
      <c r="J87" s="12"/>
    </row>
    <row r="88">
      <c r="A88">
        <f>IFERROR(__xludf.DUMMYFUNCTION("""COMPUTED_VALUE"""),135.0)</f>
        <v>135</v>
      </c>
      <c r="B88" s="12"/>
      <c r="C88" s="3"/>
      <c r="D88" s="3"/>
      <c r="E88" s="12"/>
      <c r="F88" s="12"/>
      <c r="G88" s="12"/>
      <c r="H88" s="12"/>
      <c r="I88" s="12"/>
      <c r="J88" s="12"/>
    </row>
    <row r="89">
      <c r="A89">
        <f>IFERROR(__xludf.DUMMYFUNCTION("""COMPUTED_VALUE"""),137.0)</f>
        <v>137</v>
      </c>
      <c r="B89" s="12"/>
      <c r="C89" s="3"/>
      <c r="D89" s="3"/>
      <c r="E89" s="3"/>
      <c r="F89" s="3"/>
      <c r="G89" s="12"/>
      <c r="H89" s="12"/>
      <c r="I89" s="12"/>
      <c r="J89" s="12"/>
    </row>
    <row r="90">
      <c r="A90">
        <f>IFERROR(__xludf.DUMMYFUNCTION("""COMPUTED_VALUE"""),138.0)</f>
        <v>138</v>
      </c>
      <c r="B90" s="12"/>
      <c r="C90" s="3"/>
      <c r="D90" s="3"/>
      <c r="E90" s="12"/>
      <c r="F90" s="12"/>
      <c r="G90" s="12"/>
      <c r="H90" s="12"/>
      <c r="I90" s="12"/>
      <c r="J90" s="12"/>
    </row>
    <row r="91">
      <c r="A91">
        <f>IFERROR(__xludf.DUMMYFUNCTION("""COMPUTED_VALUE"""),140.0)</f>
        <v>140</v>
      </c>
      <c r="B91" s="12"/>
      <c r="C91" s="3"/>
      <c r="D91" s="3"/>
      <c r="E91" s="3"/>
      <c r="F91" s="12"/>
      <c r="G91" s="12"/>
      <c r="H91" s="12"/>
      <c r="I91" s="12"/>
      <c r="J91" s="12"/>
    </row>
    <row r="92">
      <c r="A92">
        <f>IFERROR(__xludf.DUMMYFUNCTION("""COMPUTED_VALUE"""),141.0)</f>
        <v>141</v>
      </c>
      <c r="B92" s="12"/>
      <c r="C92" s="3"/>
      <c r="D92" s="3"/>
      <c r="E92" s="3"/>
      <c r="F92" s="12"/>
      <c r="G92" s="12"/>
      <c r="H92" s="12"/>
      <c r="I92" s="12"/>
      <c r="J92" s="12"/>
    </row>
    <row r="93">
      <c r="A93">
        <f>IFERROR(__xludf.DUMMYFUNCTION("""COMPUTED_VALUE"""),142.0)</f>
        <v>142</v>
      </c>
      <c r="B93" s="12"/>
      <c r="C93" s="3"/>
      <c r="D93" s="3"/>
      <c r="E93" s="12"/>
      <c r="F93" s="12"/>
      <c r="G93" s="12"/>
      <c r="H93" s="12"/>
      <c r="I93" s="12"/>
      <c r="J93" s="12"/>
    </row>
    <row r="94">
      <c r="A94">
        <f>IFERROR(__xludf.DUMMYFUNCTION("""COMPUTED_VALUE"""),143.0)</f>
        <v>143</v>
      </c>
      <c r="B94" s="12"/>
      <c r="C94" s="3"/>
      <c r="D94" s="3"/>
      <c r="E94" s="12"/>
      <c r="F94" s="12"/>
      <c r="G94" s="12"/>
      <c r="H94" s="12"/>
      <c r="I94" s="12"/>
      <c r="J94" s="12"/>
    </row>
    <row r="95">
      <c r="A95">
        <f>IFERROR(__xludf.DUMMYFUNCTION("""COMPUTED_VALUE"""),146.0)</f>
        <v>146</v>
      </c>
      <c r="B95" s="12"/>
      <c r="C95" s="3"/>
      <c r="D95" s="3"/>
      <c r="E95" s="12"/>
      <c r="F95" s="12"/>
      <c r="G95" s="12"/>
      <c r="H95" s="12"/>
      <c r="I95" s="12"/>
      <c r="J95" s="12"/>
    </row>
    <row r="96">
      <c r="A96">
        <f>IFERROR(__xludf.DUMMYFUNCTION("""COMPUTED_VALUE"""),147.0)</f>
        <v>147</v>
      </c>
      <c r="B96" s="12"/>
      <c r="C96" s="3"/>
      <c r="D96" s="3"/>
      <c r="E96" s="3"/>
      <c r="F96" s="12"/>
      <c r="G96" s="12"/>
      <c r="H96" s="12"/>
      <c r="I96" s="12"/>
      <c r="J96" s="12"/>
    </row>
    <row r="97">
      <c r="A97">
        <f>IFERROR(__xludf.DUMMYFUNCTION("""COMPUTED_VALUE"""),148.0)</f>
        <v>148</v>
      </c>
      <c r="B97" s="12"/>
      <c r="C97" s="3"/>
      <c r="D97" s="3"/>
      <c r="E97" s="12"/>
      <c r="F97" s="12"/>
      <c r="G97" s="12"/>
      <c r="H97" s="12"/>
      <c r="I97" s="12"/>
      <c r="J97" s="12"/>
    </row>
    <row r="98">
      <c r="A98">
        <f>IFERROR(__xludf.DUMMYFUNCTION("""COMPUTED_VALUE"""),149.0)</f>
        <v>149</v>
      </c>
      <c r="B98" s="12"/>
      <c r="C98" s="3"/>
      <c r="D98" s="3"/>
      <c r="E98" s="3"/>
      <c r="F98" s="3"/>
      <c r="G98" s="12"/>
      <c r="H98" s="12"/>
      <c r="I98" s="12"/>
      <c r="J98" s="12"/>
    </row>
    <row r="99">
      <c r="A99">
        <f>IFERROR(__xludf.DUMMYFUNCTION("""COMPUTED_VALUE"""),150.0)</f>
        <v>150</v>
      </c>
      <c r="B99" s="12"/>
      <c r="C99" s="3"/>
      <c r="D99" s="12"/>
      <c r="E99" s="12"/>
      <c r="F99" s="12"/>
      <c r="G99" s="12"/>
      <c r="H99" s="12"/>
      <c r="I99" s="12"/>
      <c r="J99" s="12"/>
    </row>
    <row r="100">
      <c r="A100">
        <f>IFERROR(__xludf.DUMMYFUNCTION("""COMPUTED_VALUE"""),151.0)</f>
        <v>151</v>
      </c>
      <c r="B100" s="12"/>
      <c r="C100" s="3"/>
      <c r="D100" s="12"/>
      <c r="E100" s="12"/>
      <c r="F100" s="12"/>
      <c r="G100" s="12"/>
      <c r="H100" s="12"/>
      <c r="I100" s="12"/>
      <c r="J100" s="12"/>
    </row>
    <row r="101">
      <c r="A101">
        <f>IFERROR(__xludf.DUMMYFUNCTION("""COMPUTED_VALUE"""),152.0)</f>
        <v>152</v>
      </c>
      <c r="B101" s="12"/>
      <c r="C101" s="3"/>
      <c r="D101" s="3"/>
      <c r="E101" s="3"/>
      <c r="F101" s="12"/>
      <c r="G101" s="12"/>
      <c r="H101" s="12"/>
      <c r="I101" s="12"/>
      <c r="J101" s="12"/>
    </row>
    <row r="102">
      <c r="A102">
        <f>IFERROR(__xludf.DUMMYFUNCTION("""COMPUTED_VALUE"""),154.0)</f>
        <v>154</v>
      </c>
      <c r="B102" s="12"/>
      <c r="C102" s="3"/>
      <c r="D102" s="3"/>
      <c r="E102" s="3"/>
      <c r="F102" s="12"/>
      <c r="G102" s="12"/>
      <c r="H102" s="12"/>
      <c r="I102" s="12"/>
      <c r="J102" s="12"/>
    </row>
    <row r="103">
      <c r="A103">
        <f>IFERROR(__xludf.DUMMYFUNCTION("""COMPUTED_VALUE"""),155.0)</f>
        <v>155</v>
      </c>
      <c r="B103" s="12"/>
      <c r="C103" s="3"/>
      <c r="D103" s="3"/>
      <c r="E103" s="12"/>
      <c r="F103" s="12"/>
      <c r="G103" s="12"/>
      <c r="H103" s="12"/>
      <c r="I103" s="12"/>
      <c r="J103" s="12"/>
    </row>
    <row r="104">
      <c r="A104">
        <f>IFERROR(__xludf.DUMMYFUNCTION("""COMPUTED_VALUE"""),156.0)</f>
        <v>156</v>
      </c>
      <c r="B104" s="12"/>
      <c r="C104" s="3"/>
      <c r="D104" s="3"/>
      <c r="E104" s="12"/>
      <c r="F104" s="12"/>
      <c r="G104" s="12"/>
      <c r="H104" s="12"/>
      <c r="I104" s="12"/>
      <c r="J104" s="12"/>
    </row>
    <row r="105">
      <c r="A105">
        <f>IFERROR(__xludf.DUMMYFUNCTION("""COMPUTED_VALUE"""),157.0)</f>
        <v>157</v>
      </c>
      <c r="B105" s="12"/>
      <c r="C105" s="3"/>
      <c r="D105" s="3"/>
      <c r="E105" s="3"/>
      <c r="F105" s="3"/>
      <c r="G105" s="12"/>
      <c r="H105" s="12"/>
      <c r="I105" s="12"/>
      <c r="J105" s="12"/>
    </row>
    <row r="106">
      <c r="A106">
        <f>IFERROR(__xludf.DUMMYFUNCTION("""COMPUTED_VALUE"""),158.0)</f>
        <v>158</v>
      </c>
      <c r="B106" s="12"/>
      <c r="C106" s="3"/>
      <c r="D106" s="3"/>
      <c r="E106" s="12"/>
      <c r="F106" s="12"/>
      <c r="G106" s="12"/>
      <c r="H106" s="12"/>
      <c r="I106" s="12"/>
      <c r="J106" s="12"/>
    </row>
    <row r="107">
      <c r="A107">
        <f>IFERROR(__xludf.DUMMYFUNCTION("""COMPUTED_VALUE"""),159.0)</f>
        <v>159</v>
      </c>
      <c r="B107" s="12"/>
      <c r="C107" s="3"/>
      <c r="D107" s="3"/>
      <c r="E107" s="3"/>
      <c r="F107" s="3"/>
      <c r="G107" s="12"/>
      <c r="H107" s="12"/>
      <c r="I107" s="12"/>
      <c r="J107" s="12"/>
    </row>
    <row r="108">
      <c r="A108">
        <f>IFERROR(__xludf.DUMMYFUNCTION("""COMPUTED_VALUE"""),160.0)</f>
        <v>160</v>
      </c>
      <c r="B108" s="12"/>
      <c r="C108" s="3"/>
      <c r="D108" s="3"/>
      <c r="E108" s="3"/>
      <c r="F108" s="12"/>
      <c r="G108" s="12"/>
      <c r="H108" s="12"/>
      <c r="I108" s="12"/>
      <c r="J108" s="12"/>
    </row>
    <row r="109">
      <c r="A109">
        <f>IFERROR(__xludf.DUMMYFUNCTION("""COMPUTED_VALUE"""),162.0)</f>
        <v>162</v>
      </c>
      <c r="B109" s="12"/>
      <c r="C109" s="3"/>
      <c r="D109" s="3"/>
      <c r="E109" s="12"/>
      <c r="F109" s="12"/>
      <c r="G109" s="12"/>
      <c r="H109" s="12"/>
      <c r="I109" s="12"/>
      <c r="J109" s="12"/>
    </row>
    <row r="110">
      <c r="A110">
        <f>IFERROR(__xludf.DUMMYFUNCTION("""COMPUTED_VALUE"""),163.0)</f>
        <v>163</v>
      </c>
      <c r="B110" s="12"/>
      <c r="C110" s="3"/>
      <c r="D110" s="3"/>
      <c r="E110" s="3"/>
      <c r="F110" s="12"/>
      <c r="G110" s="12"/>
      <c r="H110" s="12"/>
      <c r="I110" s="12"/>
      <c r="J110" s="12"/>
    </row>
    <row r="111">
      <c r="A111">
        <f>IFERROR(__xludf.DUMMYFUNCTION("""COMPUTED_VALUE"""),164.0)</f>
        <v>164</v>
      </c>
      <c r="B111" s="12"/>
      <c r="C111" s="26"/>
      <c r="D111" s="3"/>
      <c r="E111" s="3"/>
      <c r="F111" s="3"/>
      <c r="G111" s="12"/>
      <c r="H111" s="12"/>
      <c r="I111" s="12"/>
      <c r="J111" s="12"/>
    </row>
    <row r="112">
      <c r="A112">
        <f>IFERROR(__xludf.DUMMYFUNCTION("""COMPUTED_VALUE"""),165.0)</f>
        <v>165</v>
      </c>
      <c r="B112" s="12"/>
      <c r="C112" s="3"/>
      <c r="D112" s="3"/>
      <c r="E112" s="3"/>
      <c r="F112" s="12"/>
      <c r="G112" s="12"/>
      <c r="H112" s="12"/>
      <c r="I112" s="12"/>
      <c r="J112" s="12"/>
    </row>
    <row r="113">
      <c r="A113">
        <f>IFERROR(__xludf.DUMMYFUNCTION("""COMPUTED_VALUE"""),166.0)</f>
        <v>166</v>
      </c>
      <c r="B113" s="12"/>
      <c r="C113" s="3"/>
      <c r="D113" s="3"/>
      <c r="E113" s="12"/>
      <c r="F113" s="12"/>
      <c r="G113" s="12"/>
      <c r="H113" s="12"/>
      <c r="I113" s="12"/>
      <c r="J113" s="12"/>
    </row>
    <row r="114">
      <c r="A114">
        <f>IFERROR(__xludf.DUMMYFUNCTION("""COMPUTED_VALUE"""),167.0)</f>
        <v>167</v>
      </c>
      <c r="B114" s="12"/>
      <c r="C114" s="3"/>
      <c r="D114" s="3"/>
      <c r="E114" s="3"/>
      <c r="F114" s="3"/>
      <c r="G114" s="12"/>
      <c r="H114" s="12"/>
      <c r="I114" s="12"/>
      <c r="J114" s="12"/>
    </row>
    <row r="115">
      <c r="A115">
        <f>IFERROR(__xludf.DUMMYFUNCTION("""COMPUTED_VALUE"""),168.0)</f>
        <v>168</v>
      </c>
      <c r="B115" s="12"/>
      <c r="C115" s="3"/>
      <c r="D115" s="12"/>
      <c r="E115" s="12"/>
      <c r="F115" s="12"/>
      <c r="G115" s="12"/>
      <c r="H115" s="12"/>
      <c r="I115" s="12"/>
      <c r="J115" s="12"/>
    </row>
    <row r="116">
      <c r="A116">
        <f>IFERROR(__xludf.DUMMYFUNCTION("""COMPUTED_VALUE"""),170.0)</f>
        <v>170</v>
      </c>
      <c r="B116" s="12"/>
      <c r="C116" s="3"/>
      <c r="D116" s="3"/>
      <c r="E116" s="3"/>
      <c r="F116" s="3"/>
      <c r="G116" s="12"/>
      <c r="H116" s="12"/>
      <c r="I116" s="12"/>
      <c r="J116" s="12"/>
    </row>
    <row r="117">
      <c r="A117">
        <f>IFERROR(__xludf.DUMMYFUNCTION("""COMPUTED_VALUE"""),171.0)</f>
        <v>171</v>
      </c>
      <c r="B117" s="12"/>
      <c r="C117" s="3"/>
      <c r="D117" s="3"/>
      <c r="E117" s="12"/>
      <c r="F117" s="12"/>
      <c r="G117" s="12"/>
      <c r="H117" s="12"/>
      <c r="I117" s="12"/>
      <c r="J117" s="12"/>
    </row>
    <row r="118">
      <c r="A118">
        <f>IFERROR(__xludf.DUMMYFUNCTION("""COMPUTED_VALUE"""),172.0)</f>
        <v>172</v>
      </c>
      <c r="B118" s="12"/>
      <c r="C118" s="3"/>
      <c r="D118" s="3"/>
      <c r="E118" s="12"/>
      <c r="F118" s="12"/>
      <c r="G118" s="12"/>
      <c r="H118" s="12"/>
      <c r="I118" s="12"/>
      <c r="J118" s="12"/>
    </row>
    <row r="119">
      <c r="A119">
        <f>IFERROR(__xludf.DUMMYFUNCTION("""COMPUTED_VALUE"""),174.0)</f>
        <v>174</v>
      </c>
      <c r="B119" s="12"/>
      <c r="C119" s="3"/>
      <c r="D119" s="3"/>
      <c r="E119" s="12"/>
      <c r="F119" s="12"/>
      <c r="G119" s="12"/>
      <c r="H119" s="12"/>
      <c r="I119" s="12"/>
      <c r="J119" s="12"/>
    </row>
    <row r="120">
      <c r="A120">
        <f>IFERROR(__xludf.DUMMYFUNCTION("""COMPUTED_VALUE"""),175.0)</f>
        <v>175</v>
      </c>
      <c r="B120" s="12"/>
      <c r="C120" s="3"/>
      <c r="D120" s="12"/>
      <c r="E120" s="12"/>
      <c r="F120" s="12"/>
      <c r="G120" s="12"/>
      <c r="H120" s="12"/>
      <c r="I120" s="12"/>
      <c r="J120" s="12"/>
    </row>
    <row r="121">
      <c r="A121">
        <f>IFERROR(__xludf.DUMMYFUNCTION("""COMPUTED_VALUE"""),177.0)</f>
        <v>177</v>
      </c>
      <c r="B121" s="12"/>
      <c r="C121" s="3"/>
      <c r="D121" s="3"/>
      <c r="E121" s="3"/>
      <c r="F121" s="3"/>
      <c r="G121" s="12"/>
      <c r="H121" s="12"/>
      <c r="I121" s="12"/>
      <c r="J121" s="12"/>
    </row>
    <row r="122">
      <c r="A122">
        <f>IFERROR(__xludf.DUMMYFUNCTION("""COMPUTED_VALUE"""),179.0)</f>
        <v>179</v>
      </c>
      <c r="B122" s="12"/>
      <c r="C122" s="3"/>
      <c r="D122" s="3"/>
      <c r="E122" s="3"/>
      <c r="F122" s="12"/>
      <c r="G122" s="12"/>
      <c r="H122" s="12"/>
      <c r="I122" s="12"/>
      <c r="J122" s="12"/>
    </row>
    <row r="123">
      <c r="A123">
        <f>IFERROR(__xludf.DUMMYFUNCTION("""COMPUTED_VALUE"""),180.0)</f>
        <v>180</v>
      </c>
      <c r="B123" s="12"/>
      <c r="C123" s="3"/>
      <c r="D123" s="3"/>
      <c r="E123" s="3"/>
      <c r="F123" s="3"/>
      <c r="G123" s="12"/>
      <c r="H123" s="12"/>
      <c r="I123" s="12"/>
      <c r="J123" s="12"/>
    </row>
    <row r="124">
      <c r="A124">
        <f>IFERROR(__xludf.DUMMYFUNCTION("""COMPUTED_VALUE"""),182.0)</f>
        <v>182</v>
      </c>
      <c r="B124" s="12"/>
      <c r="C124" s="3"/>
      <c r="D124" s="12"/>
      <c r="E124" s="12"/>
      <c r="F124" s="12"/>
      <c r="G124" s="12"/>
      <c r="H124" s="12"/>
      <c r="I124" s="12"/>
      <c r="J124" s="12"/>
    </row>
    <row r="125">
      <c r="A125">
        <f>IFERROR(__xludf.DUMMYFUNCTION("""COMPUTED_VALUE"""),184.0)</f>
        <v>184</v>
      </c>
      <c r="B125" s="12"/>
      <c r="C125" s="3"/>
      <c r="D125" s="3"/>
      <c r="E125" s="12"/>
      <c r="F125" s="12"/>
      <c r="G125" s="12"/>
      <c r="H125" s="12"/>
      <c r="I125" s="12"/>
      <c r="J125" s="12"/>
    </row>
    <row r="126">
      <c r="A126">
        <f>IFERROR(__xludf.DUMMYFUNCTION("""COMPUTED_VALUE"""),186.0)</f>
        <v>186</v>
      </c>
      <c r="B126" s="12"/>
      <c r="C126" s="3"/>
      <c r="D126" s="3"/>
      <c r="E126" s="12"/>
      <c r="F126" s="12"/>
      <c r="G126" s="12"/>
      <c r="H126" s="12"/>
      <c r="I126" s="12"/>
      <c r="J126" s="12"/>
    </row>
    <row r="127">
      <c r="A127">
        <f>IFERROR(__xludf.DUMMYFUNCTION("""COMPUTED_VALUE"""),187.0)</f>
        <v>187</v>
      </c>
      <c r="B127" s="12"/>
      <c r="C127" s="3"/>
      <c r="D127" s="12"/>
      <c r="E127" s="12"/>
      <c r="F127" s="12"/>
      <c r="G127" s="12"/>
      <c r="H127" s="12"/>
      <c r="I127" s="12"/>
      <c r="J127" s="12"/>
    </row>
    <row r="128">
      <c r="A128">
        <f>IFERROR(__xludf.DUMMYFUNCTION("""COMPUTED_VALUE"""),188.0)</f>
        <v>188</v>
      </c>
      <c r="B128" s="12"/>
      <c r="C128" s="3"/>
      <c r="D128" s="3"/>
      <c r="E128" s="3"/>
      <c r="F128" s="3"/>
      <c r="G128" s="12"/>
      <c r="H128" s="12"/>
      <c r="I128" s="12"/>
      <c r="J128" s="12"/>
    </row>
    <row r="129">
      <c r="A129">
        <f>IFERROR(__xludf.DUMMYFUNCTION("""COMPUTED_VALUE"""),189.0)</f>
        <v>189</v>
      </c>
      <c r="B129" s="12"/>
      <c r="C129" s="3"/>
      <c r="D129" s="3"/>
      <c r="E129" s="12"/>
      <c r="F129" s="12"/>
      <c r="G129" s="12"/>
      <c r="H129" s="12"/>
      <c r="I129" s="12"/>
      <c r="J129" s="12"/>
    </row>
    <row r="130">
      <c r="A130">
        <f>IFERROR(__xludf.DUMMYFUNCTION("""COMPUTED_VALUE"""),191.0)</f>
        <v>191</v>
      </c>
      <c r="B130" s="12"/>
      <c r="C130" s="3"/>
      <c r="D130" s="3"/>
      <c r="E130" s="3"/>
      <c r="F130" s="3"/>
      <c r="G130" s="12"/>
      <c r="H130" s="12"/>
      <c r="I130" s="12"/>
      <c r="J130" s="12"/>
    </row>
    <row r="131">
      <c r="A131">
        <f>IFERROR(__xludf.DUMMYFUNCTION("""COMPUTED_VALUE"""),192.0)</f>
        <v>192</v>
      </c>
      <c r="B131" s="12"/>
      <c r="C131" s="3"/>
      <c r="D131" s="3"/>
      <c r="E131" s="12"/>
      <c r="F131" s="12"/>
      <c r="G131" s="12"/>
      <c r="H131" s="12"/>
      <c r="I131" s="12"/>
      <c r="J131" s="12"/>
    </row>
    <row r="132">
      <c r="A132">
        <f>IFERROR(__xludf.DUMMYFUNCTION("""COMPUTED_VALUE"""),194.0)</f>
        <v>194</v>
      </c>
      <c r="B132" s="12"/>
      <c r="C132" s="3"/>
      <c r="D132" s="3"/>
      <c r="E132" s="12"/>
      <c r="F132" s="12"/>
      <c r="G132" s="12"/>
      <c r="H132" s="12"/>
      <c r="I132" s="12"/>
      <c r="J132" s="12"/>
    </row>
    <row r="133">
      <c r="A133">
        <f>IFERROR(__xludf.DUMMYFUNCTION("""COMPUTED_VALUE"""),195.0)</f>
        <v>195</v>
      </c>
      <c r="B133" s="12"/>
      <c r="C133" s="3"/>
      <c r="D133" s="3"/>
      <c r="E133" s="12"/>
      <c r="F133" s="12"/>
      <c r="G133" s="12"/>
      <c r="H133" s="12"/>
      <c r="I133" s="12"/>
      <c r="J133" s="12"/>
    </row>
    <row r="134">
      <c r="A134">
        <f>IFERROR(__xludf.DUMMYFUNCTION("""COMPUTED_VALUE"""),198.0)</f>
        <v>198</v>
      </c>
      <c r="B134" s="12"/>
      <c r="C134" s="3"/>
      <c r="D134" s="3"/>
      <c r="E134" s="3"/>
      <c r="F134" s="12"/>
      <c r="G134" s="12"/>
      <c r="H134" s="12"/>
      <c r="I134" s="12"/>
      <c r="J134" s="12"/>
    </row>
    <row r="135">
      <c r="A135">
        <f>IFERROR(__xludf.DUMMYFUNCTION("""COMPUTED_VALUE"""),199.0)</f>
        <v>199</v>
      </c>
      <c r="B135" s="12"/>
      <c r="C135" s="3"/>
      <c r="D135" s="3"/>
      <c r="E135" s="12"/>
      <c r="F135" s="12"/>
      <c r="G135" s="12"/>
      <c r="H135" s="12"/>
      <c r="I135" s="12"/>
      <c r="J135" s="12"/>
    </row>
    <row r="136">
      <c r="A136">
        <f>IFERROR(__xludf.DUMMYFUNCTION("""COMPUTED_VALUE"""),200.0)</f>
        <v>200</v>
      </c>
      <c r="B136" s="12"/>
      <c r="C136" s="3"/>
      <c r="D136" s="3"/>
      <c r="E136" s="3"/>
      <c r="F136" s="12"/>
      <c r="G136" s="12"/>
      <c r="H136" s="12"/>
      <c r="I136" s="12"/>
      <c r="J136" s="12"/>
    </row>
    <row r="137">
      <c r="A137">
        <f>IFERROR(__xludf.DUMMYFUNCTION("""COMPUTED_VALUE"""),201.0)</f>
        <v>201</v>
      </c>
      <c r="B137" s="12"/>
      <c r="C137" s="3"/>
      <c r="D137" s="3"/>
      <c r="E137" s="12"/>
      <c r="F137" s="12"/>
      <c r="G137" s="12"/>
      <c r="H137" s="12"/>
      <c r="I137" s="12"/>
      <c r="J137" s="12"/>
    </row>
    <row r="138">
      <c r="A138">
        <f>IFERROR(__xludf.DUMMYFUNCTION("""COMPUTED_VALUE"""),202.0)</f>
        <v>202</v>
      </c>
      <c r="B138" s="12"/>
      <c r="C138" s="3"/>
      <c r="D138" s="3"/>
      <c r="E138" s="3"/>
      <c r="F138" s="12"/>
      <c r="G138" s="12"/>
      <c r="H138" s="12"/>
      <c r="I138" s="12"/>
      <c r="J138" s="12"/>
    </row>
    <row r="139">
      <c r="A139">
        <f>IFERROR(__xludf.DUMMYFUNCTION("""COMPUTED_VALUE"""),203.0)</f>
        <v>203</v>
      </c>
      <c r="B139" s="12"/>
      <c r="C139" s="3"/>
      <c r="D139" s="3"/>
      <c r="E139" s="3"/>
      <c r="F139" s="12"/>
      <c r="G139" s="12"/>
      <c r="H139" s="12"/>
      <c r="I139" s="12"/>
      <c r="J139" s="12"/>
    </row>
    <row r="140">
      <c r="A140">
        <f>IFERROR(__xludf.DUMMYFUNCTION("""COMPUTED_VALUE"""),204.0)</f>
        <v>204</v>
      </c>
      <c r="B140" s="12"/>
      <c r="C140" s="3"/>
      <c r="D140" s="3"/>
      <c r="E140" s="3"/>
      <c r="F140" s="3"/>
      <c r="G140" s="12"/>
      <c r="H140" s="12"/>
      <c r="I140" s="12"/>
      <c r="J140" s="12"/>
    </row>
    <row r="141">
      <c r="A141">
        <f>IFERROR(__xludf.DUMMYFUNCTION("""COMPUTED_VALUE"""),207.0)</f>
        <v>207</v>
      </c>
      <c r="B141" s="12"/>
      <c r="C141" s="3"/>
      <c r="D141" s="3"/>
      <c r="E141" s="12"/>
      <c r="F141" s="12"/>
      <c r="G141" s="12"/>
      <c r="H141" s="12"/>
      <c r="I141" s="12"/>
      <c r="J141" s="12"/>
    </row>
    <row r="142">
      <c r="A142">
        <f>IFERROR(__xludf.DUMMYFUNCTION("""COMPUTED_VALUE"""),208.0)</f>
        <v>208</v>
      </c>
      <c r="B142" s="12"/>
      <c r="C142" s="3"/>
      <c r="D142" s="3"/>
      <c r="E142" s="12"/>
      <c r="F142" s="12"/>
      <c r="G142" s="12"/>
      <c r="H142" s="12"/>
      <c r="I142" s="12"/>
      <c r="J142" s="12"/>
    </row>
    <row r="143">
      <c r="A143">
        <f>IFERROR(__xludf.DUMMYFUNCTION("""COMPUTED_VALUE"""),209.0)</f>
        <v>209</v>
      </c>
      <c r="B143" s="12"/>
      <c r="C143" s="3"/>
      <c r="D143" s="3"/>
      <c r="E143" s="3"/>
      <c r="F143" s="12"/>
      <c r="G143" s="12"/>
      <c r="H143" s="12"/>
      <c r="I143" s="12"/>
      <c r="J143" s="12"/>
    </row>
    <row r="144">
      <c r="A144">
        <f>IFERROR(__xludf.DUMMYFUNCTION("""COMPUTED_VALUE"""),210.0)</f>
        <v>210</v>
      </c>
      <c r="B144" s="12"/>
      <c r="C144" s="3"/>
      <c r="D144" s="3"/>
      <c r="E144" s="3"/>
      <c r="F144" s="3"/>
      <c r="G144" s="3"/>
      <c r="H144" s="12"/>
      <c r="I144" s="12"/>
      <c r="J144" s="12"/>
    </row>
    <row r="145">
      <c r="A145">
        <f>IFERROR(__xludf.DUMMYFUNCTION("""COMPUTED_VALUE"""),212.0)</f>
        <v>212</v>
      </c>
      <c r="B145" s="12"/>
      <c r="C145" s="3"/>
      <c r="D145" s="3"/>
      <c r="E145" s="3"/>
      <c r="F145" s="12"/>
      <c r="G145" s="12"/>
      <c r="H145" s="12"/>
      <c r="I145" s="12"/>
      <c r="J145" s="12"/>
    </row>
    <row r="146">
      <c r="A146">
        <f>IFERROR(__xludf.DUMMYFUNCTION("""COMPUTED_VALUE"""),213.0)</f>
        <v>213</v>
      </c>
      <c r="B146" s="12"/>
      <c r="C146" s="3"/>
      <c r="D146" s="3"/>
      <c r="E146" s="3"/>
      <c r="F146" s="12"/>
      <c r="H146" s="12"/>
      <c r="I146" s="12"/>
      <c r="J146" s="12"/>
    </row>
    <row r="147">
      <c r="A147">
        <f>IFERROR(__xludf.DUMMYFUNCTION("""COMPUTED_VALUE"""),214.0)</f>
        <v>214</v>
      </c>
      <c r="B147" s="12"/>
      <c r="C147" s="3"/>
      <c r="D147" s="3"/>
      <c r="E147" s="3"/>
      <c r="F147" s="3"/>
      <c r="H147" s="12"/>
      <c r="I147" s="12"/>
      <c r="J147" s="12"/>
    </row>
    <row r="148">
      <c r="A148">
        <f>IFERROR(__xludf.DUMMYFUNCTION("""COMPUTED_VALUE"""),215.0)</f>
        <v>215</v>
      </c>
      <c r="B148" s="12"/>
      <c r="C148" s="3"/>
      <c r="D148" s="3"/>
      <c r="E148" s="12"/>
      <c r="F148" s="12"/>
      <c r="H148" s="12"/>
      <c r="I148" s="12"/>
      <c r="J148" s="12"/>
    </row>
    <row r="149">
      <c r="A149">
        <f>IFERROR(__xludf.DUMMYFUNCTION("""COMPUTED_VALUE"""),216.0)</f>
        <v>216</v>
      </c>
      <c r="B149" s="12"/>
      <c r="C149" s="3"/>
      <c r="D149" s="12"/>
      <c r="E149" s="12"/>
      <c r="F149" s="12"/>
      <c r="H149" s="12"/>
      <c r="I149" s="12"/>
      <c r="J149" s="12"/>
    </row>
    <row r="150">
      <c r="A150">
        <f>IFERROR(__xludf.DUMMYFUNCTION("""COMPUTED_VALUE"""),217.0)</f>
        <v>217</v>
      </c>
      <c r="B150" s="12"/>
      <c r="C150" s="3"/>
      <c r="D150" s="3"/>
      <c r="E150" s="3"/>
      <c r="F150" s="3"/>
      <c r="H150" s="12"/>
      <c r="I150" s="12"/>
      <c r="J150" s="12"/>
    </row>
    <row r="151">
      <c r="A151">
        <f>IFERROR(__xludf.DUMMYFUNCTION("""COMPUTED_VALUE"""),220.0)</f>
        <v>220</v>
      </c>
      <c r="B151" s="12"/>
      <c r="C151" s="3"/>
      <c r="D151" s="3"/>
      <c r="E151" s="3"/>
      <c r="F151" s="3"/>
      <c r="H151" s="12"/>
      <c r="I151" s="12"/>
      <c r="J151" s="12"/>
    </row>
    <row r="152">
      <c r="A152">
        <f>IFERROR(__xludf.DUMMYFUNCTION("""COMPUTED_VALUE"""),221.0)</f>
        <v>221</v>
      </c>
      <c r="B152" s="12"/>
      <c r="C152" s="3"/>
      <c r="D152" s="3"/>
      <c r="E152" s="12"/>
      <c r="F152" s="12"/>
      <c r="H152" s="12"/>
      <c r="I152" s="12"/>
      <c r="J152" s="12"/>
    </row>
    <row r="153">
      <c r="A153">
        <f>IFERROR(__xludf.DUMMYFUNCTION("""COMPUTED_VALUE"""),222.0)</f>
        <v>222</v>
      </c>
      <c r="B153" s="12"/>
      <c r="C153" s="3"/>
      <c r="D153" s="3"/>
      <c r="E153" s="12"/>
      <c r="F153" s="12"/>
      <c r="H153" s="12"/>
      <c r="I153" s="12"/>
      <c r="J153" s="12"/>
    </row>
    <row r="154">
      <c r="A154">
        <f>IFERROR(__xludf.DUMMYFUNCTION("""COMPUTED_VALUE"""),223.0)</f>
        <v>223</v>
      </c>
      <c r="B154" s="12"/>
      <c r="C154" s="3"/>
      <c r="D154" s="3"/>
      <c r="E154" s="3"/>
      <c r="F154" s="3"/>
      <c r="H154" s="12"/>
      <c r="I154" s="12"/>
      <c r="J154" s="12"/>
    </row>
    <row r="155">
      <c r="A155">
        <f>IFERROR(__xludf.DUMMYFUNCTION("""COMPUTED_VALUE"""),225.0)</f>
        <v>225</v>
      </c>
      <c r="B155" s="12"/>
      <c r="C155" s="12"/>
      <c r="D155" s="12"/>
      <c r="E155" s="12"/>
      <c r="F155" s="12"/>
      <c r="G155" s="12"/>
      <c r="H155" s="12"/>
      <c r="I155" s="12"/>
      <c r="J155" s="12"/>
    </row>
    <row r="156">
      <c r="A156">
        <f>IFERROR(__xludf.DUMMYFUNCTION("""COMPUTED_VALUE"""),226.0)</f>
        <v>226</v>
      </c>
      <c r="B156" s="12"/>
      <c r="C156" s="12"/>
      <c r="D156" s="12"/>
      <c r="E156" s="12"/>
      <c r="F156" s="12"/>
      <c r="G156" s="12"/>
      <c r="H156" s="12"/>
      <c r="I156" s="12"/>
      <c r="J156" s="12"/>
    </row>
    <row r="157">
      <c r="A157">
        <f>IFERROR(__xludf.DUMMYFUNCTION("""COMPUTED_VALUE"""),228.0)</f>
        <v>228</v>
      </c>
      <c r="B157" s="12"/>
      <c r="C157" s="12"/>
      <c r="D157" s="12"/>
      <c r="E157" s="12"/>
      <c r="F157" s="12"/>
      <c r="G157" s="12"/>
      <c r="H157" s="12"/>
      <c r="I157" s="12"/>
      <c r="J157" s="12"/>
    </row>
    <row r="158">
      <c r="A158">
        <f>IFERROR(__xludf.DUMMYFUNCTION("""COMPUTED_VALUE"""),230.0)</f>
        <v>230</v>
      </c>
      <c r="B158" s="12"/>
      <c r="C158" s="12"/>
      <c r="D158" s="12"/>
      <c r="E158" s="12"/>
      <c r="F158" s="12"/>
      <c r="G158" s="12"/>
      <c r="H158" s="12"/>
      <c r="I158" s="12"/>
      <c r="J158" s="12"/>
    </row>
    <row r="159">
      <c r="A159">
        <f>IFERROR(__xludf.DUMMYFUNCTION("""COMPUTED_VALUE"""),231.0)</f>
        <v>231</v>
      </c>
      <c r="B159" s="12"/>
      <c r="C159" s="12"/>
      <c r="D159" s="12"/>
      <c r="E159" s="12"/>
      <c r="F159" s="12"/>
      <c r="G159" s="12"/>
      <c r="H159" s="12"/>
      <c r="I159" s="12"/>
      <c r="J159" s="12"/>
    </row>
    <row r="160">
      <c r="A160">
        <f>IFERROR(__xludf.DUMMYFUNCTION("""COMPUTED_VALUE"""),233.0)</f>
        <v>233</v>
      </c>
      <c r="B160" s="12"/>
      <c r="C160" s="12"/>
      <c r="D160" s="12"/>
      <c r="E160" s="12"/>
      <c r="F160" s="12"/>
      <c r="G160" s="12"/>
      <c r="H160" s="12"/>
      <c r="I160" s="12"/>
      <c r="J160" s="12"/>
    </row>
    <row r="161">
      <c r="A161">
        <f>IFERROR(__xludf.DUMMYFUNCTION("""COMPUTED_VALUE"""),234.0)</f>
        <v>234</v>
      </c>
      <c r="B161" s="12"/>
      <c r="C161" s="12"/>
      <c r="D161" s="12"/>
      <c r="E161" s="12"/>
      <c r="F161" s="12"/>
      <c r="G161" s="12"/>
      <c r="H161" s="12"/>
      <c r="I161" s="12"/>
      <c r="J161" s="12"/>
    </row>
    <row r="162">
      <c r="A162">
        <f>IFERROR(__xludf.DUMMYFUNCTION("""COMPUTED_VALUE"""),235.0)</f>
        <v>235</v>
      </c>
      <c r="B162" s="12"/>
      <c r="C162" s="12"/>
      <c r="D162" s="12"/>
      <c r="E162" s="12"/>
      <c r="F162" s="12"/>
      <c r="G162" s="12"/>
      <c r="H162" s="12"/>
      <c r="I162" s="12"/>
      <c r="J162" s="12"/>
    </row>
    <row r="163">
      <c r="A163">
        <f>IFERROR(__xludf.DUMMYFUNCTION("""COMPUTED_VALUE"""),236.0)</f>
        <v>236</v>
      </c>
      <c r="B163" s="12"/>
      <c r="C163" s="12"/>
      <c r="D163" s="12"/>
      <c r="E163" s="12"/>
      <c r="F163" s="12"/>
      <c r="G163" s="12"/>
      <c r="H163" s="12"/>
      <c r="I163" s="12"/>
      <c r="J163" s="12"/>
    </row>
    <row r="164">
      <c r="A164">
        <f>IFERROR(__xludf.DUMMYFUNCTION("""COMPUTED_VALUE"""),237.0)</f>
        <v>237</v>
      </c>
      <c r="B164" s="12"/>
      <c r="C164" s="12"/>
      <c r="D164" s="12"/>
      <c r="E164" s="12"/>
      <c r="F164" s="12"/>
      <c r="G164" s="12"/>
      <c r="H164" s="12"/>
      <c r="I164" s="12"/>
      <c r="J164" s="12"/>
    </row>
    <row r="165">
      <c r="A165">
        <f>IFERROR(__xludf.DUMMYFUNCTION("""COMPUTED_VALUE"""),238.0)</f>
        <v>238</v>
      </c>
      <c r="B165" s="12"/>
      <c r="C165" s="12"/>
      <c r="D165" s="12"/>
      <c r="E165" s="12"/>
      <c r="F165" s="12"/>
      <c r="G165" s="12"/>
      <c r="H165" s="12"/>
      <c r="I165" s="12"/>
      <c r="J165" s="12"/>
    </row>
    <row r="166">
      <c r="A166">
        <f>IFERROR(__xludf.DUMMYFUNCTION("""COMPUTED_VALUE"""),239.0)</f>
        <v>239</v>
      </c>
      <c r="B166" s="12"/>
      <c r="C166" s="12"/>
      <c r="D166" s="12"/>
      <c r="E166" s="12"/>
      <c r="F166" s="12"/>
      <c r="G166" s="12"/>
      <c r="H166" s="12"/>
      <c r="I166" s="12"/>
      <c r="J166" s="12"/>
    </row>
    <row r="167">
      <c r="A167">
        <f>IFERROR(__xludf.DUMMYFUNCTION("""COMPUTED_VALUE"""),241.0)</f>
        <v>241</v>
      </c>
      <c r="B167" s="12"/>
      <c r="C167" s="12"/>
      <c r="D167" s="12"/>
      <c r="E167" s="12"/>
      <c r="F167" s="12"/>
      <c r="G167" s="12"/>
      <c r="H167" s="12"/>
      <c r="I167" s="12"/>
      <c r="J167" s="12"/>
    </row>
    <row r="168">
      <c r="A168">
        <f>IFERROR(__xludf.DUMMYFUNCTION("""COMPUTED_VALUE"""),242.0)</f>
        <v>242</v>
      </c>
      <c r="B168" s="12"/>
      <c r="C168" s="12"/>
      <c r="D168" s="12"/>
      <c r="E168" s="12"/>
      <c r="F168" s="12"/>
      <c r="G168" s="12"/>
      <c r="H168" s="12"/>
      <c r="I168" s="12"/>
      <c r="J168" s="12"/>
    </row>
    <row r="169">
      <c r="A169">
        <f>IFERROR(__xludf.DUMMYFUNCTION("""COMPUTED_VALUE"""),245.0)</f>
        <v>245</v>
      </c>
      <c r="B169" s="12"/>
      <c r="C169" s="12"/>
      <c r="D169" s="12"/>
      <c r="E169" s="12"/>
      <c r="F169" s="12"/>
      <c r="G169" s="12"/>
      <c r="H169" s="12"/>
      <c r="I169" s="12"/>
      <c r="J169" s="12"/>
    </row>
    <row r="170">
      <c r="A170">
        <f>IFERROR(__xludf.DUMMYFUNCTION("""COMPUTED_VALUE"""),246.0)</f>
        <v>246</v>
      </c>
      <c r="B170" s="12"/>
      <c r="C170" s="12"/>
      <c r="D170" s="12"/>
      <c r="E170" s="12"/>
      <c r="F170" s="12"/>
      <c r="G170" s="12"/>
      <c r="H170" s="12"/>
      <c r="I170" s="12"/>
      <c r="J170" s="12"/>
    </row>
    <row r="171">
      <c r="A171">
        <f>IFERROR(__xludf.DUMMYFUNCTION("""COMPUTED_VALUE"""),248.0)</f>
        <v>248</v>
      </c>
      <c r="B171" s="12"/>
      <c r="C171" s="12"/>
      <c r="D171" s="12"/>
      <c r="E171" s="12"/>
      <c r="F171" s="12"/>
      <c r="G171" s="12"/>
      <c r="H171" s="12"/>
      <c r="I171" s="12"/>
      <c r="J171" s="12"/>
    </row>
    <row r="172">
      <c r="A172">
        <f>IFERROR(__xludf.DUMMYFUNCTION("""COMPUTED_VALUE"""),249.0)</f>
        <v>249</v>
      </c>
      <c r="B172" s="12"/>
      <c r="C172" s="12"/>
      <c r="D172" s="12"/>
      <c r="E172" s="12"/>
      <c r="F172" s="12"/>
      <c r="G172" s="12"/>
      <c r="H172" s="12"/>
      <c r="I172" s="12"/>
      <c r="J172" s="12"/>
    </row>
    <row r="173">
      <c r="A173">
        <f>IFERROR(__xludf.DUMMYFUNCTION("""COMPUTED_VALUE"""),250.0)</f>
        <v>250</v>
      </c>
      <c r="B173" s="12" t="str">
        <f>IFERROR(__xludf.DUMMYFUNCTION("""COMPUTED_VALUE"""),"I wouldn't.")</f>
        <v>I wouldn't.</v>
      </c>
      <c r="C173" s="12"/>
      <c r="D173" s="12"/>
      <c r="E173" s="12"/>
      <c r="F173" s="12"/>
      <c r="G173" s="12"/>
      <c r="H173" s="12"/>
      <c r="I173" s="12"/>
      <c r="J173" s="12"/>
    </row>
    <row r="174">
      <c r="A174">
        <f>IFERROR(__xludf.DUMMYFUNCTION("""COMPUTED_VALUE"""),251.0)</f>
        <v>251</v>
      </c>
      <c r="B174" s="12" t="str">
        <f>IFERROR(__xludf.DUMMYFUNCTION("""COMPUTED_VALUE"""),"Yes.")</f>
        <v>Yes.</v>
      </c>
      <c r="C174" s="12"/>
      <c r="D174" s="12"/>
      <c r="E174" s="12"/>
      <c r="F174" s="12"/>
      <c r="G174" s="12"/>
      <c r="H174" s="12"/>
      <c r="I174" s="12"/>
      <c r="J174" s="12"/>
    </row>
    <row r="175">
      <c r="A175">
        <f>IFERROR(__xludf.DUMMYFUNCTION("""COMPUTED_VALUE"""),253.0)</f>
        <v>253</v>
      </c>
      <c r="B175" s="12"/>
      <c r="C175" s="12"/>
      <c r="D175" s="12"/>
      <c r="E175" s="12"/>
      <c r="F175" s="12"/>
      <c r="G175" s="12"/>
      <c r="H175" s="12"/>
      <c r="I175" s="12"/>
      <c r="J175" s="12"/>
    </row>
    <row r="176">
      <c r="A176">
        <f>IFERROR(__xludf.DUMMYFUNCTION("""COMPUTED_VALUE"""),255.0)</f>
        <v>255</v>
      </c>
      <c r="B176" s="12"/>
      <c r="C176" s="12"/>
      <c r="D176" s="12"/>
      <c r="E176" s="12"/>
      <c r="F176" s="12"/>
      <c r="G176" s="12"/>
      <c r="H176" s="12"/>
      <c r="I176" s="12"/>
      <c r="J176" s="12"/>
    </row>
    <row r="177">
      <c r="A177">
        <f>IFERROR(__xludf.DUMMYFUNCTION("""COMPUTED_VALUE"""),256.0)</f>
        <v>256</v>
      </c>
      <c r="B177" s="12"/>
      <c r="C177" s="12"/>
      <c r="D177" s="12"/>
      <c r="E177" s="12"/>
      <c r="F177" s="12"/>
      <c r="G177" s="12"/>
      <c r="H177" s="12"/>
      <c r="I177" s="12"/>
      <c r="J177" s="12"/>
    </row>
    <row r="178">
      <c r="A178">
        <f>IFERROR(__xludf.DUMMYFUNCTION("""COMPUTED_VALUE"""),257.0)</f>
        <v>257</v>
      </c>
      <c r="B178" s="12"/>
      <c r="C178" s="12"/>
      <c r="D178" s="12"/>
      <c r="E178" s="12"/>
      <c r="F178" s="12"/>
      <c r="G178" s="12"/>
      <c r="H178" s="12"/>
      <c r="I178" s="12"/>
      <c r="J178" s="12"/>
    </row>
    <row r="179">
      <c r="A179">
        <f>IFERROR(__xludf.DUMMYFUNCTION("""COMPUTED_VALUE"""),258.0)</f>
        <v>258</v>
      </c>
      <c r="B179" s="12"/>
      <c r="C179" s="12"/>
      <c r="D179" s="12"/>
      <c r="E179" s="12"/>
      <c r="F179" s="12"/>
      <c r="G179" s="12"/>
      <c r="H179" s="12"/>
      <c r="I179" s="12"/>
      <c r="J179" s="12"/>
    </row>
    <row r="180">
      <c r="A180">
        <f>IFERROR(__xludf.DUMMYFUNCTION("""COMPUTED_VALUE"""),259.0)</f>
        <v>259</v>
      </c>
      <c r="B180" s="12"/>
      <c r="C180" s="12"/>
      <c r="D180" s="12"/>
      <c r="E180" s="12"/>
      <c r="F180" s="12"/>
      <c r="G180" s="12"/>
      <c r="H180" s="12"/>
      <c r="I180" s="12"/>
      <c r="J180" s="12"/>
    </row>
    <row r="181">
      <c r="A181">
        <f>IFERROR(__xludf.DUMMYFUNCTION("""COMPUTED_VALUE"""),260.0)</f>
        <v>260</v>
      </c>
      <c r="B181" s="12"/>
      <c r="C181" s="12"/>
      <c r="D181" s="12"/>
      <c r="E181" s="12"/>
      <c r="F181" s="12"/>
      <c r="G181" s="12"/>
      <c r="H181" s="12"/>
      <c r="I181" s="12"/>
      <c r="J181" s="12"/>
    </row>
    <row r="182">
      <c r="A182">
        <f>IFERROR(__xludf.DUMMYFUNCTION("""COMPUTED_VALUE"""),261.0)</f>
        <v>261</v>
      </c>
      <c r="B182" s="12"/>
      <c r="C182" s="12"/>
      <c r="D182" s="12"/>
      <c r="E182" s="12"/>
      <c r="F182" s="12"/>
      <c r="G182" s="12"/>
      <c r="H182" s="12"/>
      <c r="I182" s="12"/>
      <c r="J182" s="12"/>
    </row>
    <row r="183">
      <c r="A183">
        <f>IFERROR(__xludf.DUMMYFUNCTION("""COMPUTED_VALUE"""),262.0)</f>
        <v>262</v>
      </c>
      <c r="B183" s="12"/>
      <c r="C183" s="12"/>
      <c r="D183" s="12"/>
      <c r="E183" s="12"/>
      <c r="F183" s="12"/>
      <c r="G183" s="12"/>
      <c r="H183" s="12"/>
      <c r="I183" s="12"/>
      <c r="J183" s="12"/>
    </row>
    <row r="184">
      <c r="A184">
        <f>IFERROR(__xludf.DUMMYFUNCTION("""COMPUTED_VALUE"""),263.0)</f>
        <v>263</v>
      </c>
      <c r="B184" s="12"/>
      <c r="C184" s="12"/>
      <c r="D184" s="12"/>
      <c r="E184" s="12"/>
      <c r="F184" s="12"/>
      <c r="G184" s="12"/>
      <c r="H184" s="12"/>
      <c r="I184" s="12"/>
      <c r="J184" s="12"/>
    </row>
    <row r="185">
      <c r="A185">
        <f>IFERROR(__xludf.DUMMYFUNCTION("""COMPUTED_VALUE"""),264.0)</f>
        <v>264</v>
      </c>
      <c r="B185" s="12"/>
      <c r="C185" s="12"/>
      <c r="D185" s="12"/>
      <c r="E185" s="12"/>
      <c r="F185" s="12"/>
      <c r="G185" s="12"/>
      <c r="H185" s="12"/>
      <c r="I185" s="12"/>
      <c r="J185" s="12"/>
    </row>
    <row r="186">
      <c r="A186">
        <f>IFERROR(__xludf.DUMMYFUNCTION("""COMPUTED_VALUE"""),266.0)</f>
        <v>266</v>
      </c>
      <c r="B186" s="12"/>
      <c r="C186" s="12"/>
      <c r="D186" s="12"/>
      <c r="E186" s="12"/>
      <c r="F186" s="12"/>
      <c r="G186" s="12"/>
      <c r="H186" s="12"/>
      <c r="I186" s="12"/>
      <c r="J186" s="12"/>
    </row>
    <row r="187">
      <c r="A187">
        <f>IFERROR(__xludf.DUMMYFUNCTION("""COMPUTED_VALUE"""),268.0)</f>
        <v>268</v>
      </c>
      <c r="B187" s="12"/>
      <c r="C187" s="12"/>
      <c r="D187" s="12"/>
      <c r="E187" s="12"/>
      <c r="F187" s="12"/>
      <c r="G187" s="12"/>
      <c r="H187" s="12"/>
      <c r="I187" s="12"/>
      <c r="J187" s="12"/>
    </row>
    <row r="188">
      <c r="A188">
        <f>IFERROR(__xludf.DUMMYFUNCTION("""COMPUTED_VALUE"""),270.0)</f>
        <v>270</v>
      </c>
      <c r="B188" s="12"/>
      <c r="C188" s="12"/>
      <c r="D188" s="12"/>
      <c r="E188" s="12"/>
      <c r="F188" s="12"/>
      <c r="G188" s="12"/>
      <c r="H188" s="12"/>
      <c r="I188" s="12"/>
      <c r="J188" s="12"/>
    </row>
    <row r="189">
      <c r="A189">
        <f>IFERROR(__xludf.DUMMYFUNCTION("""COMPUTED_VALUE"""),271.0)</f>
        <v>271</v>
      </c>
      <c r="B189" s="12"/>
      <c r="C189" s="12"/>
      <c r="D189" s="12"/>
      <c r="E189" s="12"/>
      <c r="F189" s="12"/>
      <c r="G189" s="12"/>
      <c r="H189" s="12"/>
      <c r="I189" s="12"/>
      <c r="J189" s="12"/>
    </row>
    <row r="190">
      <c r="A190">
        <f>IFERROR(__xludf.DUMMYFUNCTION("""COMPUTED_VALUE"""),273.0)</f>
        <v>273</v>
      </c>
      <c r="B190" s="12"/>
      <c r="C190" s="12"/>
      <c r="D190" s="12"/>
      <c r="E190" s="12"/>
      <c r="F190" s="12"/>
      <c r="G190" s="12"/>
      <c r="H190" s="12"/>
      <c r="I190" s="12"/>
      <c r="J190" s="12"/>
    </row>
    <row r="191">
      <c r="A191">
        <f>IFERROR(__xludf.DUMMYFUNCTION("""COMPUTED_VALUE"""),275.0)</f>
        <v>275</v>
      </c>
      <c r="B191" s="12"/>
      <c r="C191" s="12"/>
      <c r="D191" s="12"/>
      <c r="E191" s="12"/>
      <c r="F191" s="12"/>
      <c r="G191" s="12"/>
      <c r="H191" s="12"/>
      <c r="I191" s="12"/>
      <c r="J191" s="12"/>
    </row>
    <row r="192">
      <c r="A192">
        <f>IFERROR(__xludf.DUMMYFUNCTION("""COMPUTED_VALUE"""),276.0)</f>
        <v>276</v>
      </c>
      <c r="B192" s="12"/>
      <c r="C192" s="12"/>
      <c r="D192" s="12"/>
      <c r="E192" s="12"/>
      <c r="F192" s="12"/>
      <c r="G192" s="12"/>
      <c r="H192" s="12"/>
      <c r="I192" s="12"/>
      <c r="J192" s="12"/>
    </row>
    <row r="193">
      <c r="A193">
        <f>IFERROR(__xludf.DUMMYFUNCTION("""COMPUTED_VALUE"""),277.0)</f>
        <v>277</v>
      </c>
      <c r="B193" s="12"/>
      <c r="C193" s="12"/>
      <c r="D193" s="12"/>
      <c r="E193" s="12"/>
      <c r="F193" s="12"/>
      <c r="G193" s="12"/>
      <c r="H193" s="12"/>
      <c r="I193" s="12"/>
      <c r="J193" s="12"/>
    </row>
    <row r="194">
      <c r="A194">
        <f>IFERROR(__xludf.DUMMYFUNCTION("""COMPUTED_VALUE"""),278.0)</f>
        <v>278</v>
      </c>
      <c r="B194" s="12"/>
      <c r="C194" s="12"/>
      <c r="D194" s="12"/>
      <c r="E194" s="12"/>
      <c r="F194" s="12"/>
      <c r="G194" s="12"/>
      <c r="H194" s="12"/>
      <c r="I194" s="12"/>
      <c r="J194" s="12"/>
    </row>
    <row r="195">
      <c r="A195">
        <f>IFERROR(__xludf.DUMMYFUNCTION("""COMPUTED_VALUE"""),279.0)</f>
        <v>279</v>
      </c>
      <c r="B195" s="12"/>
      <c r="C195" s="12"/>
      <c r="D195" s="12"/>
      <c r="E195" s="12"/>
      <c r="F195" s="12"/>
      <c r="G195" s="12"/>
      <c r="H195" s="12"/>
      <c r="I195" s="12"/>
      <c r="J195" s="12"/>
    </row>
    <row r="196">
      <c r="A196">
        <f>IFERROR(__xludf.DUMMYFUNCTION("""COMPUTED_VALUE"""),284.0)</f>
        <v>284</v>
      </c>
      <c r="B196" s="12"/>
      <c r="C196" s="12"/>
      <c r="D196" s="12"/>
      <c r="E196" s="12"/>
      <c r="F196" s="12"/>
      <c r="G196" s="12"/>
      <c r="H196" s="12"/>
      <c r="I196" s="12"/>
      <c r="J196" s="12"/>
    </row>
    <row r="197">
      <c r="A197">
        <f>IFERROR(__xludf.DUMMYFUNCTION("""COMPUTED_VALUE"""),285.0)</f>
        <v>285</v>
      </c>
      <c r="B197" s="12"/>
      <c r="C197" s="12"/>
      <c r="D197" s="12"/>
      <c r="E197" s="12"/>
      <c r="F197" s="12"/>
      <c r="G197" s="12"/>
      <c r="H197" s="12"/>
      <c r="I197" s="12"/>
      <c r="J197" s="12"/>
    </row>
    <row r="198">
      <c r="A198">
        <f>IFERROR(__xludf.DUMMYFUNCTION("""COMPUTED_VALUE"""),288.0)</f>
        <v>288</v>
      </c>
      <c r="B198" s="12"/>
      <c r="C198" s="12"/>
      <c r="D198" s="12"/>
      <c r="E198" s="12"/>
      <c r="F198" s="12"/>
      <c r="G198" s="12"/>
      <c r="H198" s="12"/>
      <c r="I198" s="12"/>
      <c r="J198" s="12"/>
    </row>
    <row r="199">
      <c r="A199">
        <f>IFERROR(__xludf.DUMMYFUNCTION("""COMPUTED_VALUE"""),289.0)</f>
        <v>289</v>
      </c>
      <c r="B199" s="12"/>
      <c r="C199" s="12"/>
      <c r="D199" s="12"/>
      <c r="E199" s="12"/>
      <c r="F199" s="12"/>
      <c r="G199" s="12"/>
      <c r="H199" s="12"/>
      <c r="I199" s="12"/>
      <c r="J199" s="12"/>
    </row>
    <row r="200">
      <c r="A200">
        <f>IFERROR(__xludf.DUMMYFUNCTION("""COMPUTED_VALUE"""),291.0)</f>
        <v>291</v>
      </c>
      <c r="B200" s="12"/>
      <c r="C200" s="12"/>
      <c r="D200" s="12"/>
      <c r="E200" s="12"/>
      <c r="F200" s="12"/>
      <c r="G200" s="12"/>
      <c r="H200" s="12"/>
      <c r="I200" s="12"/>
      <c r="J200" s="12"/>
    </row>
    <row r="201">
      <c r="A201">
        <f>IFERROR(__xludf.DUMMYFUNCTION("""COMPUTED_VALUE"""),292.0)</f>
        <v>292</v>
      </c>
      <c r="B201" s="12"/>
      <c r="C201" s="12"/>
      <c r="D201" s="12"/>
      <c r="E201" s="12"/>
      <c r="F201" s="12"/>
      <c r="G201" s="12"/>
      <c r="H201" s="12"/>
      <c r="I201" s="12"/>
      <c r="J201" s="12"/>
    </row>
    <row r="202">
      <c r="A202">
        <f>IFERROR(__xludf.DUMMYFUNCTION("""COMPUTED_VALUE"""),295.0)</f>
        <v>295</v>
      </c>
      <c r="B202" s="12"/>
      <c r="C202" s="12"/>
      <c r="D202" s="12"/>
      <c r="E202" s="12"/>
      <c r="F202" s="12"/>
      <c r="G202" s="12"/>
      <c r="H202" s="12"/>
      <c r="I202" s="12"/>
      <c r="J202" s="12"/>
    </row>
    <row r="203">
      <c r="A203">
        <f>IFERROR(__xludf.DUMMYFUNCTION("""COMPUTED_VALUE"""),296.0)</f>
        <v>296</v>
      </c>
      <c r="B203" s="12"/>
      <c r="C203" s="12"/>
      <c r="D203" s="12"/>
      <c r="E203" s="12"/>
      <c r="F203" s="12"/>
      <c r="G203" s="12"/>
      <c r="H203" s="12"/>
      <c r="I203" s="12"/>
      <c r="J203" s="12"/>
    </row>
    <row r="204">
      <c r="A204">
        <f>IFERROR(__xludf.DUMMYFUNCTION("""COMPUTED_VALUE"""),297.0)</f>
        <v>297</v>
      </c>
      <c r="B204" s="12"/>
      <c r="C204" s="12"/>
      <c r="D204" s="12"/>
      <c r="E204" s="12"/>
      <c r="F204" s="12"/>
      <c r="G204" s="12"/>
      <c r="H204" s="12"/>
      <c r="I204" s="12"/>
      <c r="J204" s="12"/>
    </row>
    <row r="205">
      <c r="A205">
        <f>IFERROR(__xludf.DUMMYFUNCTION("""COMPUTED_VALUE"""),298.0)</f>
        <v>298</v>
      </c>
      <c r="B205" s="12"/>
      <c r="C205" s="12"/>
      <c r="D205" s="12"/>
      <c r="E205" s="12"/>
      <c r="F205" s="12"/>
      <c r="G205" s="12"/>
      <c r="H205" s="12"/>
      <c r="I205" s="12"/>
      <c r="J205" s="12"/>
    </row>
    <row r="206">
      <c r="A206">
        <f>IFERROR(__xludf.DUMMYFUNCTION("""COMPUTED_VALUE"""),299.0)</f>
        <v>299</v>
      </c>
      <c r="B206" s="12"/>
      <c r="C206" s="12"/>
      <c r="D206" s="12"/>
      <c r="E206" s="12"/>
      <c r="F206" s="12"/>
      <c r="G206" s="12"/>
      <c r="H206" s="12"/>
      <c r="I206" s="12"/>
      <c r="J206" s="12"/>
    </row>
    <row r="207">
      <c r="A207">
        <f>IFERROR(__xludf.DUMMYFUNCTION("""COMPUTED_VALUE"""),300.0)</f>
        <v>300</v>
      </c>
      <c r="B207" s="12"/>
      <c r="C207" s="12"/>
      <c r="D207" s="12"/>
      <c r="E207" s="12"/>
      <c r="F207" s="12"/>
      <c r="G207" s="12"/>
      <c r="H207" s="12"/>
      <c r="I207" s="12"/>
      <c r="J207" s="12"/>
    </row>
    <row r="208">
      <c r="A208">
        <f>IFERROR(__xludf.DUMMYFUNCTION("""COMPUTED_VALUE"""),301.0)</f>
        <v>301</v>
      </c>
      <c r="B208" s="12"/>
      <c r="C208" s="12"/>
      <c r="D208" s="12"/>
      <c r="E208" s="12"/>
      <c r="F208" s="12"/>
      <c r="G208" s="12"/>
      <c r="H208" s="12"/>
      <c r="I208" s="12"/>
      <c r="J208" s="12"/>
    </row>
    <row r="209">
      <c r="A209">
        <f>IFERROR(__xludf.DUMMYFUNCTION("""COMPUTED_VALUE"""),302.0)</f>
        <v>302</v>
      </c>
      <c r="B209" s="12"/>
      <c r="C209" s="12"/>
      <c r="D209" s="12"/>
      <c r="E209" s="12"/>
      <c r="F209" s="12"/>
      <c r="G209" s="12"/>
      <c r="H209" s="12"/>
      <c r="I209" s="12"/>
      <c r="J209" s="12"/>
    </row>
    <row r="210">
      <c r="A210">
        <f>IFERROR(__xludf.DUMMYFUNCTION("""COMPUTED_VALUE"""),303.0)</f>
        <v>303</v>
      </c>
      <c r="B210" s="12"/>
      <c r="C210" s="12"/>
      <c r="D210" s="12"/>
      <c r="E210" s="12"/>
      <c r="F210" s="12"/>
      <c r="G210" s="12"/>
      <c r="H210" s="12"/>
      <c r="I210" s="12"/>
      <c r="J210" s="12"/>
    </row>
    <row r="211">
      <c r="A211">
        <f>IFERROR(__xludf.DUMMYFUNCTION("""COMPUTED_VALUE"""),305.0)</f>
        <v>305</v>
      </c>
      <c r="B211" s="12"/>
      <c r="C211" s="12"/>
      <c r="D211" s="12"/>
      <c r="E211" s="12"/>
      <c r="F211" s="12"/>
      <c r="G211" s="12"/>
      <c r="H211" s="12"/>
      <c r="I211" s="12"/>
      <c r="J211" s="12"/>
    </row>
    <row r="212">
      <c r="A212">
        <f>IFERROR(__xludf.DUMMYFUNCTION("""COMPUTED_VALUE"""),306.0)</f>
        <v>306</v>
      </c>
      <c r="B212" s="12"/>
      <c r="C212" s="12"/>
      <c r="D212" s="12"/>
      <c r="E212" s="12"/>
      <c r="F212" s="12"/>
      <c r="G212" s="12"/>
      <c r="H212" s="12"/>
      <c r="I212" s="12"/>
      <c r="J212" s="12"/>
    </row>
    <row r="213">
      <c r="A213">
        <f>IFERROR(__xludf.DUMMYFUNCTION("""COMPUTED_VALUE"""),307.0)</f>
        <v>307</v>
      </c>
      <c r="B213" s="12"/>
      <c r="C213" s="12"/>
      <c r="D213" s="12"/>
      <c r="E213" s="12"/>
      <c r="F213" s="12"/>
      <c r="G213" s="12"/>
      <c r="H213" s="12"/>
      <c r="I213" s="12"/>
      <c r="J213" s="12"/>
    </row>
    <row r="214">
      <c r="A214">
        <f>IFERROR(__xludf.DUMMYFUNCTION("""COMPUTED_VALUE"""),308.0)</f>
        <v>308</v>
      </c>
      <c r="B214" s="12"/>
      <c r="C214" s="12"/>
      <c r="D214" s="12"/>
      <c r="E214" s="12"/>
      <c r="F214" s="12"/>
      <c r="G214" s="12"/>
      <c r="H214" s="12"/>
      <c r="I214" s="12"/>
      <c r="J214" s="12"/>
    </row>
    <row r="215">
      <c r="A215">
        <f>IFERROR(__xludf.DUMMYFUNCTION("""COMPUTED_VALUE"""),309.0)</f>
        <v>309</v>
      </c>
      <c r="B215" s="12"/>
      <c r="C215" s="12"/>
      <c r="D215" s="12"/>
      <c r="E215" s="12"/>
      <c r="F215" s="12"/>
      <c r="G215" s="12"/>
      <c r="H215" s="12"/>
      <c r="I215" s="12"/>
      <c r="J215" s="12"/>
    </row>
    <row r="216">
      <c r="A216">
        <f>IFERROR(__xludf.DUMMYFUNCTION("""COMPUTED_VALUE"""),310.0)</f>
        <v>310</v>
      </c>
      <c r="B216" s="12"/>
      <c r="C216" s="12"/>
      <c r="D216" s="12"/>
      <c r="E216" s="12"/>
      <c r="F216" s="12"/>
      <c r="G216" s="12"/>
      <c r="H216" s="12"/>
      <c r="I216" s="12"/>
      <c r="J216" s="12"/>
    </row>
    <row r="217">
      <c r="A217">
        <f>IFERROR(__xludf.DUMMYFUNCTION("""COMPUTED_VALUE"""),311.0)</f>
        <v>311</v>
      </c>
      <c r="B217" s="12"/>
      <c r="C217" s="12"/>
      <c r="D217" s="12"/>
      <c r="E217" s="12"/>
      <c r="F217" s="12"/>
      <c r="G217" s="12"/>
      <c r="H217" s="12"/>
      <c r="I217" s="12"/>
      <c r="J217" s="12"/>
    </row>
    <row r="218">
      <c r="A218">
        <f>IFERROR(__xludf.DUMMYFUNCTION("""COMPUTED_VALUE"""),312.0)</f>
        <v>312</v>
      </c>
      <c r="B218" s="12"/>
      <c r="C218" s="12"/>
      <c r="D218" s="12"/>
      <c r="E218" s="12"/>
      <c r="F218" s="12"/>
      <c r="G218" s="12"/>
      <c r="H218" s="12"/>
      <c r="I218" s="12"/>
      <c r="J218" s="12"/>
    </row>
    <row r="219">
      <c r="A219">
        <f>IFERROR(__xludf.DUMMYFUNCTION("""COMPUTED_VALUE"""),313.0)</f>
        <v>313</v>
      </c>
      <c r="B219" s="12"/>
      <c r="C219" s="12"/>
      <c r="D219" s="12"/>
      <c r="E219" s="12"/>
      <c r="F219" s="12"/>
      <c r="G219" s="12"/>
      <c r="H219" s="12"/>
      <c r="I219" s="12"/>
      <c r="J219" s="12"/>
    </row>
    <row r="220">
      <c r="A220">
        <f>IFERROR(__xludf.DUMMYFUNCTION("""COMPUTED_VALUE"""),314.0)</f>
        <v>314</v>
      </c>
      <c r="B220" s="12"/>
      <c r="C220" s="12"/>
      <c r="D220" s="12"/>
      <c r="E220" s="12"/>
      <c r="F220" s="12"/>
      <c r="G220" s="12"/>
      <c r="H220" s="12"/>
      <c r="I220" s="12"/>
      <c r="J220" s="12"/>
    </row>
    <row r="221">
      <c r="A221">
        <f>IFERROR(__xludf.DUMMYFUNCTION("""COMPUTED_VALUE"""),315.0)</f>
        <v>315</v>
      </c>
      <c r="B221" s="12"/>
      <c r="C221" s="12"/>
      <c r="D221" s="12"/>
      <c r="E221" s="12"/>
      <c r="F221" s="12"/>
      <c r="G221" s="12"/>
      <c r="H221" s="12"/>
      <c r="I221" s="12"/>
      <c r="J221" s="12"/>
    </row>
    <row r="222">
      <c r="A222">
        <f>IFERROR(__xludf.DUMMYFUNCTION("""COMPUTED_VALUE"""),317.0)</f>
        <v>317</v>
      </c>
      <c r="B222" s="12"/>
      <c r="C222" s="12"/>
      <c r="D222" s="12"/>
      <c r="E222" s="12"/>
      <c r="F222" s="12"/>
      <c r="G222" s="12"/>
      <c r="H222" s="12"/>
      <c r="I222" s="12"/>
      <c r="J222" s="12"/>
    </row>
    <row r="223">
      <c r="A223">
        <f>IFERROR(__xludf.DUMMYFUNCTION("""COMPUTED_VALUE"""),318.0)</f>
        <v>318</v>
      </c>
      <c r="B223" s="12"/>
      <c r="C223" s="12"/>
      <c r="D223" s="12"/>
      <c r="E223" s="12"/>
      <c r="F223" s="12"/>
      <c r="G223" s="12"/>
      <c r="H223" s="12"/>
      <c r="I223" s="12"/>
      <c r="J223" s="12"/>
    </row>
    <row r="224">
      <c r="A224">
        <f>IFERROR(__xludf.DUMMYFUNCTION("""COMPUTED_VALUE"""),319.0)</f>
        <v>319</v>
      </c>
      <c r="B224" s="12"/>
      <c r="C224" s="12"/>
      <c r="D224" s="12"/>
      <c r="E224" s="12"/>
      <c r="F224" s="12"/>
      <c r="G224" s="12"/>
      <c r="H224" s="12"/>
      <c r="I224" s="12"/>
      <c r="J224" s="12"/>
    </row>
    <row r="225">
      <c r="A225">
        <f>IFERROR(__xludf.DUMMYFUNCTION("""COMPUTED_VALUE"""),321.0)</f>
        <v>321</v>
      </c>
      <c r="B225" s="12"/>
      <c r="C225" s="12"/>
      <c r="D225" s="12"/>
      <c r="E225" s="12"/>
      <c r="F225" s="12"/>
      <c r="G225" s="12"/>
      <c r="H225" s="12"/>
      <c r="I225" s="12"/>
      <c r="J225" s="12"/>
    </row>
    <row r="226">
      <c r="A226">
        <f>IFERROR(__xludf.DUMMYFUNCTION("""COMPUTED_VALUE"""),322.0)</f>
        <v>322</v>
      </c>
      <c r="B226" s="12"/>
      <c r="C226" s="12"/>
      <c r="D226" s="12"/>
      <c r="E226" s="12"/>
      <c r="F226" s="12"/>
      <c r="G226" s="12"/>
      <c r="H226" s="12"/>
      <c r="I226" s="12"/>
      <c r="J226" s="12"/>
    </row>
    <row r="227">
      <c r="A227">
        <f>IFERROR(__xludf.DUMMYFUNCTION("""COMPUTED_VALUE"""),323.0)</f>
        <v>323</v>
      </c>
      <c r="B227" s="12"/>
      <c r="C227" s="12"/>
      <c r="D227" s="12"/>
      <c r="E227" s="12"/>
      <c r="F227" s="12"/>
      <c r="G227" s="12"/>
      <c r="H227" s="12"/>
      <c r="I227" s="12"/>
      <c r="J227" s="12"/>
    </row>
    <row r="228">
      <c r="A228">
        <f>IFERROR(__xludf.DUMMYFUNCTION("""COMPUTED_VALUE"""),325.0)</f>
        <v>325</v>
      </c>
      <c r="B228" s="12"/>
      <c r="C228" s="12"/>
      <c r="D228" s="12"/>
      <c r="E228" s="12"/>
      <c r="F228" s="12"/>
      <c r="G228" s="12"/>
      <c r="H228" s="12"/>
      <c r="I228" s="12"/>
      <c r="J228" s="12"/>
    </row>
    <row r="229">
      <c r="A229">
        <f>IFERROR(__xludf.DUMMYFUNCTION("""COMPUTED_VALUE"""),326.0)</f>
        <v>326</v>
      </c>
      <c r="B229" s="12"/>
      <c r="C229" s="12"/>
      <c r="D229" s="12"/>
      <c r="E229" s="12"/>
      <c r="F229" s="12"/>
      <c r="G229" s="12"/>
      <c r="H229" s="12"/>
      <c r="I229" s="12"/>
      <c r="J229" s="12"/>
    </row>
    <row r="230">
      <c r="A230">
        <f>IFERROR(__xludf.DUMMYFUNCTION("""COMPUTED_VALUE"""),327.0)</f>
        <v>327</v>
      </c>
      <c r="B230" s="12"/>
      <c r="C230" s="12"/>
      <c r="D230" s="12"/>
      <c r="E230" s="12"/>
      <c r="F230" s="12"/>
      <c r="G230" s="12"/>
      <c r="H230" s="12"/>
      <c r="I230" s="12"/>
      <c r="J230" s="12"/>
    </row>
    <row r="231">
      <c r="A231">
        <f>IFERROR(__xludf.DUMMYFUNCTION("""COMPUTED_VALUE"""),328.0)</f>
        <v>328</v>
      </c>
      <c r="B231" s="12"/>
      <c r="C231" s="12"/>
      <c r="D231" s="12"/>
      <c r="E231" s="12"/>
      <c r="F231" s="12"/>
      <c r="G231" s="12"/>
      <c r="H231" s="12"/>
      <c r="I231" s="12"/>
      <c r="J231" s="12"/>
    </row>
    <row r="232">
      <c r="A232">
        <f>IFERROR(__xludf.DUMMYFUNCTION("""COMPUTED_VALUE"""),329.0)</f>
        <v>329</v>
      </c>
      <c r="B232" s="12"/>
      <c r="C232" s="12"/>
      <c r="D232" s="12"/>
      <c r="E232" s="12"/>
      <c r="F232" s="12"/>
      <c r="G232" s="12"/>
      <c r="H232" s="12"/>
      <c r="I232" s="12"/>
      <c r="J232" s="12"/>
    </row>
    <row r="233">
      <c r="A233">
        <f>IFERROR(__xludf.DUMMYFUNCTION("""COMPUTED_VALUE"""),330.0)</f>
        <v>330</v>
      </c>
      <c r="B233" s="12"/>
      <c r="C233" s="12"/>
      <c r="D233" s="12"/>
      <c r="E233" s="12"/>
      <c r="F233" s="12"/>
      <c r="G233" s="12"/>
      <c r="H233" s="12"/>
      <c r="I233" s="12"/>
      <c r="J233" s="12"/>
    </row>
    <row r="234">
      <c r="A234">
        <f>IFERROR(__xludf.DUMMYFUNCTION("""COMPUTED_VALUE"""),331.0)</f>
        <v>331</v>
      </c>
      <c r="B234" s="12"/>
      <c r="C234" s="12"/>
      <c r="D234" s="12"/>
      <c r="E234" s="12"/>
      <c r="F234" s="12"/>
      <c r="G234" s="12"/>
      <c r="H234" s="12"/>
      <c r="I234" s="12"/>
      <c r="J234" s="12"/>
    </row>
    <row r="235">
      <c r="A235">
        <f>IFERROR(__xludf.DUMMYFUNCTION("""COMPUTED_VALUE"""),332.0)</f>
        <v>332</v>
      </c>
      <c r="B235" s="12"/>
      <c r="C235" s="12"/>
      <c r="D235" s="12"/>
      <c r="E235" s="12"/>
      <c r="F235" s="12"/>
      <c r="G235" s="12"/>
      <c r="H235" s="12"/>
      <c r="I235" s="12"/>
      <c r="J235" s="12"/>
    </row>
    <row r="236">
      <c r="A236">
        <f>IFERROR(__xludf.DUMMYFUNCTION("""COMPUTED_VALUE"""),333.0)</f>
        <v>333</v>
      </c>
      <c r="B236" s="12"/>
      <c r="C236" s="12"/>
      <c r="D236" s="12"/>
      <c r="E236" s="12"/>
      <c r="F236" s="12"/>
      <c r="G236" s="12"/>
      <c r="H236" s="12"/>
      <c r="I236" s="12"/>
      <c r="J236" s="12"/>
    </row>
    <row r="237">
      <c r="A237">
        <f>IFERROR(__xludf.DUMMYFUNCTION("""COMPUTED_VALUE"""),335.0)</f>
        <v>335</v>
      </c>
      <c r="B237" s="12"/>
      <c r="C237" s="12"/>
      <c r="D237" s="12"/>
      <c r="E237" s="12"/>
      <c r="F237" s="12"/>
      <c r="G237" s="12"/>
      <c r="H237" s="12"/>
      <c r="I237" s="12"/>
      <c r="J237" s="12"/>
    </row>
    <row r="238">
      <c r="A238">
        <f>IFERROR(__xludf.DUMMYFUNCTION("""COMPUTED_VALUE"""),336.0)</f>
        <v>336</v>
      </c>
      <c r="B238" s="12" t="str">
        <f>IFERROR(__xludf.DUMMYFUNCTION("""COMPUTED_VALUE"""),"I would consider my privacy and the data that I would be giving away if I grant access.")</f>
        <v>I would consider my privacy and the data that I would be giving away if I grant access.</v>
      </c>
      <c r="C238" s="12"/>
      <c r="D238" s="12"/>
      <c r="E238" s="12"/>
      <c r="F238" s="12"/>
      <c r="G238" s="12"/>
      <c r="H238" s="12"/>
      <c r="I238" s="12"/>
      <c r="J238" s="12"/>
    </row>
    <row r="239">
      <c r="A239">
        <f>IFERROR(__xludf.DUMMYFUNCTION("""COMPUTED_VALUE"""),337.0)</f>
        <v>337</v>
      </c>
      <c r="B239" s="12"/>
      <c r="C239" s="12"/>
      <c r="D239" s="12"/>
      <c r="E239" s="12"/>
      <c r="F239" s="12"/>
      <c r="G239" s="12"/>
      <c r="H239" s="12"/>
      <c r="I239" s="12"/>
      <c r="J239" s="12"/>
    </row>
    <row r="240">
      <c r="A240">
        <f>IFERROR(__xludf.DUMMYFUNCTION("""COMPUTED_VALUE"""),338.0)</f>
        <v>338</v>
      </c>
      <c r="B240" s="12"/>
      <c r="C240" s="12"/>
      <c r="D240" s="12"/>
      <c r="E240" s="12"/>
      <c r="F240" s="12"/>
      <c r="G240" s="12"/>
      <c r="H240" s="12"/>
      <c r="I240" s="12"/>
      <c r="J240" s="12"/>
    </row>
    <row r="241">
      <c r="A241">
        <f>IFERROR(__xludf.DUMMYFUNCTION("""COMPUTED_VALUE"""),339.0)</f>
        <v>339</v>
      </c>
      <c r="B241" s="12"/>
      <c r="C241" s="12"/>
      <c r="D241" s="12"/>
      <c r="E241" s="12"/>
      <c r="F241" s="12"/>
      <c r="G241" s="12"/>
      <c r="H241" s="12"/>
      <c r="I241" s="12"/>
      <c r="J241" s="12"/>
    </row>
    <row r="242">
      <c r="A242">
        <f>IFERROR(__xludf.DUMMYFUNCTION("""COMPUTED_VALUE"""),340.0)</f>
        <v>340</v>
      </c>
      <c r="B242" s="12"/>
      <c r="C242" s="12"/>
      <c r="D242" s="12"/>
      <c r="E242" s="12"/>
      <c r="F242" s="12"/>
      <c r="G242" s="12"/>
      <c r="H242" s="12"/>
      <c r="I242" s="12"/>
      <c r="J242" s="12"/>
    </row>
    <row r="243">
      <c r="A243">
        <f>IFERROR(__xludf.DUMMYFUNCTION("""COMPUTED_VALUE"""),341.0)</f>
        <v>341</v>
      </c>
      <c r="B243" s="12"/>
      <c r="C243" s="12"/>
      <c r="D243" s="12"/>
      <c r="E243" s="12"/>
      <c r="F243" s="12"/>
      <c r="G243" s="12"/>
      <c r="H243" s="12"/>
      <c r="I243" s="12"/>
      <c r="J243" s="12"/>
    </row>
    <row r="244">
      <c r="A244">
        <f>IFERROR(__xludf.DUMMYFUNCTION("""COMPUTED_VALUE"""),342.0)</f>
        <v>342</v>
      </c>
      <c r="B244" s="12"/>
      <c r="C244" s="12"/>
      <c r="D244" s="12"/>
      <c r="E244" s="12"/>
      <c r="F244" s="12"/>
      <c r="G244" s="12"/>
      <c r="H244" s="12"/>
      <c r="I244" s="12"/>
      <c r="J244" s="12"/>
    </row>
    <row r="245">
      <c r="A245">
        <f>IFERROR(__xludf.DUMMYFUNCTION("""COMPUTED_VALUE"""),345.0)</f>
        <v>345</v>
      </c>
      <c r="B245" s="12"/>
      <c r="C245" s="12"/>
      <c r="D245" s="12"/>
      <c r="E245" s="12"/>
      <c r="F245" s="12"/>
      <c r="G245" s="12"/>
      <c r="H245" s="12"/>
      <c r="I245" s="12"/>
      <c r="J245" s="12"/>
    </row>
    <row r="246">
      <c r="A246">
        <f>IFERROR(__xludf.DUMMYFUNCTION("""COMPUTED_VALUE"""),347.0)</f>
        <v>347</v>
      </c>
      <c r="B246" s="12"/>
      <c r="C246" s="12"/>
      <c r="D246" s="12"/>
      <c r="E246" s="12"/>
      <c r="F246" s="12"/>
      <c r="G246" s="12"/>
      <c r="H246" s="12"/>
      <c r="I246" s="12"/>
      <c r="J246" s="12"/>
    </row>
    <row r="247">
      <c r="A247">
        <f>IFERROR(__xludf.DUMMYFUNCTION("""COMPUTED_VALUE"""),349.0)</f>
        <v>349</v>
      </c>
      <c r="B247" s="12"/>
      <c r="C247" s="12"/>
      <c r="D247" s="12"/>
      <c r="E247" s="12"/>
      <c r="F247" s="12"/>
      <c r="G247" s="12"/>
      <c r="H247" s="12"/>
      <c r="I247" s="12"/>
      <c r="J247" s="12"/>
    </row>
    <row r="248">
      <c r="A248">
        <f>IFERROR(__xludf.DUMMYFUNCTION("""COMPUTED_VALUE"""),351.0)</f>
        <v>351</v>
      </c>
      <c r="B248" s="12"/>
      <c r="C248" s="12"/>
      <c r="D248" s="12"/>
      <c r="E248" s="12"/>
      <c r="F248" s="12"/>
      <c r="G248" s="12"/>
      <c r="H248" s="12"/>
      <c r="I248" s="12"/>
      <c r="J248" s="12"/>
    </row>
    <row r="249">
      <c r="A249">
        <f>IFERROR(__xludf.DUMMYFUNCTION("""COMPUTED_VALUE"""),352.0)</f>
        <v>352</v>
      </c>
      <c r="B249" s="12"/>
      <c r="C249" s="12"/>
      <c r="D249" s="12"/>
      <c r="E249" s="12"/>
      <c r="F249" s="12"/>
      <c r="G249" s="12"/>
      <c r="H249" s="12"/>
      <c r="I249" s="12"/>
      <c r="J249" s="12"/>
    </row>
    <row r="250">
      <c r="A250">
        <f>IFERROR(__xludf.DUMMYFUNCTION("""COMPUTED_VALUE"""),354.0)</f>
        <v>354</v>
      </c>
      <c r="B250" s="12"/>
      <c r="C250" s="12"/>
      <c r="D250" s="12"/>
      <c r="E250" s="12"/>
      <c r="F250" s="12"/>
      <c r="G250" s="12"/>
      <c r="H250" s="12"/>
      <c r="I250" s="12"/>
      <c r="J250" s="12"/>
    </row>
    <row r="251">
      <c r="A251">
        <f>IFERROR(__xludf.DUMMYFUNCTION("""COMPUTED_VALUE"""),355.0)</f>
        <v>355</v>
      </c>
      <c r="B251" s="12"/>
      <c r="C251" s="12"/>
      <c r="D251" s="12"/>
      <c r="E251" s="12"/>
      <c r="F251" s="12"/>
      <c r="G251" s="12"/>
      <c r="H251" s="12"/>
      <c r="I251" s="12"/>
      <c r="J251" s="12"/>
    </row>
    <row r="252">
      <c r="A252">
        <f>IFERROR(__xludf.DUMMYFUNCTION("""COMPUTED_VALUE"""),357.0)</f>
        <v>357</v>
      </c>
      <c r="B252" s="12"/>
      <c r="C252" s="12"/>
      <c r="D252" s="12"/>
      <c r="E252" s="12"/>
      <c r="F252" s="12"/>
      <c r="G252" s="12"/>
      <c r="H252" s="12"/>
      <c r="I252" s="12"/>
      <c r="J252" s="12"/>
    </row>
    <row r="253">
      <c r="A253">
        <f>IFERROR(__xludf.DUMMYFUNCTION("""COMPUTED_VALUE"""),358.0)</f>
        <v>358</v>
      </c>
      <c r="B253" s="12"/>
      <c r="C253" s="12"/>
      <c r="D253" s="12"/>
      <c r="E253" s="12"/>
      <c r="F253" s="12"/>
      <c r="G253" s="12"/>
      <c r="H253" s="12"/>
      <c r="I253" s="12"/>
      <c r="J253" s="12"/>
    </row>
    <row r="254">
      <c r="A254">
        <f>IFERROR(__xludf.DUMMYFUNCTION("""COMPUTED_VALUE"""),360.0)</f>
        <v>360</v>
      </c>
      <c r="B254" s="12"/>
      <c r="C254" s="12"/>
      <c r="D254" s="12"/>
      <c r="E254" s="12"/>
      <c r="F254" s="12"/>
      <c r="G254" s="12"/>
      <c r="H254" s="12"/>
      <c r="I254" s="12"/>
      <c r="J254" s="12"/>
    </row>
    <row r="255">
      <c r="A255">
        <f>IFERROR(__xludf.DUMMYFUNCTION("""COMPUTED_VALUE"""),361.0)</f>
        <v>361</v>
      </c>
      <c r="B255" s="12"/>
      <c r="C255" s="12"/>
      <c r="D255" s="12"/>
      <c r="E255" s="12"/>
      <c r="F255" s="12"/>
      <c r="G255" s="12"/>
      <c r="H255" s="12"/>
      <c r="I255" s="12"/>
      <c r="J255" s="12"/>
    </row>
    <row r="256">
      <c r="A256">
        <f>IFERROR(__xludf.DUMMYFUNCTION("""COMPUTED_VALUE"""),362.0)</f>
        <v>362</v>
      </c>
      <c r="B256" s="12"/>
      <c r="C256" s="12"/>
      <c r="D256" s="12"/>
      <c r="E256" s="12"/>
      <c r="F256" s="12"/>
      <c r="G256" s="12"/>
      <c r="H256" s="12"/>
      <c r="I256" s="12"/>
      <c r="J256" s="12"/>
    </row>
    <row r="257">
      <c r="A257">
        <f>IFERROR(__xludf.DUMMYFUNCTION("""COMPUTED_VALUE"""),363.0)</f>
        <v>363</v>
      </c>
      <c r="B257" s="12"/>
      <c r="C257" s="12"/>
      <c r="D257" s="12"/>
      <c r="E257" s="12"/>
      <c r="F257" s="12"/>
      <c r="G257" s="12"/>
      <c r="H257" s="12"/>
      <c r="I257" s="12"/>
      <c r="J257" s="12"/>
    </row>
    <row r="258">
      <c r="A258">
        <f>IFERROR(__xludf.DUMMYFUNCTION("""COMPUTED_VALUE"""),364.0)</f>
        <v>364</v>
      </c>
      <c r="B258" s="12"/>
      <c r="C258" s="12"/>
      <c r="D258" s="12"/>
      <c r="E258" s="12"/>
      <c r="F258" s="12"/>
      <c r="G258" s="12"/>
      <c r="H258" s="12"/>
      <c r="I258" s="12"/>
      <c r="J258" s="12"/>
    </row>
    <row r="259">
      <c r="A259">
        <f>IFERROR(__xludf.DUMMYFUNCTION("""COMPUTED_VALUE"""),365.0)</f>
        <v>365</v>
      </c>
      <c r="B259" s="12"/>
      <c r="C259" s="12"/>
      <c r="D259" s="12"/>
      <c r="E259" s="12"/>
      <c r="F259" s="12"/>
      <c r="G259" s="12"/>
      <c r="H259" s="12"/>
      <c r="I259" s="12"/>
      <c r="J259" s="12"/>
    </row>
    <row r="260">
      <c r="A260">
        <f>IFERROR(__xludf.DUMMYFUNCTION("""COMPUTED_VALUE"""),366.0)</f>
        <v>366</v>
      </c>
      <c r="B260" s="12"/>
      <c r="C260" s="12"/>
      <c r="D260" s="12"/>
      <c r="E260" s="12"/>
      <c r="F260" s="12"/>
      <c r="G260" s="12"/>
      <c r="H260" s="12"/>
      <c r="I260" s="12"/>
      <c r="J260" s="12"/>
    </row>
    <row r="261">
      <c r="A261">
        <f>IFERROR(__xludf.DUMMYFUNCTION("""COMPUTED_VALUE"""),367.0)</f>
        <v>367</v>
      </c>
      <c r="B261" s="12"/>
      <c r="C261" s="12"/>
      <c r="D261" s="12"/>
      <c r="E261" s="12"/>
      <c r="F261" s="12"/>
      <c r="G261" s="12"/>
      <c r="H261" s="12"/>
      <c r="I261" s="12"/>
      <c r="J261" s="12"/>
    </row>
    <row r="262">
      <c r="A262">
        <f>IFERROR(__xludf.DUMMYFUNCTION("""COMPUTED_VALUE"""),368.0)</f>
        <v>368</v>
      </c>
      <c r="B262" s="12"/>
      <c r="C262" s="12"/>
      <c r="D262" s="12"/>
      <c r="E262" s="12"/>
      <c r="F262" s="12"/>
      <c r="G262" s="12"/>
      <c r="H262" s="12"/>
      <c r="I262" s="12"/>
      <c r="J262" s="12"/>
    </row>
    <row r="263">
      <c r="A263">
        <f>IFERROR(__xludf.DUMMYFUNCTION("""COMPUTED_VALUE"""),372.0)</f>
        <v>372</v>
      </c>
      <c r="B263" s="12"/>
      <c r="C263" s="12"/>
      <c r="D263" s="12"/>
      <c r="E263" s="12"/>
      <c r="F263" s="12"/>
      <c r="G263" s="12"/>
      <c r="H263" s="12"/>
      <c r="I263" s="12"/>
      <c r="J263" s="12"/>
    </row>
    <row r="264">
      <c r="A264">
        <f>IFERROR(__xludf.DUMMYFUNCTION("""COMPUTED_VALUE"""),373.0)</f>
        <v>373</v>
      </c>
      <c r="B264" s="12"/>
      <c r="C264" s="12"/>
      <c r="D264" s="12"/>
      <c r="E264" s="12"/>
      <c r="F264" s="12"/>
      <c r="G264" s="12"/>
      <c r="H264" s="12"/>
      <c r="I264" s="12"/>
      <c r="J264" s="12"/>
    </row>
    <row r="265">
      <c r="A265">
        <f>IFERROR(__xludf.DUMMYFUNCTION("""COMPUTED_VALUE"""),374.0)</f>
        <v>374</v>
      </c>
      <c r="B265" s="12"/>
      <c r="C265" s="12"/>
      <c r="D265" s="12"/>
      <c r="E265" s="12"/>
      <c r="F265" s="12"/>
      <c r="G265" s="12"/>
      <c r="H265" s="12"/>
      <c r="I265" s="12"/>
      <c r="J265" s="12"/>
    </row>
    <row r="266">
      <c r="A266">
        <f>IFERROR(__xludf.DUMMYFUNCTION("""COMPUTED_VALUE"""),376.0)</f>
        <v>376</v>
      </c>
      <c r="B266" s="12"/>
      <c r="C266" s="12"/>
      <c r="D266" s="12"/>
      <c r="E266" s="12"/>
      <c r="F266" s="12"/>
      <c r="G266" s="12"/>
      <c r="H266" s="12"/>
      <c r="I266" s="12"/>
      <c r="J266" s="12"/>
    </row>
    <row r="267">
      <c r="A267">
        <f>IFERROR(__xludf.DUMMYFUNCTION("""COMPUTED_VALUE"""),377.0)</f>
        <v>377</v>
      </c>
      <c r="B267" s="12"/>
      <c r="C267" s="12"/>
      <c r="D267" s="12"/>
      <c r="E267" s="12"/>
      <c r="F267" s="12"/>
      <c r="G267" s="12"/>
      <c r="H267" s="12"/>
      <c r="I267" s="12"/>
      <c r="J267" s="12"/>
    </row>
    <row r="268">
      <c r="A268">
        <f>IFERROR(__xludf.DUMMYFUNCTION("""COMPUTED_VALUE"""),379.0)</f>
        <v>379</v>
      </c>
      <c r="B268" s="12"/>
      <c r="C268" s="12"/>
      <c r="D268" s="12"/>
      <c r="E268" s="12"/>
      <c r="F268" s="12"/>
      <c r="G268" s="12"/>
      <c r="H268" s="12"/>
      <c r="I268" s="12"/>
      <c r="J268" s="12"/>
    </row>
    <row r="269">
      <c r="A269">
        <f>IFERROR(__xludf.DUMMYFUNCTION("""COMPUTED_VALUE"""),381.0)</f>
        <v>381</v>
      </c>
      <c r="B269" s="12"/>
      <c r="C269" s="12"/>
      <c r="D269" s="12"/>
      <c r="E269" s="12"/>
      <c r="F269" s="12"/>
      <c r="G269" s="12"/>
      <c r="H269" s="12"/>
      <c r="I269" s="12"/>
      <c r="J269" s="12"/>
    </row>
    <row r="270">
      <c r="A270">
        <f>IFERROR(__xludf.DUMMYFUNCTION("""COMPUTED_VALUE"""),382.0)</f>
        <v>382</v>
      </c>
      <c r="B270" s="12"/>
      <c r="C270" s="12"/>
      <c r="D270" s="12"/>
      <c r="E270" s="12"/>
      <c r="F270" s="12"/>
      <c r="G270" s="12"/>
      <c r="H270" s="12"/>
      <c r="I270" s="12"/>
      <c r="J270" s="12"/>
    </row>
    <row r="271">
      <c r="A271">
        <f>IFERROR(__xludf.DUMMYFUNCTION("""COMPUTED_VALUE"""),383.0)</f>
        <v>383</v>
      </c>
      <c r="B271" s="12"/>
      <c r="C271" s="12"/>
      <c r="D271" s="12"/>
      <c r="E271" s="12"/>
      <c r="F271" s="12"/>
      <c r="G271" s="12"/>
      <c r="H271" s="12"/>
      <c r="I271" s="12"/>
      <c r="J271" s="12"/>
    </row>
    <row r="272">
      <c r="A272">
        <f>IFERROR(__xludf.DUMMYFUNCTION("""COMPUTED_VALUE"""),384.0)</f>
        <v>384</v>
      </c>
      <c r="B272" s="12"/>
      <c r="C272" s="12"/>
      <c r="D272" s="12"/>
      <c r="E272" s="12"/>
      <c r="F272" s="12"/>
      <c r="G272" s="12"/>
      <c r="H272" s="12"/>
      <c r="I272" s="12"/>
      <c r="J272" s="12"/>
    </row>
    <row r="273">
      <c r="A273">
        <f>IFERROR(__xludf.DUMMYFUNCTION("""COMPUTED_VALUE"""),385.0)</f>
        <v>385</v>
      </c>
      <c r="B273" s="12"/>
      <c r="C273" s="12"/>
      <c r="D273" s="12"/>
      <c r="E273" s="12"/>
      <c r="F273" s="12"/>
      <c r="G273" s="12"/>
      <c r="H273" s="12"/>
      <c r="I273" s="12"/>
      <c r="J273" s="12"/>
    </row>
    <row r="274">
      <c r="A274">
        <f>IFERROR(__xludf.DUMMYFUNCTION("""COMPUTED_VALUE"""),386.0)</f>
        <v>386</v>
      </c>
      <c r="B274" s="12"/>
      <c r="C274" s="12"/>
      <c r="D274" s="12"/>
      <c r="E274" s="12"/>
      <c r="F274" s="12"/>
      <c r="G274" s="12"/>
      <c r="H274" s="12"/>
      <c r="I274" s="12"/>
      <c r="J274" s="12"/>
    </row>
    <row r="275">
      <c r="A275">
        <f>IFERROR(__xludf.DUMMYFUNCTION("""COMPUTED_VALUE"""),387.0)</f>
        <v>387</v>
      </c>
      <c r="B275" s="12"/>
      <c r="C275" s="12"/>
      <c r="D275" s="12"/>
      <c r="E275" s="12"/>
      <c r="F275" s="12"/>
      <c r="G275" s="12"/>
      <c r="H275" s="12"/>
      <c r="I275" s="12"/>
      <c r="J275" s="12"/>
    </row>
    <row r="276">
      <c r="A276">
        <f>IFERROR(__xludf.DUMMYFUNCTION("""COMPUTED_VALUE"""),388.0)</f>
        <v>388</v>
      </c>
      <c r="B276" s="12"/>
      <c r="C276" s="12"/>
      <c r="D276" s="12"/>
      <c r="E276" s="12"/>
      <c r="F276" s="12"/>
      <c r="G276" s="12"/>
      <c r="H276" s="12"/>
      <c r="I276" s="12"/>
      <c r="J276" s="12"/>
    </row>
    <row r="277">
      <c r="A277">
        <f>IFERROR(__xludf.DUMMYFUNCTION("""COMPUTED_VALUE"""),389.0)</f>
        <v>389</v>
      </c>
      <c r="B277" s="12"/>
      <c r="C277" s="12"/>
      <c r="D277" s="12"/>
      <c r="E277" s="12"/>
      <c r="F277" s="12"/>
      <c r="G277" s="12"/>
      <c r="H277" s="12"/>
      <c r="I277" s="12"/>
      <c r="J277" s="12"/>
    </row>
    <row r="278">
      <c r="A278">
        <f>IFERROR(__xludf.DUMMYFUNCTION("""COMPUTED_VALUE"""),391.0)</f>
        <v>391</v>
      </c>
      <c r="B278" s="12"/>
      <c r="C278" s="12"/>
      <c r="D278" s="12"/>
      <c r="E278" s="12"/>
      <c r="F278" s="12"/>
      <c r="G278" s="12"/>
      <c r="H278" s="12"/>
      <c r="I278" s="12"/>
      <c r="J278" s="12"/>
    </row>
    <row r="279">
      <c r="A279">
        <f>IFERROR(__xludf.DUMMYFUNCTION("""COMPUTED_VALUE"""),392.0)</f>
        <v>392</v>
      </c>
      <c r="B279" s="12"/>
      <c r="C279" s="12"/>
      <c r="D279" s="12"/>
      <c r="E279" s="12"/>
      <c r="F279" s="12"/>
      <c r="G279" s="12"/>
      <c r="H279" s="12"/>
      <c r="I279" s="12"/>
      <c r="J279" s="12"/>
    </row>
    <row r="280">
      <c r="A280">
        <f>IFERROR(__xludf.DUMMYFUNCTION("""COMPUTED_VALUE"""),393.0)</f>
        <v>393</v>
      </c>
      <c r="B280" s="12"/>
      <c r="C280" s="12"/>
      <c r="D280" s="12"/>
      <c r="E280" s="12"/>
      <c r="F280" s="12"/>
      <c r="G280" s="12"/>
      <c r="H280" s="12"/>
      <c r="I280" s="12"/>
      <c r="J280" s="12"/>
    </row>
    <row r="281">
      <c r="A281">
        <f>IFERROR(__xludf.DUMMYFUNCTION("""COMPUTED_VALUE"""),394.0)</f>
        <v>394</v>
      </c>
      <c r="B281" s="12"/>
      <c r="C281" s="12"/>
      <c r="D281" s="12"/>
      <c r="E281" s="12"/>
      <c r="F281" s="12"/>
      <c r="G281" s="12"/>
      <c r="H281" s="12"/>
      <c r="I281" s="12"/>
      <c r="J281" s="12"/>
    </row>
    <row r="282">
      <c r="A282">
        <f>IFERROR(__xludf.DUMMYFUNCTION("""COMPUTED_VALUE"""),395.0)</f>
        <v>395</v>
      </c>
      <c r="B282" s="12"/>
      <c r="C282" s="12"/>
      <c r="D282" s="12"/>
      <c r="E282" s="12"/>
      <c r="F282" s="12"/>
      <c r="G282" s="12"/>
      <c r="H282" s="12"/>
      <c r="I282" s="12"/>
      <c r="J282" s="12"/>
    </row>
    <row r="283">
      <c r="A283">
        <f>IFERROR(__xludf.DUMMYFUNCTION("""COMPUTED_VALUE"""),396.0)</f>
        <v>396</v>
      </c>
      <c r="B283" s="12"/>
      <c r="C283" s="12"/>
      <c r="D283" s="12"/>
      <c r="E283" s="12"/>
      <c r="F283" s="12"/>
      <c r="G283" s="12"/>
      <c r="H283" s="12"/>
      <c r="I283" s="12"/>
      <c r="J283" s="12"/>
    </row>
    <row r="284">
      <c r="A284">
        <f>IFERROR(__xludf.DUMMYFUNCTION("""COMPUTED_VALUE"""),397.0)</f>
        <v>397</v>
      </c>
      <c r="B284" s="12"/>
      <c r="C284" s="12"/>
      <c r="D284" s="12"/>
      <c r="E284" s="12"/>
      <c r="F284" s="12"/>
      <c r="G284" s="12"/>
      <c r="H284" s="12"/>
      <c r="I284" s="12"/>
      <c r="J284" s="12"/>
    </row>
    <row r="285">
      <c r="A285">
        <f>IFERROR(__xludf.DUMMYFUNCTION("""COMPUTED_VALUE"""),398.0)</f>
        <v>398</v>
      </c>
      <c r="B285" s="12"/>
      <c r="C285" s="12"/>
      <c r="D285" s="12"/>
      <c r="E285" s="12"/>
      <c r="F285" s="12"/>
      <c r="G285" s="12"/>
      <c r="H285" s="12"/>
      <c r="I285" s="12"/>
      <c r="J285" s="12"/>
    </row>
    <row r="286">
      <c r="A286">
        <f>IFERROR(__xludf.DUMMYFUNCTION("""COMPUTED_VALUE"""),399.0)</f>
        <v>399</v>
      </c>
      <c r="B286" s="12"/>
      <c r="C286" s="12"/>
      <c r="D286" s="12"/>
      <c r="E286" s="12"/>
      <c r="F286" s="12"/>
      <c r="G286" s="12"/>
      <c r="H286" s="12"/>
      <c r="I286" s="12"/>
      <c r="J286" s="12"/>
    </row>
    <row r="287">
      <c r="A287">
        <f>IFERROR(__xludf.DUMMYFUNCTION("""COMPUTED_VALUE"""),400.0)</f>
        <v>400</v>
      </c>
      <c r="B287" s="12"/>
      <c r="C287" s="12"/>
      <c r="D287" s="12"/>
      <c r="E287" s="12"/>
      <c r="F287" s="12"/>
      <c r="G287" s="12"/>
      <c r="H287" s="12"/>
      <c r="I287" s="12"/>
      <c r="J287" s="12"/>
    </row>
    <row r="288">
      <c r="A288">
        <f>IFERROR(__xludf.DUMMYFUNCTION("""COMPUTED_VALUE"""),401.0)</f>
        <v>401</v>
      </c>
      <c r="B288" s="12"/>
      <c r="C288" s="12"/>
      <c r="D288" s="12"/>
      <c r="E288" s="12"/>
      <c r="F288" s="12"/>
      <c r="G288" s="12"/>
      <c r="H288" s="12"/>
      <c r="I288" s="12"/>
      <c r="J288" s="12"/>
    </row>
    <row r="289">
      <c r="A289">
        <f>IFERROR(__xludf.DUMMYFUNCTION("""COMPUTED_VALUE"""),402.0)</f>
        <v>402</v>
      </c>
      <c r="B289" s="12"/>
      <c r="C289" s="12"/>
      <c r="D289" s="12"/>
      <c r="E289" s="12"/>
      <c r="F289" s="12"/>
      <c r="G289" s="12"/>
      <c r="H289" s="12"/>
      <c r="I289" s="12"/>
      <c r="J289" s="12"/>
    </row>
    <row r="290">
      <c r="A290">
        <f>IFERROR(__xludf.DUMMYFUNCTION("""COMPUTED_VALUE"""),403.0)</f>
        <v>403</v>
      </c>
      <c r="B290" s="12"/>
      <c r="C290" s="12"/>
      <c r="D290" s="12"/>
      <c r="E290" s="12"/>
      <c r="F290" s="12"/>
      <c r="G290" s="12"/>
      <c r="H290" s="12"/>
      <c r="I290" s="12"/>
      <c r="J290" s="12"/>
    </row>
    <row r="291">
      <c r="A291">
        <f>IFERROR(__xludf.DUMMYFUNCTION("""COMPUTED_VALUE"""),404.0)</f>
        <v>404</v>
      </c>
      <c r="B291" s="12"/>
      <c r="C291" s="12"/>
      <c r="D291" s="12"/>
      <c r="E291" s="12"/>
      <c r="F291" s="12"/>
      <c r="G291" s="12"/>
      <c r="H291" s="12"/>
      <c r="I291" s="12"/>
      <c r="J291" s="12"/>
    </row>
    <row r="292">
      <c r="A292">
        <f>IFERROR(__xludf.DUMMYFUNCTION("""COMPUTED_VALUE"""),405.0)</f>
        <v>405</v>
      </c>
      <c r="B292" s="12"/>
      <c r="C292" s="12"/>
      <c r="D292" s="12"/>
      <c r="E292" s="12"/>
      <c r="F292" s="12"/>
      <c r="G292" s="12"/>
      <c r="H292" s="12"/>
      <c r="I292" s="12"/>
      <c r="J292" s="12"/>
    </row>
    <row r="293">
      <c r="A293">
        <f>IFERROR(__xludf.DUMMYFUNCTION("""COMPUTED_VALUE"""),406.0)</f>
        <v>406</v>
      </c>
      <c r="B293" s="12"/>
      <c r="C293" s="12"/>
      <c r="D293" s="12"/>
      <c r="E293" s="12"/>
      <c r="F293" s="12"/>
      <c r="G293" s="12"/>
      <c r="H293" s="12"/>
      <c r="I293" s="12"/>
      <c r="J293" s="12"/>
    </row>
    <row r="294">
      <c r="A294">
        <f>IFERROR(__xludf.DUMMYFUNCTION("""COMPUTED_VALUE"""),407.0)</f>
        <v>407</v>
      </c>
      <c r="B294" s="12"/>
      <c r="C294" s="12"/>
      <c r="D294" s="12"/>
      <c r="E294" s="12"/>
      <c r="F294" s="12"/>
      <c r="G294" s="12"/>
      <c r="H294" s="12"/>
      <c r="I294" s="12"/>
      <c r="J294" s="12"/>
    </row>
    <row r="295">
      <c r="A295">
        <f>IFERROR(__xludf.DUMMYFUNCTION("""COMPUTED_VALUE"""),408.0)</f>
        <v>408</v>
      </c>
      <c r="B295" s="12"/>
      <c r="C295" s="12"/>
      <c r="D295" s="12"/>
      <c r="E295" s="12"/>
      <c r="F295" s="12"/>
      <c r="G295" s="12"/>
      <c r="H295" s="12"/>
      <c r="I295" s="12"/>
      <c r="J295" s="12"/>
    </row>
    <row r="296">
      <c r="A296">
        <f>IFERROR(__xludf.DUMMYFUNCTION("""COMPUTED_VALUE"""),410.0)</f>
        <v>410</v>
      </c>
      <c r="B296" s="12"/>
      <c r="C296" s="12"/>
      <c r="D296" s="12"/>
      <c r="E296" s="12"/>
      <c r="F296" s="12"/>
      <c r="G296" s="12"/>
      <c r="H296" s="12"/>
      <c r="I296" s="12"/>
      <c r="J296" s="12"/>
    </row>
    <row r="297">
      <c r="A297">
        <f>IFERROR(__xludf.DUMMYFUNCTION("""COMPUTED_VALUE"""),411.0)</f>
        <v>411</v>
      </c>
      <c r="B297" s="12"/>
      <c r="C297" s="12"/>
      <c r="D297" s="12"/>
      <c r="E297" s="12"/>
      <c r="F297" s="12"/>
      <c r="G297" s="12"/>
      <c r="H297" s="12"/>
      <c r="I297" s="12"/>
      <c r="J297" s="12"/>
    </row>
    <row r="298">
      <c r="A298">
        <f>IFERROR(__xludf.DUMMYFUNCTION("""COMPUTED_VALUE"""),413.0)</f>
        <v>413</v>
      </c>
      <c r="B298" s="12"/>
      <c r="C298" s="12"/>
      <c r="D298" s="12"/>
      <c r="E298" s="12"/>
      <c r="F298" s="12"/>
      <c r="G298" s="12"/>
      <c r="H298" s="12"/>
      <c r="I298" s="12"/>
      <c r="J298" s="12"/>
    </row>
    <row r="299">
      <c r="A299">
        <f>IFERROR(__xludf.DUMMYFUNCTION("""COMPUTED_VALUE"""),415.0)</f>
        <v>415</v>
      </c>
      <c r="B299" s="12"/>
      <c r="C299" s="12"/>
      <c r="D299" s="12"/>
      <c r="E299" s="12"/>
      <c r="F299" s="12"/>
      <c r="G299" s="12"/>
      <c r="H299" s="12"/>
      <c r="I299" s="12"/>
      <c r="J299" s="12"/>
    </row>
    <row r="300">
      <c r="A300">
        <f>IFERROR(__xludf.DUMMYFUNCTION("""COMPUTED_VALUE"""),416.0)</f>
        <v>416</v>
      </c>
      <c r="B300" s="12"/>
      <c r="C300" s="12"/>
      <c r="D300" s="12"/>
      <c r="E300" s="12"/>
      <c r="F300" s="12"/>
      <c r="G300" s="12"/>
      <c r="H300" s="12"/>
      <c r="I300" s="12"/>
      <c r="J300" s="12"/>
    </row>
    <row r="301">
      <c r="A301">
        <f>IFERROR(__xludf.DUMMYFUNCTION("""COMPUTED_VALUE"""),417.0)</f>
        <v>417</v>
      </c>
      <c r="B301" s="12"/>
      <c r="C301" s="12"/>
      <c r="D301" s="12"/>
      <c r="E301" s="12"/>
      <c r="F301" s="12"/>
      <c r="G301" s="12"/>
      <c r="H301" s="12"/>
      <c r="I301" s="12"/>
      <c r="J301" s="12"/>
    </row>
    <row r="302">
      <c r="A302">
        <f>IFERROR(__xludf.DUMMYFUNCTION("""COMPUTED_VALUE"""),418.0)</f>
        <v>418</v>
      </c>
      <c r="B302" s="12"/>
      <c r="C302" s="12"/>
      <c r="D302" s="12"/>
      <c r="E302" s="12"/>
      <c r="F302" s="12"/>
      <c r="G302" s="12"/>
      <c r="H302" s="12"/>
      <c r="I302" s="12"/>
      <c r="J302" s="12"/>
    </row>
    <row r="303">
      <c r="A303">
        <f>IFERROR(__xludf.DUMMYFUNCTION("""COMPUTED_VALUE"""),419.0)</f>
        <v>419</v>
      </c>
      <c r="B303" s="12"/>
      <c r="C303" s="12"/>
      <c r="D303" s="12"/>
      <c r="E303" s="12"/>
      <c r="F303" s="12"/>
      <c r="G303" s="12"/>
      <c r="H303" s="12"/>
      <c r="I303" s="12"/>
      <c r="J303" s="12"/>
    </row>
    <row r="304">
      <c r="A304">
        <f>IFERROR(__xludf.DUMMYFUNCTION("""COMPUTED_VALUE"""),420.0)</f>
        <v>420</v>
      </c>
      <c r="B304" s="12"/>
      <c r="C304" s="12"/>
      <c r="D304" s="12"/>
      <c r="E304" s="12"/>
      <c r="F304" s="12"/>
      <c r="G304" s="12"/>
      <c r="H304" s="12"/>
      <c r="I304" s="12"/>
      <c r="J304" s="12"/>
    </row>
    <row r="305">
      <c r="A305">
        <f>IFERROR(__xludf.DUMMYFUNCTION("""COMPUTED_VALUE"""),422.0)</f>
        <v>422</v>
      </c>
      <c r="B305" s="12"/>
      <c r="C305" s="12"/>
      <c r="D305" s="12"/>
      <c r="E305" s="12"/>
      <c r="F305" s="12"/>
      <c r="G305" s="12"/>
      <c r="H305" s="12"/>
      <c r="I305" s="12"/>
      <c r="J305" s="12"/>
    </row>
    <row r="306">
      <c r="A306">
        <f>IFERROR(__xludf.DUMMYFUNCTION("""COMPUTED_VALUE"""),423.0)</f>
        <v>423</v>
      </c>
      <c r="B306" s="12"/>
      <c r="C306" s="12"/>
      <c r="D306" s="12"/>
      <c r="E306" s="12"/>
      <c r="F306" s="12"/>
      <c r="G306" s="12"/>
      <c r="H306" s="12"/>
      <c r="I306" s="12"/>
      <c r="J306" s="12"/>
    </row>
    <row r="307">
      <c r="A307">
        <f>IFERROR(__xludf.DUMMYFUNCTION("""COMPUTED_VALUE"""),425.0)</f>
        <v>425</v>
      </c>
      <c r="B307" s="12"/>
      <c r="C307" s="12"/>
      <c r="D307" s="12"/>
      <c r="E307" s="12"/>
      <c r="F307" s="12"/>
      <c r="G307" s="12"/>
      <c r="H307" s="12"/>
      <c r="I307" s="12"/>
      <c r="J307" s="12"/>
    </row>
    <row r="308">
      <c r="A308">
        <f>IFERROR(__xludf.DUMMYFUNCTION("""COMPUTED_VALUE"""),426.0)</f>
        <v>426</v>
      </c>
      <c r="B308" s="12"/>
      <c r="C308" s="12"/>
      <c r="D308" s="12"/>
      <c r="E308" s="12"/>
      <c r="F308" s="12"/>
      <c r="G308" s="12"/>
      <c r="H308" s="12"/>
      <c r="I308" s="12"/>
      <c r="J308" s="12"/>
    </row>
    <row r="309">
      <c r="A309">
        <f>IFERROR(__xludf.DUMMYFUNCTION("""COMPUTED_VALUE"""),427.0)</f>
        <v>427</v>
      </c>
      <c r="B309" s="12"/>
      <c r="C309" s="12"/>
      <c r="D309" s="12"/>
      <c r="E309" s="12"/>
      <c r="F309" s="12"/>
      <c r="G309" s="12"/>
      <c r="H309" s="12"/>
      <c r="I309" s="12"/>
      <c r="J309" s="12"/>
    </row>
    <row r="310">
      <c r="A310">
        <f>IFERROR(__xludf.DUMMYFUNCTION("""COMPUTED_VALUE"""),428.0)</f>
        <v>428</v>
      </c>
      <c r="B310" s="12"/>
      <c r="C310" s="12"/>
      <c r="D310" s="12"/>
      <c r="E310" s="12"/>
      <c r="F310" s="12"/>
      <c r="G310" s="12"/>
      <c r="H310" s="12"/>
      <c r="I310" s="12"/>
      <c r="J310" s="12"/>
    </row>
    <row r="311">
      <c r="A311">
        <f>IFERROR(__xludf.DUMMYFUNCTION("""COMPUTED_VALUE"""),431.0)</f>
        <v>431</v>
      </c>
      <c r="B311" s="12"/>
      <c r="C311" s="12"/>
      <c r="D311" s="12"/>
      <c r="E311" s="12"/>
      <c r="F311" s="12"/>
      <c r="G311" s="12"/>
      <c r="H311" s="12"/>
      <c r="I311" s="12"/>
      <c r="J311" s="12"/>
    </row>
    <row r="312">
      <c r="A312">
        <f>IFERROR(__xludf.DUMMYFUNCTION("""COMPUTED_VALUE"""),432.0)</f>
        <v>432</v>
      </c>
      <c r="B312" s="12"/>
      <c r="C312" s="12"/>
      <c r="D312" s="12"/>
      <c r="E312" s="12"/>
      <c r="F312" s="12"/>
      <c r="G312" s="12"/>
      <c r="H312" s="12"/>
      <c r="I312" s="12"/>
      <c r="J312" s="12"/>
    </row>
    <row r="313">
      <c r="A313">
        <f>IFERROR(__xludf.DUMMYFUNCTION("""COMPUTED_VALUE"""),433.0)</f>
        <v>433</v>
      </c>
      <c r="B313" s="12"/>
      <c r="C313" s="12"/>
      <c r="D313" s="12"/>
      <c r="E313" s="12"/>
      <c r="F313" s="12"/>
      <c r="G313" s="12"/>
      <c r="H313" s="12"/>
      <c r="I313" s="12"/>
      <c r="J313" s="12"/>
    </row>
    <row r="314">
      <c r="A314">
        <f>IFERROR(__xludf.DUMMYFUNCTION("""COMPUTED_VALUE"""),434.0)</f>
        <v>434</v>
      </c>
      <c r="B314" s="12"/>
      <c r="C314" s="12"/>
      <c r="D314" s="12"/>
      <c r="E314" s="12"/>
      <c r="F314" s="12"/>
      <c r="G314" s="12"/>
      <c r="H314" s="12"/>
      <c r="I314" s="12"/>
      <c r="J314" s="12"/>
    </row>
    <row r="315">
      <c r="A315">
        <f>IFERROR(__xludf.DUMMYFUNCTION("""COMPUTED_VALUE"""),435.0)</f>
        <v>435</v>
      </c>
      <c r="B315" s="12"/>
      <c r="C315" s="12"/>
      <c r="D315" s="12"/>
      <c r="E315" s="12"/>
      <c r="F315" s="12"/>
      <c r="G315" s="12"/>
      <c r="H315" s="12"/>
      <c r="I315" s="12"/>
      <c r="J315" s="12"/>
    </row>
    <row r="316">
      <c r="A316">
        <f>IFERROR(__xludf.DUMMYFUNCTION("""COMPUTED_VALUE"""),436.0)</f>
        <v>436</v>
      </c>
      <c r="B316" s="12"/>
      <c r="C316" s="12"/>
      <c r="D316" s="12"/>
      <c r="E316" s="12"/>
      <c r="F316" s="12"/>
      <c r="G316" s="12"/>
      <c r="H316" s="12"/>
      <c r="I316" s="12"/>
      <c r="J316" s="12"/>
    </row>
    <row r="317">
      <c r="A317">
        <f>IFERROR(__xludf.DUMMYFUNCTION("""COMPUTED_VALUE"""),437.0)</f>
        <v>437</v>
      </c>
      <c r="B317" s="12"/>
      <c r="C317" s="12"/>
      <c r="D317" s="12"/>
      <c r="E317" s="12"/>
      <c r="F317" s="12"/>
      <c r="G317" s="12"/>
      <c r="H317" s="12"/>
      <c r="I317" s="12"/>
      <c r="J317" s="12"/>
    </row>
    <row r="318">
      <c r="A318">
        <f>IFERROR(__xludf.DUMMYFUNCTION("""COMPUTED_VALUE"""),439.0)</f>
        <v>439</v>
      </c>
      <c r="B318" s="12"/>
      <c r="C318" s="12"/>
      <c r="D318" s="12"/>
      <c r="E318" s="12"/>
      <c r="F318" s="12"/>
      <c r="G318" s="12"/>
      <c r="H318" s="12"/>
      <c r="I318" s="12"/>
      <c r="J318" s="12"/>
    </row>
    <row r="319">
      <c r="A319">
        <f>IFERROR(__xludf.DUMMYFUNCTION("""COMPUTED_VALUE"""),440.0)</f>
        <v>440</v>
      </c>
      <c r="B319" s="12"/>
      <c r="C319" s="12"/>
      <c r="D319" s="12"/>
      <c r="E319" s="12"/>
      <c r="F319" s="12"/>
      <c r="G319" s="12"/>
      <c r="H319" s="12"/>
      <c r="I319" s="12"/>
      <c r="J319" s="12"/>
    </row>
    <row r="320">
      <c r="A320">
        <f>IFERROR(__xludf.DUMMYFUNCTION("""COMPUTED_VALUE"""),442.0)</f>
        <v>442</v>
      </c>
      <c r="B320" s="12"/>
      <c r="C320" s="12"/>
      <c r="D320" s="12"/>
      <c r="E320" s="12"/>
      <c r="F320" s="12"/>
      <c r="G320" s="12"/>
      <c r="H320" s="12"/>
      <c r="I320" s="12"/>
      <c r="J320" s="12"/>
    </row>
    <row r="321">
      <c r="A321">
        <f>IFERROR(__xludf.DUMMYFUNCTION("""COMPUTED_VALUE"""),443.0)</f>
        <v>443</v>
      </c>
      <c r="B321" s="12"/>
      <c r="C321" s="12"/>
      <c r="D321" s="12"/>
      <c r="E321" s="12"/>
      <c r="F321" s="12"/>
      <c r="G321" s="12"/>
      <c r="H321" s="12"/>
      <c r="I321" s="12"/>
      <c r="J321" s="12"/>
    </row>
    <row r="322">
      <c r="A322">
        <f>IFERROR(__xludf.DUMMYFUNCTION("""COMPUTED_VALUE"""),444.0)</f>
        <v>444</v>
      </c>
      <c r="B322" s="12"/>
      <c r="C322" s="12"/>
      <c r="D322" s="12"/>
      <c r="E322" s="12"/>
      <c r="F322" s="12"/>
      <c r="G322" s="12"/>
      <c r="H322" s="12"/>
      <c r="I322" s="12"/>
      <c r="J322" s="12"/>
    </row>
    <row r="323">
      <c r="A323">
        <f>IFERROR(__xludf.DUMMYFUNCTION("""COMPUTED_VALUE"""),445.0)</f>
        <v>445</v>
      </c>
      <c r="B323" s="12"/>
      <c r="C323" s="12"/>
      <c r="D323" s="12"/>
      <c r="E323" s="12"/>
      <c r="F323" s="12"/>
      <c r="G323" s="12"/>
      <c r="H323" s="12"/>
      <c r="I323" s="12"/>
      <c r="J323" s="12"/>
    </row>
    <row r="324">
      <c r="A324">
        <f>IFERROR(__xludf.DUMMYFUNCTION("""COMPUTED_VALUE"""),449.0)</f>
        <v>449</v>
      </c>
      <c r="B324" s="12"/>
      <c r="C324" s="12"/>
      <c r="D324" s="12"/>
      <c r="E324" s="12"/>
      <c r="F324" s="12"/>
      <c r="G324" s="12"/>
      <c r="H324" s="12"/>
      <c r="I324" s="12"/>
      <c r="J324" s="12"/>
    </row>
    <row r="325">
      <c r="A325">
        <f>IFERROR(__xludf.DUMMYFUNCTION("""COMPUTED_VALUE"""),450.0)</f>
        <v>450</v>
      </c>
      <c r="B325" s="12"/>
      <c r="C325" s="12"/>
      <c r="D325" s="12"/>
      <c r="E325" s="12"/>
      <c r="F325" s="12"/>
      <c r="G325" s="12"/>
      <c r="H325" s="12"/>
      <c r="I325" s="12"/>
      <c r="J325" s="12"/>
    </row>
    <row r="326">
      <c r="A326">
        <f>IFERROR(__xludf.DUMMYFUNCTION("""COMPUTED_VALUE"""),451.0)</f>
        <v>451</v>
      </c>
      <c r="B326" s="12"/>
      <c r="C326" s="12"/>
      <c r="D326" s="12"/>
      <c r="E326" s="12"/>
      <c r="F326" s="12"/>
      <c r="G326" s="12"/>
      <c r="H326" s="12"/>
      <c r="I326" s="12"/>
      <c r="J326" s="12"/>
    </row>
    <row r="327">
      <c r="A327">
        <f>IFERROR(__xludf.DUMMYFUNCTION("""COMPUTED_VALUE"""),454.0)</f>
        <v>454</v>
      </c>
      <c r="B327" s="12"/>
      <c r="C327" s="12"/>
      <c r="D327" s="12"/>
      <c r="E327" s="12"/>
      <c r="F327" s="12"/>
      <c r="G327" s="12"/>
      <c r="H327" s="12"/>
      <c r="I327" s="12"/>
      <c r="J327" s="12"/>
    </row>
    <row r="328">
      <c r="A328">
        <f>IFERROR(__xludf.DUMMYFUNCTION("""COMPUTED_VALUE"""),455.0)</f>
        <v>455</v>
      </c>
      <c r="B328" s="12"/>
      <c r="C328" s="12"/>
      <c r="D328" s="12"/>
      <c r="E328" s="12"/>
      <c r="F328" s="12"/>
      <c r="G328" s="12"/>
      <c r="H328" s="12"/>
      <c r="I328" s="12"/>
      <c r="J328" s="12"/>
    </row>
    <row r="329">
      <c r="A329">
        <f>IFERROR(__xludf.DUMMYFUNCTION("""COMPUTED_VALUE"""),456.0)</f>
        <v>456</v>
      </c>
      <c r="B329" s="12"/>
      <c r="C329" s="12"/>
      <c r="D329" s="12"/>
      <c r="E329" s="12"/>
      <c r="F329" s="12"/>
      <c r="G329" s="12"/>
      <c r="H329" s="12"/>
      <c r="I329" s="12"/>
      <c r="J329" s="12"/>
    </row>
    <row r="330">
      <c r="A330">
        <f>IFERROR(__xludf.DUMMYFUNCTION("""COMPUTED_VALUE"""),458.0)</f>
        <v>458</v>
      </c>
      <c r="B330" s="12"/>
      <c r="C330" s="12"/>
      <c r="D330" s="12"/>
      <c r="E330" s="12"/>
      <c r="F330" s="12"/>
      <c r="G330" s="12"/>
      <c r="H330" s="12"/>
      <c r="I330" s="12"/>
      <c r="J330" s="12"/>
    </row>
    <row r="331">
      <c r="A331">
        <f>IFERROR(__xludf.DUMMYFUNCTION("""COMPUTED_VALUE"""),459.0)</f>
        <v>459</v>
      </c>
      <c r="B331" s="12"/>
      <c r="C331" s="12"/>
      <c r="D331" s="12"/>
      <c r="E331" s="12"/>
      <c r="F331" s="12"/>
      <c r="G331" s="12"/>
      <c r="H331" s="12"/>
      <c r="I331" s="12"/>
      <c r="J331" s="12"/>
    </row>
    <row r="332">
      <c r="A332">
        <f>IFERROR(__xludf.DUMMYFUNCTION("""COMPUTED_VALUE"""),461.0)</f>
        <v>461</v>
      </c>
      <c r="B332" s="12"/>
      <c r="C332" s="12"/>
      <c r="D332" s="12"/>
      <c r="E332" s="12"/>
      <c r="F332" s="12"/>
      <c r="G332" s="12"/>
      <c r="H332" s="12"/>
      <c r="I332" s="12"/>
      <c r="J332" s="12"/>
    </row>
    <row r="333">
      <c r="A333">
        <f>IFERROR(__xludf.DUMMYFUNCTION("""COMPUTED_VALUE"""),462.0)</f>
        <v>462</v>
      </c>
      <c r="B333" s="12"/>
      <c r="C333" s="12"/>
      <c r="D333" s="12"/>
      <c r="E333" s="12"/>
      <c r="F333" s="12"/>
      <c r="G333" s="12"/>
      <c r="H333" s="12"/>
      <c r="I333" s="12"/>
      <c r="J333" s="12"/>
    </row>
    <row r="334">
      <c r="A334">
        <f>IFERROR(__xludf.DUMMYFUNCTION("""COMPUTED_VALUE"""),463.0)</f>
        <v>463</v>
      </c>
      <c r="B334" s="12"/>
      <c r="C334" s="12"/>
      <c r="D334" s="12"/>
      <c r="E334" s="12"/>
      <c r="F334" s="12"/>
      <c r="G334" s="12"/>
      <c r="H334" s="12"/>
      <c r="I334" s="12"/>
      <c r="J334" s="12"/>
    </row>
    <row r="335">
      <c r="A335">
        <f>IFERROR(__xludf.DUMMYFUNCTION("""COMPUTED_VALUE"""),464.0)</f>
        <v>464</v>
      </c>
      <c r="B335" s="12"/>
      <c r="C335" s="12"/>
      <c r="D335" s="12"/>
      <c r="E335" s="12"/>
      <c r="F335" s="12"/>
      <c r="G335" s="12"/>
      <c r="H335" s="12"/>
      <c r="I335" s="12"/>
      <c r="J335" s="12"/>
    </row>
    <row r="336">
      <c r="A336">
        <f>IFERROR(__xludf.DUMMYFUNCTION("""COMPUTED_VALUE"""),465.0)</f>
        <v>465</v>
      </c>
      <c r="B336" s="12"/>
      <c r="C336" s="12"/>
      <c r="D336" s="12"/>
      <c r="E336" s="12"/>
      <c r="F336" s="12"/>
      <c r="G336" s="12"/>
      <c r="H336" s="12"/>
      <c r="I336" s="12"/>
      <c r="J336" s="12"/>
    </row>
    <row r="337">
      <c r="A337">
        <f>IFERROR(__xludf.DUMMYFUNCTION("""COMPUTED_VALUE"""),466.0)</f>
        <v>466</v>
      </c>
      <c r="B337" s="12"/>
      <c r="C337" s="12"/>
      <c r="D337" s="12"/>
      <c r="E337" s="12"/>
      <c r="F337" s="12"/>
      <c r="G337" s="12"/>
      <c r="H337" s="12"/>
      <c r="I337" s="12"/>
      <c r="J337" s="12"/>
    </row>
    <row r="338">
      <c r="A338">
        <f>IFERROR(__xludf.DUMMYFUNCTION("""COMPUTED_VALUE"""),468.0)</f>
        <v>468</v>
      </c>
      <c r="B338" s="12"/>
      <c r="C338" s="12"/>
      <c r="D338" s="12"/>
      <c r="E338" s="12"/>
      <c r="F338" s="12"/>
      <c r="G338" s="12"/>
      <c r="H338" s="12"/>
      <c r="I338" s="12"/>
      <c r="J338" s="12"/>
    </row>
    <row r="339">
      <c r="A339">
        <f>IFERROR(__xludf.DUMMYFUNCTION("""COMPUTED_VALUE"""),469.0)</f>
        <v>469</v>
      </c>
      <c r="B339" s="12"/>
      <c r="C339" s="12"/>
      <c r="D339" s="12"/>
      <c r="E339" s="12"/>
      <c r="F339" s="12"/>
      <c r="G339" s="12"/>
      <c r="H339" s="12"/>
      <c r="I339" s="12"/>
      <c r="J339" s="12"/>
    </row>
    <row r="340">
      <c r="A340">
        <f>IFERROR(__xludf.DUMMYFUNCTION("""COMPUTED_VALUE"""),470.0)</f>
        <v>470</v>
      </c>
      <c r="B340" s="12"/>
      <c r="C340" s="12"/>
      <c r="D340" s="12"/>
      <c r="E340" s="12"/>
      <c r="F340" s="12"/>
      <c r="G340" s="12"/>
      <c r="H340" s="12"/>
      <c r="I340" s="12"/>
      <c r="J340" s="12"/>
    </row>
    <row r="341">
      <c r="A341">
        <f>IFERROR(__xludf.DUMMYFUNCTION("""COMPUTED_VALUE"""),471.0)</f>
        <v>471</v>
      </c>
      <c r="B341" s="12"/>
      <c r="C341" s="12"/>
      <c r="D341" s="12"/>
      <c r="E341" s="12"/>
      <c r="F341" s="12"/>
      <c r="G341" s="12"/>
      <c r="H341" s="12"/>
      <c r="I341" s="12"/>
      <c r="J341" s="12"/>
    </row>
    <row r="342">
      <c r="A342">
        <f>IFERROR(__xludf.DUMMYFUNCTION("""COMPUTED_VALUE"""),474.0)</f>
        <v>474</v>
      </c>
      <c r="B342" s="12"/>
      <c r="C342" s="12"/>
      <c r="D342" s="12"/>
      <c r="E342" s="12"/>
      <c r="F342" s="12"/>
      <c r="G342" s="12"/>
      <c r="H342" s="12"/>
      <c r="I342" s="12"/>
      <c r="J342" s="12"/>
    </row>
    <row r="343">
      <c r="A343">
        <f>IFERROR(__xludf.DUMMYFUNCTION("""COMPUTED_VALUE"""),475.0)</f>
        <v>475</v>
      </c>
      <c r="B343" s="12"/>
      <c r="C343" s="12"/>
      <c r="D343" s="12"/>
      <c r="E343" s="12"/>
      <c r="F343" s="12"/>
      <c r="G343" s="12"/>
      <c r="H343" s="12"/>
      <c r="I343" s="12"/>
      <c r="J343" s="12"/>
    </row>
    <row r="344">
      <c r="A344">
        <f>IFERROR(__xludf.DUMMYFUNCTION("""COMPUTED_VALUE"""),476.0)</f>
        <v>476</v>
      </c>
      <c r="B344" s="12"/>
      <c r="C344" s="12"/>
      <c r="D344" s="12"/>
      <c r="E344" s="12"/>
      <c r="F344" s="12"/>
      <c r="G344" s="12"/>
      <c r="H344" s="12"/>
      <c r="I344" s="12"/>
      <c r="J344" s="12"/>
    </row>
    <row r="345">
      <c r="A345">
        <f>IFERROR(__xludf.DUMMYFUNCTION("""COMPUTED_VALUE"""),477.0)</f>
        <v>477</v>
      </c>
      <c r="B345" s="12"/>
      <c r="C345" s="12"/>
      <c r="D345" s="12"/>
      <c r="E345" s="12"/>
      <c r="F345" s="12"/>
      <c r="G345" s="12"/>
      <c r="H345" s="12"/>
      <c r="I345" s="12"/>
      <c r="J345" s="12"/>
    </row>
    <row r="346">
      <c r="A346">
        <f>IFERROR(__xludf.DUMMYFUNCTION("""COMPUTED_VALUE"""),479.0)</f>
        <v>479</v>
      </c>
      <c r="B346" s="12"/>
      <c r="C346" s="12"/>
      <c r="D346" s="12"/>
      <c r="E346" s="12"/>
      <c r="F346" s="12"/>
      <c r="G346" s="12"/>
      <c r="H346" s="12"/>
      <c r="I346" s="12"/>
      <c r="J346" s="12"/>
    </row>
    <row r="347">
      <c r="A347">
        <f>IFERROR(__xludf.DUMMYFUNCTION("""COMPUTED_VALUE"""),480.0)</f>
        <v>480</v>
      </c>
      <c r="B347" s="12"/>
      <c r="C347" s="12"/>
      <c r="D347" s="12"/>
      <c r="E347" s="12"/>
      <c r="F347" s="12"/>
      <c r="G347" s="12"/>
      <c r="H347" s="12"/>
      <c r="I347" s="12"/>
      <c r="J347" s="12"/>
    </row>
    <row r="348">
      <c r="A348">
        <f>IFERROR(__xludf.DUMMYFUNCTION("""COMPUTED_VALUE"""),483.0)</f>
        <v>483</v>
      </c>
      <c r="B348" s="12"/>
      <c r="C348" s="12"/>
      <c r="D348" s="12"/>
      <c r="E348" s="12"/>
      <c r="F348" s="12"/>
      <c r="G348" s="12"/>
      <c r="H348" s="12"/>
      <c r="I348" s="12"/>
      <c r="J348" s="12"/>
    </row>
    <row r="349">
      <c r="A349">
        <f>IFERROR(__xludf.DUMMYFUNCTION("""COMPUTED_VALUE"""),484.0)</f>
        <v>484</v>
      </c>
      <c r="B349" s="12"/>
      <c r="C349" s="12"/>
      <c r="D349" s="12"/>
      <c r="E349" s="12"/>
      <c r="F349" s="12"/>
      <c r="G349" s="12"/>
      <c r="H349" s="12"/>
      <c r="I349" s="12"/>
      <c r="J349" s="12"/>
    </row>
    <row r="350">
      <c r="A350">
        <f>IFERROR(__xludf.DUMMYFUNCTION("""COMPUTED_VALUE"""),485.0)</f>
        <v>485</v>
      </c>
      <c r="B350" s="12"/>
      <c r="C350" s="12"/>
      <c r="D350" s="12"/>
      <c r="E350" s="12"/>
      <c r="F350" s="12"/>
      <c r="G350" s="12"/>
      <c r="H350" s="12"/>
      <c r="I350" s="12"/>
      <c r="J350" s="12"/>
    </row>
    <row r="351">
      <c r="A351">
        <f>IFERROR(__xludf.DUMMYFUNCTION("""COMPUTED_VALUE"""),486.0)</f>
        <v>486</v>
      </c>
      <c r="B351" s="12"/>
      <c r="C351" s="12"/>
      <c r="D351" s="12"/>
      <c r="E351" s="12"/>
      <c r="F351" s="12"/>
      <c r="G351" s="12"/>
      <c r="H351" s="12"/>
      <c r="I351" s="12"/>
      <c r="J351" s="12"/>
    </row>
    <row r="352">
      <c r="A352">
        <f>IFERROR(__xludf.DUMMYFUNCTION("""COMPUTED_VALUE"""),487.0)</f>
        <v>487</v>
      </c>
      <c r="B352" s="12"/>
      <c r="C352" s="12"/>
      <c r="D352" s="12"/>
      <c r="E352" s="12"/>
      <c r="F352" s="12"/>
      <c r="G352" s="12"/>
      <c r="H352" s="12"/>
      <c r="I352" s="12"/>
      <c r="J352" s="12"/>
    </row>
    <row r="353">
      <c r="A353">
        <f>IFERROR(__xludf.DUMMYFUNCTION("""COMPUTED_VALUE"""),488.0)</f>
        <v>488</v>
      </c>
      <c r="B353" s="12"/>
      <c r="C353" s="12"/>
      <c r="D353" s="12"/>
      <c r="E353" s="12"/>
      <c r="F353" s="12"/>
      <c r="G353" s="12"/>
      <c r="H353" s="12"/>
      <c r="I353" s="12"/>
      <c r="J353" s="12"/>
    </row>
    <row r="354">
      <c r="A354">
        <f>IFERROR(__xludf.DUMMYFUNCTION("""COMPUTED_VALUE"""),489.0)</f>
        <v>489</v>
      </c>
      <c r="B354" s="12"/>
      <c r="C354" s="12"/>
      <c r="D354" s="12"/>
      <c r="E354" s="12"/>
      <c r="F354" s="12"/>
      <c r="G354" s="12"/>
      <c r="H354" s="12"/>
      <c r="I354" s="12"/>
      <c r="J354" s="12"/>
    </row>
    <row r="355">
      <c r="A355">
        <f>IFERROR(__xludf.DUMMYFUNCTION("""COMPUTED_VALUE"""),490.0)</f>
        <v>490</v>
      </c>
      <c r="B355" s="12"/>
      <c r="C355" s="12"/>
      <c r="D355" s="12"/>
      <c r="E355" s="12"/>
      <c r="F355" s="12"/>
      <c r="G355" s="12"/>
      <c r="H355" s="12"/>
      <c r="I355" s="12"/>
      <c r="J355" s="12"/>
    </row>
    <row r="356">
      <c r="A356">
        <f>IFERROR(__xludf.DUMMYFUNCTION("""COMPUTED_VALUE"""),491.0)</f>
        <v>491</v>
      </c>
      <c r="B356" s="12"/>
      <c r="C356" s="12"/>
      <c r="D356" s="12"/>
      <c r="E356" s="12"/>
      <c r="F356" s="12"/>
      <c r="G356" s="12"/>
      <c r="H356" s="12"/>
      <c r="I356" s="12"/>
      <c r="J356" s="12"/>
    </row>
    <row r="357">
      <c r="A357">
        <f>IFERROR(__xludf.DUMMYFUNCTION("""COMPUTED_VALUE"""),493.0)</f>
        <v>493</v>
      </c>
      <c r="B357" s="12"/>
      <c r="C357" s="12"/>
      <c r="D357" s="12"/>
      <c r="E357" s="12"/>
      <c r="F357" s="12"/>
      <c r="G357" s="12"/>
      <c r="H357" s="12"/>
      <c r="I357" s="12"/>
      <c r="J357" s="12"/>
    </row>
    <row r="358">
      <c r="A358">
        <f>IFERROR(__xludf.DUMMYFUNCTION("""COMPUTED_VALUE"""),496.0)</f>
        <v>496</v>
      </c>
      <c r="B358" s="12"/>
      <c r="C358" s="12"/>
      <c r="D358" s="12"/>
      <c r="E358" s="12"/>
      <c r="F358" s="12"/>
      <c r="G358" s="12"/>
      <c r="H358" s="12"/>
      <c r="I358" s="12"/>
      <c r="J358" s="12"/>
    </row>
    <row r="359">
      <c r="A359">
        <f>IFERROR(__xludf.DUMMYFUNCTION("""COMPUTED_VALUE"""),497.0)</f>
        <v>497</v>
      </c>
      <c r="B359" s="12"/>
      <c r="C359" s="12"/>
      <c r="D359" s="12"/>
      <c r="E359" s="12"/>
      <c r="F359" s="12"/>
      <c r="G359" s="12"/>
      <c r="H359" s="12"/>
      <c r="I359" s="12"/>
      <c r="J359" s="12"/>
    </row>
    <row r="360">
      <c r="A360">
        <f>IFERROR(__xludf.DUMMYFUNCTION("""COMPUTED_VALUE"""),498.0)</f>
        <v>498</v>
      </c>
      <c r="B360" s="12"/>
      <c r="C360" s="12"/>
      <c r="D360" s="12"/>
      <c r="E360" s="12"/>
      <c r="F360" s="12"/>
      <c r="G360" s="12"/>
      <c r="H360" s="12"/>
      <c r="I360" s="12"/>
      <c r="J360" s="12"/>
    </row>
    <row r="361">
      <c r="A361">
        <f>IFERROR(__xludf.DUMMYFUNCTION("""COMPUTED_VALUE"""),499.0)</f>
        <v>499</v>
      </c>
      <c r="B361" s="12"/>
      <c r="C361" s="12"/>
      <c r="D361" s="12"/>
      <c r="E361" s="12"/>
      <c r="F361" s="12"/>
      <c r="G361" s="12"/>
      <c r="H361" s="12"/>
      <c r="I361" s="12"/>
      <c r="J361" s="12"/>
    </row>
    <row r="362">
      <c r="A362">
        <f>IFERROR(__xludf.DUMMYFUNCTION("""COMPUTED_VALUE"""),501.0)</f>
        <v>501</v>
      </c>
      <c r="B362" s="12"/>
      <c r="C362" s="12"/>
      <c r="D362" s="12"/>
      <c r="E362" s="12"/>
      <c r="F362" s="12"/>
      <c r="G362" s="12"/>
      <c r="H362" s="12"/>
      <c r="I362" s="12"/>
      <c r="J362" s="12"/>
    </row>
    <row r="363">
      <c r="A363">
        <f>IFERROR(__xludf.DUMMYFUNCTION("""COMPUTED_VALUE"""),502.0)</f>
        <v>502</v>
      </c>
      <c r="B363" s="12"/>
      <c r="C363" s="12"/>
      <c r="D363" s="12"/>
      <c r="E363" s="12"/>
      <c r="F363" s="12"/>
      <c r="G363" s="12"/>
      <c r="H363" s="12"/>
      <c r="I363" s="12"/>
      <c r="J363" s="12"/>
    </row>
    <row r="364">
      <c r="A364">
        <f>IFERROR(__xludf.DUMMYFUNCTION("""COMPUTED_VALUE"""),503.0)</f>
        <v>503</v>
      </c>
      <c r="B364" s="12"/>
      <c r="C364" s="12"/>
      <c r="D364" s="12"/>
      <c r="E364" s="12"/>
      <c r="F364" s="12"/>
      <c r="G364" s="12"/>
      <c r="H364" s="12"/>
      <c r="I364" s="12"/>
      <c r="J364" s="12"/>
    </row>
    <row r="365">
      <c r="A365">
        <f>IFERROR(__xludf.DUMMYFUNCTION("""COMPUTED_VALUE"""),504.0)</f>
        <v>504</v>
      </c>
      <c r="B365" s="12"/>
      <c r="C365" s="12"/>
      <c r="D365" s="12"/>
      <c r="E365" s="12"/>
      <c r="F365" s="12"/>
      <c r="G365" s="12"/>
      <c r="H365" s="12"/>
      <c r="I365" s="12"/>
      <c r="J365" s="12"/>
    </row>
    <row r="366">
      <c r="A366">
        <f>IFERROR(__xludf.DUMMYFUNCTION("""COMPUTED_VALUE"""),505.0)</f>
        <v>505</v>
      </c>
      <c r="B366" s="12"/>
      <c r="C366" s="12"/>
      <c r="D366" s="12"/>
      <c r="E366" s="12"/>
      <c r="F366" s="12"/>
      <c r="G366" s="12"/>
      <c r="H366" s="12"/>
      <c r="I366" s="12"/>
      <c r="J366" s="12"/>
    </row>
    <row r="367">
      <c r="A367">
        <f>IFERROR(__xludf.DUMMYFUNCTION("""COMPUTED_VALUE"""),507.0)</f>
        <v>507</v>
      </c>
      <c r="B367" s="12"/>
      <c r="C367" s="12"/>
      <c r="D367" s="12"/>
      <c r="E367" s="12"/>
      <c r="F367" s="12"/>
      <c r="G367" s="12"/>
      <c r="H367" s="12"/>
      <c r="I367" s="12"/>
      <c r="J367" s="12"/>
    </row>
    <row r="368">
      <c r="A368">
        <f>IFERROR(__xludf.DUMMYFUNCTION("""COMPUTED_VALUE"""),508.0)</f>
        <v>508</v>
      </c>
      <c r="B368" s="12"/>
      <c r="C368" s="12"/>
      <c r="D368" s="12"/>
      <c r="E368" s="12"/>
      <c r="F368" s="12"/>
      <c r="G368" s="12"/>
      <c r="H368" s="12"/>
      <c r="I368" s="12"/>
      <c r="J368" s="12"/>
    </row>
    <row r="369">
      <c r="A369">
        <f>IFERROR(__xludf.DUMMYFUNCTION("""COMPUTED_VALUE"""),509.0)</f>
        <v>509</v>
      </c>
      <c r="B369" s="12"/>
      <c r="C369" s="12"/>
      <c r="D369" s="12"/>
      <c r="E369" s="12"/>
      <c r="F369" s="12"/>
      <c r="G369" s="12"/>
      <c r="H369" s="12"/>
      <c r="I369" s="12"/>
      <c r="J369" s="12"/>
    </row>
    <row r="370">
      <c r="A370">
        <f>IFERROR(__xludf.DUMMYFUNCTION("""COMPUTED_VALUE"""),510.0)</f>
        <v>510</v>
      </c>
      <c r="B370" s="12"/>
      <c r="C370" s="12"/>
      <c r="D370" s="12"/>
      <c r="E370" s="12"/>
      <c r="F370" s="12"/>
      <c r="G370" s="12"/>
      <c r="H370" s="12"/>
      <c r="I370" s="12"/>
      <c r="J370" s="12"/>
    </row>
    <row r="371">
      <c r="A371">
        <f>IFERROR(__xludf.DUMMYFUNCTION("""COMPUTED_VALUE"""),511.0)</f>
        <v>511</v>
      </c>
      <c r="B371" s="12"/>
      <c r="C371" s="12"/>
      <c r="D371" s="12"/>
      <c r="E371" s="12"/>
      <c r="F371" s="12"/>
      <c r="G371" s="12"/>
      <c r="H371" s="12"/>
      <c r="I371" s="12"/>
      <c r="J371" s="12"/>
    </row>
    <row r="372">
      <c r="A372">
        <f>IFERROR(__xludf.DUMMYFUNCTION("""COMPUTED_VALUE"""),512.0)</f>
        <v>512</v>
      </c>
      <c r="B372" s="12"/>
      <c r="C372" s="12"/>
      <c r="D372" s="12"/>
      <c r="E372" s="12"/>
      <c r="F372" s="12"/>
      <c r="G372" s="12"/>
      <c r="H372" s="12"/>
      <c r="I372" s="12"/>
      <c r="J372" s="12"/>
    </row>
    <row r="373">
      <c r="A373">
        <f>IFERROR(__xludf.DUMMYFUNCTION("""COMPUTED_VALUE"""),513.0)</f>
        <v>513</v>
      </c>
      <c r="B373" s="12"/>
      <c r="C373" s="12"/>
      <c r="D373" s="12"/>
      <c r="E373" s="12"/>
      <c r="F373" s="12"/>
      <c r="G373" s="12"/>
      <c r="H373" s="12"/>
      <c r="I373" s="12"/>
      <c r="J373" s="12"/>
    </row>
    <row r="374">
      <c r="A374">
        <f>IFERROR(__xludf.DUMMYFUNCTION("""COMPUTED_VALUE"""),514.0)</f>
        <v>514</v>
      </c>
      <c r="B374" s="12"/>
      <c r="C374" s="12"/>
      <c r="D374" s="12"/>
      <c r="E374" s="12"/>
      <c r="F374" s="12"/>
      <c r="G374" s="12"/>
      <c r="H374" s="12"/>
      <c r="I374" s="12"/>
      <c r="J374" s="12"/>
    </row>
    <row r="375">
      <c r="A375">
        <f>IFERROR(__xludf.DUMMYFUNCTION("""COMPUTED_VALUE"""),515.0)</f>
        <v>515</v>
      </c>
      <c r="B375" s="12"/>
      <c r="C375" s="12"/>
      <c r="D375" s="12"/>
      <c r="E375" s="12"/>
      <c r="F375" s="12"/>
      <c r="G375" s="12"/>
      <c r="H375" s="12"/>
      <c r="I375" s="12"/>
      <c r="J375" s="12"/>
    </row>
    <row r="376">
      <c r="A376">
        <f>IFERROR(__xludf.DUMMYFUNCTION("""COMPUTED_VALUE"""),516.0)</f>
        <v>516</v>
      </c>
      <c r="B376" s="12"/>
      <c r="C376" s="12"/>
      <c r="D376" s="12"/>
      <c r="E376" s="12"/>
      <c r="F376" s="12"/>
      <c r="G376" s="12"/>
      <c r="H376" s="12"/>
      <c r="I376" s="12"/>
      <c r="J376" s="12"/>
    </row>
    <row r="377">
      <c r="A377">
        <f>IFERROR(__xludf.DUMMYFUNCTION("""COMPUTED_VALUE"""),517.0)</f>
        <v>517</v>
      </c>
      <c r="B377" s="12"/>
      <c r="C377" s="12"/>
      <c r="D377" s="12"/>
      <c r="E377" s="12"/>
      <c r="F377" s="12"/>
      <c r="G377" s="12"/>
      <c r="H377" s="12"/>
      <c r="I377" s="12"/>
      <c r="J377" s="12"/>
    </row>
    <row r="378">
      <c r="A378">
        <f>IFERROR(__xludf.DUMMYFUNCTION("""COMPUTED_VALUE"""),518.0)</f>
        <v>518</v>
      </c>
      <c r="B378" s="12"/>
      <c r="C378" s="12"/>
      <c r="D378" s="12"/>
      <c r="E378" s="12"/>
      <c r="F378" s="12"/>
      <c r="G378" s="12"/>
      <c r="H378" s="12"/>
      <c r="I378" s="12"/>
      <c r="J378" s="12"/>
    </row>
    <row r="379">
      <c r="A379">
        <f>IFERROR(__xludf.DUMMYFUNCTION("""COMPUTED_VALUE"""),519.0)</f>
        <v>519</v>
      </c>
      <c r="B379" s="12"/>
      <c r="C379" s="12"/>
      <c r="D379" s="12"/>
      <c r="E379" s="12"/>
      <c r="F379" s="12"/>
      <c r="G379" s="12"/>
      <c r="H379" s="12"/>
      <c r="I379" s="12"/>
      <c r="J379" s="12"/>
    </row>
    <row r="380">
      <c r="A380">
        <f>IFERROR(__xludf.DUMMYFUNCTION("""COMPUTED_VALUE"""),521.0)</f>
        <v>521</v>
      </c>
      <c r="B380" s="12"/>
      <c r="C380" s="12"/>
      <c r="D380" s="12"/>
      <c r="E380" s="12"/>
      <c r="F380" s="12"/>
      <c r="G380" s="12"/>
      <c r="H380" s="12"/>
      <c r="I380" s="12"/>
      <c r="J380" s="12"/>
    </row>
    <row r="381">
      <c r="A381">
        <f>IFERROR(__xludf.DUMMYFUNCTION("""COMPUTED_VALUE"""),522.0)</f>
        <v>522</v>
      </c>
      <c r="B381" s="12"/>
      <c r="C381" s="12"/>
      <c r="D381" s="12"/>
      <c r="E381" s="12"/>
      <c r="F381" s="12"/>
      <c r="G381" s="12"/>
      <c r="H381" s="12"/>
      <c r="I381" s="12"/>
      <c r="J381" s="12"/>
    </row>
    <row r="382">
      <c r="A382">
        <f>IFERROR(__xludf.DUMMYFUNCTION("""COMPUTED_VALUE"""),523.0)</f>
        <v>523</v>
      </c>
      <c r="B382" s="12"/>
      <c r="C382" s="12"/>
      <c r="D382" s="12"/>
      <c r="E382" s="12"/>
      <c r="F382" s="12"/>
      <c r="G382" s="12"/>
      <c r="H382" s="12"/>
      <c r="I382" s="12"/>
      <c r="J382" s="12"/>
    </row>
    <row r="383">
      <c r="A383">
        <f>IFERROR(__xludf.DUMMYFUNCTION("""COMPUTED_VALUE"""),527.0)</f>
        <v>527</v>
      </c>
      <c r="B383" s="12"/>
      <c r="C383" s="12"/>
      <c r="D383" s="12"/>
      <c r="E383" s="12"/>
      <c r="F383" s="12"/>
      <c r="G383" s="12"/>
      <c r="H383" s="12"/>
      <c r="I383" s="12"/>
      <c r="J383" s="12"/>
    </row>
    <row r="384">
      <c r="A384">
        <f>IFERROR(__xludf.DUMMYFUNCTION("""COMPUTED_VALUE"""),528.0)</f>
        <v>528</v>
      </c>
      <c r="B384" s="12"/>
      <c r="C384" s="12"/>
      <c r="D384" s="12"/>
      <c r="E384" s="12"/>
      <c r="F384" s="12"/>
      <c r="G384" s="12"/>
      <c r="H384" s="12"/>
      <c r="I384" s="12"/>
      <c r="J384" s="12"/>
    </row>
    <row r="385">
      <c r="A385">
        <f>IFERROR(__xludf.DUMMYFUNCTION("""COMPUTED_VALUE"""),529.0)</f>
        <v>529</v>
      </c>
      <c r="B385" s="12"/>
      <c r="C385" s="12"/>
      <c r="D385" s="12"/>
      <c r="E385" s="12"/>
      <c r="F385" s="12"/>
      <c r="G385" s="12"/>
      <c r="H385" s="12"/>
      <c r="I385" s="12"/>
      <c r="J385" s="12"/>
    </row>
    <row r="386">
      <c r="A386">
        <f>IFERROR(__xludf.DUMMYFUNCTION("""COMPUTED_VALUE"""),530.0)</f>
        <v>530</v>
      </c>
      <c r="B386" s="12"/>
      <c r="C386" s="12"/>
      <c r="D386" s="12"/>
      <c r="E386" s="12"/>
      <c r="F386" s="12"/>
      <c r="G386" s="12"/>
      <c r="H386" s="12"/>
      <c r="I386" s="12"/>
      <c r="J386" s="12"/>
    </row>
    <row r="387">
      <c r="A387">
        <f>IFERROR(__xludf.DUMMYFUNCTION("""COMPUTED_VALUE"""),532.0)</f>
        <v>532</v>
      </c>
      <c r="B387" s="12"/>
      <c r="C387" s="12"/>
      <c r="D387" s="12"/>
      <c r="E387" s="12"/>
      <c r="F387" s="12"/>
      <c r="G387" s="12"/>
      <c r="H387" s="12"/>
      <c r="I387" s="12"/>
      <c r="J387" s="12"/>
    </row>
    <row r="388">
      <c r="A388">
        <f>IFERROR(__xludf.DUMMYFUNCTION("""COMPUTED_VALUE"""),533.0)</f>
        <v>533</v>
      </c>
      <c r="B388" s="12"/>
      <c r="C388" s="12"/>
      <c r="D388" s="12"/>
      <c r="E388" s="12"/>
      <c r="F388" s="12"/>
      <c r="G388" s="12"/>
      <c r="H388" s="12"/>
      <c r="I388" s="12"/>
      <c r="J388" s="12"/>
    </row>
    <row r="389">
      <c r="A389">
        <f>IFERROR(__xludf.DUMMYFUNCTION("""COMPUTED_VALUE"""),536.0)</f>
        <v>536</v>
      </c>
      <c r="B389" s="12"/>
      <c r="C389" s="12"/>
      <c r="D389" s="12"/>
      <c r="E389" s="12"/>
      <c r="F389" s="12"/>
      <c r="G389" s="12"/>
      <c r="H389" s="12"/>
      <c r="I389" s="12"/>
      <c r="J389" s="12"/>
    </row>
    <row r="390">
      <c r="A390">
        <f>IFERROR(__xludf.DUMMYFUNCTION("""COMPUTED_VALUE"""),537.0)</f>
        <v>537</v>
      </c>
      <c r="B390" s="12"/>
      <c r="C390" s="12"/>
      <c r="D390" s="12"/>
      <c r="E390" s="12"/>
      <c r="F390" s="12"/>
      <c r="G390" s="12"/>
      <c r="H390" s="12"/>
      <c r="I390" s="12"/>
      <c r="J390" s="12"/>
    </row>
    <row r="391">
      <c r="A391">
        <f>IFERROR(__xludf.DUMMYFUNCTION("""COMPUTED_VALUE"""),538.0)</f>
        <v>538</v>
      </c>
      <c r="B391" s="12"/>
      <c r="C391" s="12"/>
      <c r="D391" s="12"/>
      <c r="E391" s="12"/>
      <c r="F391" s="12"/>
      <c r="G391" s="12"/>
      <c r="H391" s="12"/>
      <c r="I391" s="12"/>
      <c r="J391" s="12"/>
    </row>
    <row r="392">
      <c r="A392">
        <f>IFERROR(__xludf.DUMMYFUNCTION("""COMPUTED_VALUE"""),539.0)</f>
        <v>539</v>
      </c>
      <c r="B392" s="12"/>
      <c r="C392" s="12"/>
      <c r="D392" s="12"/>
      <c r="E392" s="12"/>
      <c r="F392" s="12"/>
      <c r="G392" s="12"/>
      <c r="H392" s="12"/>
      <c r="I392" s="12"/>
      <c r="J392" s="12"/>
    </row>
    <row r="393">
      <c r="A393">
        <f>IFERROR(__xludf.DUMMYFUNCTION("""COMPUTED_VALUE"""),540.0)</f>
        <v>540</v>
      </c>
      <c r="B393" s="12"/>
      <c r="C393" s="12"/>
      <c r="D393" s="12"/>
      <c r="E393" s="12"/>
      <c r="F393" s="12"/>
      <c r="G393" s="12"/>
      <c r="H393" s="12"/>
      <c r="I393" s="12"/>
      <c r="J393" s="12"/>
    </row>
    <row r="394">
      <c r="A394">
        <f>IFERROR(__xludf.DUMMYFUNCTION("""COMPUTED_VALUE"""),542.0)</f>
        <v>542</v>
      </c>
      <c r="B394" s="12"/>
      <c r="C394" s="12"/>
      <c r="D394" s="12"/>
      <c r="E394" s="12"/>
      <c r="F394" s="12"/>
      <c r="G394" s="12"/>
      <c r="H394" s="12"/>
      <c r="I394" s="12"/>
      <c r="J394" s="12"/>
    </row>
    <row r="395">
      <c r="A395">
        <f>IFERROR(__xludf.DUMMYFUNCTION("""COMPUTED_VALUE"""),543.0)</f>
        <v>543</v>
      </c>
      <c r="B395" s="12"/>
      <c r="C395" s="12"/>
      <c r="D395" s="12"/>
      <c r="E395" s="12"/>
      <c r="F395" s="12"/>
      <c r="G395" s="12"/>
      <c r="H395" s="12"/>
      <c r="I395" s="12"/>
      <c r="J395" s="12"/>
    </row>
    <row r="396">
      <c r="A396">
        <f>IFERROR(__xludf.DUMMYFUNCTION("""COMPUTED_VALUE"""),544.0)</f>
        <v>544</v>
      </c>
      <c r="B396" s="12"/>
      <c r="C396" s="12"/>
      <c r="D396" s="12"/>
      <c r="E396" s="12"/>
      <c r="F396" s="12"/>
      <c r="G396" s="12"/>
      <c r="H396" s="12"/>
      <c r="I396" s="12"/>
      <c r="J396" s="12"/>
    </row>
    <row r="397">
      <c r="A397">
        <f>IFERROR(__xludf.DUMMYFUNCTION("""COMPUTED_VALUE"""),545.0)</f>
        <v>545</v>
      </c>
      <c r="B397" s="12"/>
      <c r="C397" s="12"/>
      <c r="D397" s="12"/>
      <c r="E397" s="12"/>
      <c r="F397" s="12"/>
      <c r="G397" s="12"/>
      <c r="H397" s="12"/>
      <c r="I397" s="12"/>
      <c r="J397" s="12"/>
    </row>
    <row r="398">
      <c r="A398">
        <f>IFERROR(__xludf.DUMMYFUNCTION("""COMPUTED_VALUE"""),547.0)</f>
        <v>547</v>
      </c>
      <c r="B398" s="12"/>
      <c r="C398" s="12"/>
      <c r="D398" s="12"/>
      <c r="E398" s="12"/>
      <c r="F398" s="12"/>
      <c r="G398" s="12"/>
      <c r="H398" s="12"/>
      <c r="I398" s="12"/>
      <c r="J398" s="12"/>
    </row>
    <row r="399">
      <c r="A399">
        <f>IFERROR(__xludf.DUMMYFUNCTION("""COMPUTED_VALUE"""),548.0)</f>
        <v>548</v>
      </c>
      <c r="B399" s="12"/>
      <c r="C399" s="12"/>
      <c r="D399" s="12"/>
      <c r="E399" s="12"/>
      <c r="F399" s="12"/>
      <c r="G399" s="12"/>
      <c r="H399" s="12"/>
      <c r="I399" s="12"/>
      <c r="J399" s="12"/>
    </row>
    <row r="400">
      <c r="A400">
        <f>IFERROR(__xludf.DUMMYFUNCTION("""COMPUTED_VALUE"""),549.0)</f>
        <v>549</v>
      </c>
      <c r="B400" s="12"/>
      <c r="C400" s="12"/>
      <c r="D400" s="12"/>
      <c r="E400" s="12"/>
      <c r="F400" s="12"/>
      <c r="G400" s="12"/>
      <c r="H400" s="12"/>
      <c r="I400" s="12"/>
      <c r="J400" s="12"/>
    </row>
    <row r="401">
      <c r="A401">
        <f>IFERROR(__xludf.DUMMYFUNCTION("""COMPUTED_VALUE"""),550.0)</f>
        <v>550</v>
      </c>
      <c r="B401" s="12"/>
      <c r="C401" s="12"/>
      <c r="D401" s="12"/>
      <c r="E401" s="12"/>
      <c r="F401" s="12"/>
      <c r="G401" s="12"/>
      <c r="H401" s="12"/>
      <c r="I401" s="12"/>
      <c r="J401" s="12"/>
    </row>
    <row r="402">
      <c r="A402">
        <f>IFERROR(__xludf.DUMMYFUNCTION("""COMPUTED_VALUE"""),552.0)</f>
        <v>552</v>
      </c>
      <c r="B402" s="12"/>
      <c r="C402" s="12"/>
      <c r="D402" s="12"/>
      <c r="E402" s="12"/>
      <c r="F402" s="12"/>
      <c r="G402" s="12"/>
      <c r="H402" s="12"/>
      <c r="I402" s="12"/>
      <c r="J402" s="12"/>
    </row>
    <row r="403">
      <c r="A403">
        <f>IFERROR(__xludf.DUMMYFUNCTION("""COMPUTED_VALUE"""),553.0)</f>
        <v>553</v>
      </c>
      <c r="B403" s="12"/>
      <c r="C403" s="12"/>
      <c r="D403" s="12"/>
      <c r="E403" s="12"/>
      <c r="F403" s="12"/>
      <c r="G403" s="12"/>
      <c r="H403" s="12"/>
      <c r="I403" s="12"/>
      <c r="J403" s="12"/>
    </row>
    <row r="404">
      <c r="A404">
        <f>IFERROR(__xludf.DUMMYFUNCTION("""COMPUTED_VALUE"""),554.0)</f>
        <v>554</v>
      </c>
      <c r="B404" s="12"/>
      <c r="C404" s="12"/>
      <c r="D404" s="12"/>
      <c r="E404" s="12"/>
      <c r="F404" s="12"/>
      <c r="G404" s="12"/>
      <c r="H404" s="12"/>
      <c r="I404" s="12"/>
      <c r="J404" s="12"/>
    </row>
    <row r="405">
      <c r="A405">
        <f>IFERROR(__xludf.DUMMYFUNCTION("""COMPUTED_VALUE"""),555.0)</f>
        <v>555</v>
      </c>
      <c r="B405" s="12"/>
      <c r="C405" s="12"/>
      <c r="D405" s="12"/>
      <c r="E405" s="12"/>
      <c r="F405" s="12"/>
      <c r="G405" s="12"/>
      <c r="H405" s="12"/>
      <c r="I405" s="12"/>
      <c r="J405" s="12"/>
    </row>
    <row r="406">
      <c r="A406">
        <f>IFERROR(__xludf.DUMMYFUNCTION("""COMPUTED_VALUE"""),556.0)</f>
        <v>556</v>
      </c>
      <c r="B406" s="12"/>
      <c r="C406" s="12"/>
      <c r="D406" s="12"/>
      <c r="E406" s="12"/>
      <c r="F406" s="12"/>
      <c r="G406" s="12"/>
      <c r="H406" s="12"/>
      <c r="I406" s="12"/>
      <c r="J406" s="12"/>
    </row>
    <row r="407">
      <c r="A407">
        <f>IFERROR(__xludf.DUMMYFUNCTION("""COMPUTED_VALUE"""),557.0)</f>
        <v>557</v>
      </c>
      <c r="B407" s="12"/>
      <c r="C407" s="12"/>
      <c r="D407" s="12"/>
      <c r="E407" s="12"/>
      <c r="F407" s="12"/>
      <c r="G407" s="12"/>
      <c r="H407" s="12"/>
      <c r="I407" s="12"/>
      <c r="J407" s="12"/>
    </row>
    <row r="408">
      <c r="A408">
        <f>IFERROR(__xludf.DUMMYFUNCTION("""COMPUTED_VALUE"""),558.0)</f>
        <v>558</v>
      </c>
      <c r="B408" s="12"/>
      <c r="C408" s="12"/>
      <c r="D408" s="12"/>
      <c r="E408" s="12"/>
      <c r="F408" s="12"/>
      <c r="G408" s="12"/>
      <c r="H408" s="12"/>
      <c r="I408" s="12"/>
      <c r="J408" s="12"/>
    </row>
    <row r="409">
      <c r="A409">
        <f>IFERROR(__xludf.DUMMYFUNCTION("""COMPUTED_VALUE"""),559.0)</f>
        <v>559</v>
      </c>
      <c r="B409" s="12"/>
      <c r="C409" s="12"/>
      <c r="D409" s="12"/>
      <c r="E409" s="12"/>
      <c r="F409" s="12"/>
      <c r="G409" s="12"/>
      <c r="H409" s="12"/>
      <c r="I409" s="12"/>
      <c r="J409" s="12"/>
    </row>
    <row r="410">
      <c r="A410">
        <f>IFERROR(__xludf.DUMMYFUNCTION("""COMPUTED_VALUE"""),561.0)</f>
        <v>561</v>
      </c>
      <c r="B410" s="12"/>
      <c r="C410" s="12"/>
      <c r="D410" s="12"/>
      <c r="E410" s="12"/>
      <c r="F410" s="12"/>
      <c r="G410" s="12"/>
      <c r="H410" s="12"/>
      <c r="I410" s="12"/>
      <c r="J410" s="12"/>
    </row>
    <row r="411">
      <c r="A411">
        <f>IFERROR(__xludf.DUMMYFUNCTION("""COMPUTED_VALUE"""),562.0)</f>
        <v>562</v>
      </c>
      <c r="B411" s="12"/>
      <c r="C411" s="12"/>
      <c r="D411" s="12"/>
      <c r="E411" s="12"/>
      <c r="F411" s="12"/>
      <c r="G411" s="12"/>
      <c r="H411" s="12"/>
      <c r="I411" s="12"/>
      <c r="J411" s="12"/>
    </row>
    <row r="412">
      <c r="A412">
        <f>IFERROR(__xludf.DUMMYFUNCTION("""COMPUTED_VALUE"""),564.0)</f>
        <v>564</v>
      </c>
      <c r="B412" s="12"/>
      <c r="C412" s="12"/>
      <c r="D412" s="12"/>
      <c r="E412" s="12"/>
      <c r="F412" s="12"/>
      <c r="G412" s="12"/>
      <c r="H412" s="12"/>
      <c r="I412" s="12"/>
      <c r="J412" s="12"/>
    </row>
    <row r="413">
      <c r="A413">
        <f>IFERROR(__xludf.DUMMYFUNCTION("""COMPUTED_VALUE"""),566.0)</f>
        <v>566</v>
      </c>
      <c r="B413" s="12"/>
      <c r="C413" s="12"/>
      <c r="D413" s="12"/>
      <c r="E413" s="12"/>
      <c r="F413" s="12"/>
      <c r="G413" s="12"/>
      <c r="H413" s="12"/>
      <c r="I413" s="12"/>
      <c r="J413" s="12"/>
    </row>
    <row r="414">
      <c r="A414">
        <f>IFERROR(__xludf.DUMMYFUNCTION("""COMPUTED_VALUE"""),569.0)</f>
        <v>569</v>
      </c>
      <c r="B414" s="12"/>
      <c r="C414" s="12"/>
      <c r="D414" s="12"/>
      <c r="E414" s="12"/>
      <c r="F414" s="12"/>
      <c r="G414" s="12"/>
      <c r="H414" s="12"/>
      <c r="I414" s="12"/>
      <c r="J414" s="12"/>
    </row>
    <row r="415">
      <c r="A415">
        <f>IFERROR(__xludf.DUMMYFUNCTION("""COMPUTED_VALUE"""),570.0)</f>
        <v>570</v>
      </c>
      <c r="B415" s="12"/>
      <c r="C415" s="12"/>
      <c r="D415" s="12"/>
      <c r="E415" s="12"/>
      <c r="F415" s="12"/>
      <c r="G415" s="12"/>
      <c r="H415" s="12"/>
      <c r="I415" s="12"/>
      <c r="J415" s="12"/>
    </row>
    <row r="416">
      <c r="A416">
        <f>IFERROR(__xludf.DUMMYFUNCTION("""COMPUTED_VALUE"""),574.0)</f>
        <v>574</v>
      </c>
      <c r="B416" s="12"/>
      <c r="C416" s="12"/>
      <c r="D416" s="12"/>
      <c r="E416" s="12"/>
      <c r="F416" s="12"/>
      <c r="G416" s="12"/>
      <c r="H416" s="12"/>
      <c r="I416" s="12"/>
      <c r="J416" s="12"/>
    </row>
    <row r="417">
      <c r="A417">
        <f>IFERROR(__xludf.DUMMYFUNCTION("""COMPUTED_VALUE"""),575.0)</f>
        <v>575</v>
      </c>
      <c r="B417" s="12"/>
      <c r="C417" s="12"/>
      <c r="D417" s="12"/>
      <c r="E417" s="12"/>
      <c r="F417" s="12"/>
      <c r="G417" s="12"/>
      <c r="H417" s="12"/>
      <c r="I417" s="12"/>
      <c r="J417" s="12"/>
    </row>
    <row r="418">
      <c r="A418">
        <f>IFERROR(__xludf.DUMMYFUNCTION("""COMPUTED_VALUE"""),577.0)</f>
        <v>577</v>
      </c>
      <c r="B418" s="12"/>
      <c r="C418" s="12"/>
      <c r="D418" s="12"/>
      <c r="E418" s="12"/>
      <c r="F418" s="12"/>
      <c r="G418" s="12"/>
      <c r="H418" s="12"/>
      <c r="I418" s="12"/>
      <c r="J418" s="12"/>
    </row>
    <row r="419">
      <c r="A419">
        <f>IFERROR(__xludf.DUMMYFUNCTION("""COMPUTED_VALUE"""),580.0)</f>
        <v>580</v>
      </c>
      <c r="B419" s="12"/>
      <c r="C419" s="12"/>
      <c r="D419" s="12"/>
      <c r="E419" s="12"/>
      <c r="F419" s="12"/>
      <c r="G419" s="12"/>
      <c r="H419" s="12"/>
      <c r="I419" s="12"/>
      <c r="J419" s="12"/>
    </row>
    <row r="420">
      <c r="A420">
        <f>IFERROR(__xludf.DUMMYFUNCTION("""COMPUTED_VALUE"""),581.0)</f>
        <v>581</v>
      </c>
      <c r="B420" s="12"/>
      <c r="C420" s="12"/>
      <c r="D420" s="12"/>
      <c r="E420" s="12"/>
      <c r="F420" s="12"/>
      <c r="G420" s="12"/>
      <c r="H420" s="12"/>
      <c r="I420" s="12"/>
      <c r="J420" s="12"/>
    </row>
    <row r="421">
      <c r="A421">
        <f>IFERROR(__xludf.DUMMYFUNCTION("""COMPUTED_VALUE"""),582.0)</f>
        <v>582</v>
      </c>
      <c r="B421" s="12"/>
      <c r="C421" s="12"/>
      <c r="D421" s="12"/>
      <c r="E421" s="12"/>
      <c r="F421" s="12"/>
      <c r="G421" s="12"/>
      <c r="H421" s="12"/>
      <c r="I421" s="12"/>
      <c r="J421" s="12"/>
    </row>
    <row r="422">
      <c r="A422">
        <f>IFERROR(__xludf.DUMMYFUNCTION("""COMPUTED_VALUE"""),583.0)</f>
        <v>583</v>
      </c>
      <c r="B422" s="12"/>
      <c r="C422" s="12"/>
      <c r="D422" s="12"/>
      <c r="E422" s="12"/>
      <c r="F422" s="12"/>
      <c r="G422" s="12"/>
      <c r="H422" s="12"/>
      <c r="I422" s="12"/>
      <c r="J422" s="12"/>
    </row>
    <row r="423">
      <c r="A423">
        <f>IFERROR(__xludf.DUMMYFUNCTION("""COMPUTED_VALUE"""),585.0)</f>
        <v>585</v>
      </c>
      <c r="B423" s="12"/>
      <c r="C423" s="12"/>
      <c r="D423" s="12"/>
      <c r="E423" s="12"/>
      <c r="F423" s="12"/>
      <c r="G423" s="12"/>
      <c r="H423" s="12"/>
      <c r="I423" s="12"/>
      <c r="J423" s="12"/>
    </row>
    <row r="424">
      <c r="A424">
        <f>IFERROR(__xludf.DUMMYFUNCTION("""COMPUTED_VALUE"""),588.0)</f>
        <v>588</v>
      </c>
      <c r="B424" s="12"/>
      <c r="C424" s="12"/>
      <c r="D424" s="12"/>
      <c r="E424" s="12"/>
      <c r="F424" s="12"/>
      <c r="G424" s="12"/>
      <c r="H424" s="12"/>
      <c r="I424" s="12"/>
      <c r="J424" s="12"/>
    </row>
    <row r="425">
      <c r="A425">
        <f>IFERROR(__xludf.DUMMYFUNCTION("""COMPUTED_VALUE"""),589.0)</f>
        <v>589</v>
      </c>
      <c r="B425" s="12"/>
      <c r="C425" s="12"/>
      <c r="D425" s="12"/>
      <c r="E425" s="12"/>
      <c r="F425" s="12"/>
      <c r="G425" s="12"/>
      <c r="H425" s="12"/>
      <c r="I425" s="12"/>
      <c r="J425" s="12"/>
    </row>
    <row r="426">
      <c r="A426">
        <f>IFERROR(__xludf.DUMMYFUNCTION("""COMPUTED_VALUE"""),590.0)</f>
        <v>590</v>
      </c>
      <c r="B426" s="12"/>
      <c r="C426" s="12"/>
      <c r="D426" s="12"/>
      <c r="E426" s="12"/>
      <c r="F426" s="12"/>
      <c r="G426" s="12"/>
      <c r="H426" s="12"/>
      <c r="I426" s="12"/>
      <c r="J426" s="12"/>
    </row>
    <row r="427">
      <c r="A427">
        <f>IFERROR(__xludf.DUMMYFUNCTION("""COMPUTED_VALUE"""),591.0)</f>
        <v>591</v>
      </c>
      <c r="B427" s="12"/>
      <c r="C427" s="12"/>
      <c r="D427" s="12"/>
      <c r="E427" s="12"/>
      <c r="F427" s="12"/>
      <c r="G427" s="12"/>
      <c r="H427" s="12"/>
      <c r="I427" s="12"/>
      <c r="J427" s="12"/>
    </row>
    <row r="428">
      <c r="A428">
        <f>IFERROR(__xludf.DUMMYFUNCTION("""COMPUTED_VALUE"""),592.0)</f>
        <v>592</v>
      </c>
      <c r="B428" s="12"/>
      <c r="C428" s="12"/>
      <c r="D428" s="12"/>
      <c r="E428" s="12"/>
      <c r="F428" s="12"/>
      <c r="G428" s="12"/>
      <c r="H428" s="12"/>
      <c r="I428" s="12"/>
      <c r="J428" s="12"/>
    </row>
    <row r="429">
      <c r="A429">
        <f>IFERROR(__xludf.DUMMYFUNCTION("""COMPUTED_VALUE"""),593.0)</f>
        <v>593</v>
      </c>
      <c r="B429" s="12"/>
      <c r="C429" s="12"/>
      <c r="D429" s="12"/>
      <c r="E429" s="12"/>
      <c r="F429" s="12"/>
      <c r="G429" s="12"/>
      <c r="H429" s="12"/>
      <c r="I429" s="12"/>
      <c r="J429" s="12"/>
    </row>
    <row r="430">
      <c r="A430">
        <f>IFERROR(__xludf.DUMMYFUNCTION("""COMPUTED_VALUE"""),594.0)</f>
        <v>594</v>
      </c>
      <c r="B430" s="12"/>
      <c r="C430" s="12"/>
      <c r="D430" s="12"/>
      <c r="E430" s="12"/>
      <c r="F430" s="12"/>
      <c r="G430" s="12"/>
      <c r="H430" s="12"/>
      <c r="I430" s="12"/>
      <c r="J430" s="12"/>
    </row>
    <row r="431">
      <c r="A431">
        <f>IFERROR(__xludf.DUMMYFUNCTION("""COMPUTED_VALUE"""),595.0)</f>
        <v>595</v>
      </c>
      <c r="B431" s="12"/>
      <c r="C431" s="12"/>
      <c r="D431" s="12"/>
      <c r="E431" s="12"/>
      <c r="F431" s="12"/>
      <c r="G431" s="12"/>
      <c r="H431" s="12"/>
      <c r="I431" s="12"/>
      <c r="J431" s="12"/>
    </row>
    <row r="432">
      <c r="A432">
        <f>IFERROR(__xludf.DUMMYFUNCTION("""COMPUTED_VALUE"""),598.0)</f>
        <v>598</v>
      </c>
      <c r="B432" s="12"/>
      <c r="C432" s="12"/>
      <c r="D432" s="12"/>
      <c r="E432" s="12"/>
      <c r="F432" s="12"/>
      <c r="G432" s="12"/>
      <c r="H432" s="12"/>
      <c r="I432" s="12"/>
      <c r="J432" s="12"/>
    </row>
    <row r="433">
      <c r="A433">
        <f>IFERROR(__xludf.DUMMYFUNCTION("""COMPUTED_VALUE"""),600.0)</f>
        <v>600</v>
      </c>
      <c r="B433" s="12"/>
      <c r="C433" s="12"/>
      <c r="D433" s="12"/>
      <c r="E433" s="12"/>
      <c r="F433" s="12"/>
      <c r="G433" s="12"/>
      <c r="H433" s="12"/>
      <c r="I433" s="12"/>
      <c r="J433" s="12"/>
    </row>
    <row r="434">
      <c r="B434" s="12"/>
      <c r="C434" s="12"/>
      <c r="D434" s="12"/>
      <c r="E434" s="12"/>
      <c r="F434" s="12"/>
      <c r="G434" s="12"/>
      <c r="H434" s="12"/>
      <c r="I434" s="12"/>
      <c r="J434" s="12"/>
    </row>
    <row r="435">
      <c r="B435" s="12"/>
      <c r="C435" s="12"/>
      <c r="D435" s="12"/>
      <c r="E435" s="12"/>
      <c r="F435" s="12"/>
      <c r="G435" s="12"/>
      <c r="H435" s="12"/>
      <c r="I435" s="12"/>
      <c r="J435" s="12"/>
    </row>
    <row r="436">
      <c r="B436" s="12"/>
      <c r="C436" s="12"/>
      <c r="D436" s="12"/>
      <c r="E436" s="12"/>
      <c r="F436" s="12"/>
      <c r="G436" s="12"/>
      <c r="H436" s="12"/>
      <c r="I436" s="12"/>
      <c r="J436" s="12"/>
    </row>
    <row r="437">
      <c r="B437" s="12"/>
      <c r="C437" s="12"/>
      <c r="D437" s="12"/>
      <c r="E437" s="12"/>
      <c r="F437" s="12"/>
      <c r="G437" s="12"/>
      <c r="H437" s="12"/>
      <c r="I437" s="12"/>
      <c r="J437" s="12"/>
    </row>
    <row r="438">
      <c r="B438" s="12"/>
      <c r="C438" s="12"/>
      <c r="D438" s="12"/>
      <c r="E438" s="12"/>
      <c r="F438" s="12"/>
      <c r="G438" s="12"/>
      <c r="H438" s="12"/>
      <c r="I438" s="12"/>
      <c r="J438" s="12"/>
    </row>
    <row r="439">
      <c r="B439" s="12"/>
      <c r="C439" s="12"/>
      <c r="D439" s="12"/>
      <c r="E439" s="12"/>
      <c r="F439" s="12"/>
      <c r="G439" s="12"/>
      <c r="H439" s="12"/>
      <c r="I439" s="12"/>
      <c r="J439" s="12"/>
    </row>
    <row r="440">
      <c r="B440" s="12"/>
      <c r="C440" s="12"/>
      <c r="D440" s="12"/>
      <c r="E440" s="12"/>
      <c r="F440" s="12"/>
      <c r="G440" s="12"/>
      <c r="H440" s="12"/>
      <c r="I440" s="12"/>
      <c r="J440" s="12"/>
    </row>
    <row r="441">
      <c r="B441" s="12"/>
      <c r="C441" s="12"/>
      <c r="D441" s="12"/>
      <c r="E441" s="12"/>
      <c r="F441" s="12"/>
      <c r="G441" s="12"/>
      <c r="H441" s="12"/>
      <c r="I441" s="12"/>
      <c r="J441" s="12"/>
    </row>
    <row r="442">
      <c r="B442" s="12"/>
      <c r="C442" s="12"/>
      <c r="D442" s="12"/>
      <c r="E442" s="12"/>
      <c r="F442" s="12"/>
      <c r="G442" s="12"/>
      <c r="H442" s="12"/>
      <c r="I442" s="12"/>
      <c r="J442" s="12"/>
    </row>
    <row r="443">
      <c r="B443" s="12"/>
      <c r="C443" s="12"/>
      <c r="D443" s="12"/>
      <c r="E443" s="12"/>
      <c r="F443" s="12"/>
      <c r="G443" s="12"/>
      <c r="H443" s="12"/>
      <c r="I443" s="12"/>
      <c r="J443" s="12"/>
    </row>
    <row r="444">
      <c r="B444" s="12"/>
      <c r="C444" s="12"/>
      <c r="D444" s="12"/>
      <c r="E444" s="12"/>
      <c r="F444" s="12"/>
      <c r="G444" s="12"/>
      <c r="H444" s="12"/>
      <c r="I444" s="12"/>
      <c r="J444" s="12"/>
    </row>
    <row r="445">
      <c r="B445" s="12"/>
      <c r="C445" s="12"/>
      <c r="D445" s="12"/>
      <c r="E445" s="12"/>
      <c r="F445" s="12"/>
      <c r="G445" s="12"/>
      <c r="H445" s="12"/>
      <c r="I445" s="12"/>
      <c r="J445" s="12"/>
    </row>
    <row r="446">
      <c r="B446" s="12"/>
      <c r="C446" s="12"/>
      <c r="D446" s="12"/>
      <c r="E446" s="12"/>
      <c r="F446" s="12"/>
      <c r="G446" s="12"/>
      <c r="H446" s="12"/>
      <c r="I446" s="12"/>
      <c r="J446" s="12"/>
    </row>
    <row r="447">
      <c r="B447" s="12"/>
      <c r="C447" s="12"/>
      <c r="D447" s="12"/>
      <c r="E447" s="12"/>
      <c r="F447" s="12"/>
      <c r="G447" s="12"/>
      <c r="H447" s="12"/>
      <c r="I447" s="12"/>
      <c r="J447" s="12"/>
    </row>
    <row r="448">
      <c r="B448" s="12"/>
      <c r="C448" s="12"/>
      <c r="D448" s="12"/>
      <c r="E448" s="12"/>
      <c r="F448" s="12"/>
      <c r="G448" s="12"/>
      <c r="H448" s="12"/>
      <c r="I448" s="12"/>
      <c r="J448" s="12"/>
    </row>
    <row r="449">
      <c r="B449" s="12"/>
      <c r="C449" s="12"/>
      <c r="D449" s="12"/>
      <c r="E449" s="12"/>
      <c r="F449" s="12"/>
      <c r="G449" s="12"/>
      <c r="H449" s="12"/>
      <c r="I449" s="12"/>
      <c r="J449" s="12"/>
    </row>
    <row r="450">
      <c r="B450" s="12"/>
      <c r="C450" s="12"/>
      <c r="D450" s="12"/>
      <c r="E450" s="12"/>
      <c r="F450" s="12"/>
      <c r="G450" s="12"/>
      <c r="H450" s="12"/>
      <c r="I450" s="12"/>
      <c r="J450" s="12"/>
    </row>
    <row r="451">
      <c r="B451" s="12"/>
      <c r="C451" s="12"/>
      <c r="D451" s="12"/>
      <c r="E451" s="12"/>
      <c r="F451" s="12"/>
      <c r="G451" s="12"/>
      <c r="H451" s="12"/>
      <c r="I451" s="12"/>
      <c r="J451" s="12"/>
    </row>
    <row r="452">
      <c r="B452" s="12"/>
      <c r="C452" s="12"/>
      <c r="D452" s="12"/>
      <c r="E452" s="12"/>
      <c r="F452" s="12"/>
      <c r="G452" s="12"/>
      <c r="H452" s="12"/>
      <c r="I452" s="12"/>
      <c r="J452" s="12"/>
    </row>
    <row r="453">
      <c r="B453" s="12"/>
      <c r="C453" s="12"/>
      <c r="D453" s="12"/>
      <c r="E453" s="12"/>
      <c r="F453" s="12"/>
      <c r="G453" s="12"/>
      <c r="H453" s="12"/>
      <c r="I453" s="12"/>
      <c r="J453" s="12"/>
    </row>
    <row r="454">
      <c r="B454" s="12"/>
      <c r="C454" s="12"/>
      <c r="D454" s="12"/>
      <c r="E454" s="12"/>
      <c r="F454" s="12"/>
      <c r="G454" s="12"/>
      <c r="H454" s="12"/>
      <c r="I454" s="12"/>
      <c r="J454" s="12"/>
    </row>
    <row r="455">
      <c r="B455" s="12"/>
      <c r="C455" s="12"/>
      <c r="D455" s="12"/>
      <c r="E455" s="12"/>
      <c r="F455" s="12"/>
      <c r="G455" s="12"/>
      <c r="H455" s="12"/>
      <c r="I455" s="12"/>
      <c r="J455" s="12"/>
    </row>
    <row r="456">
      <c r="B456" s="12"/>
      <c r="C456" s="12"/>
      <c r="D456" s="12"/>
      <c r="E456" s="12"/>
      <c r="F456" s="12"/>
      <c r="G456" s="12"/>
      <c r="H456" s="12"/>
      <c r="I456" s="12"/>
      <c r="J456" s="12"/>
    </row>
    <row r="457">
      <c r="B457" s="12"/>
      <c r="C457" s="12"/>
      <c r="D457" s="12"/>
      <c r="E457" s="12"/>
      <c r="F457" s="12"/>
      <c r="G457" s="12"/>
      <c r="H457" s="12"/>
      <c r="I457" s="12"/>
      <c r="J457" s="12"/>
    </row>
    <row r="458">
      <c r="B458" s="12"/>
      <c r="C458" s="12"/>
      <c r="D458" s="12"/>
      <c r="E458" s="12"/>
      <c r="F458" s="12"/>
      <c r="G458" s="12"/>
      <c r="H458" s="12"/>
      <c r="I458" s="12"/>
      <c r="J458" s="12"/>
    </row>
    <row r="459">
      <c r="B459" s="12"/>
      <c r="C459" s="12"/>
      <c r="D459" s="12"/>
      <c r="E459" s="12"/>
      <c r="F459" s="12"/>
      <c r="G459" s="12"/>
      <c r="H459" s="12"/>
      <c r="I459" s="12"/>
      <c r="J459" s="12"/>
    </row>
    <row r="460">
      <c r="B460" s="12"/>
      <c r="C460" s="12"/>
      <c r="D460" s="12"/>
      <c r="E460" s="12"/>
      <c r="F460" s="12"/>
      <c r="G460" s="12"/>
      <c r="H460" s="12"/>
      <c r="I460" s="12"/>
      <c r="J460" s="12"/>
    </row>
    <row r="461">
      <c r="B461" s="12"/>
      <c r="C461" s="12"/>
      <c r="D461" s="12"/>
      <c r="E461" s="12"/>
      <c r="F461" s="12"/>
      <c r="G461" s="12"/>
      <c r="H461" s="12"/>
      <c r="I461" s="12"/>
      <c r="J461" s="12"/>
    </row>
    <row r="462">
      <c r="B462" s="12"/>
      <c r="C462" s="12"/>
      <c r="D462" s="12"/>
      <c r="E462" s="12"/>
      <c r="F462" s="12"/>
      <c r="G462" s="12"/>
      <c r="H462" s="12"/>
      <c r="I462" s="12"/>
      <c r="J462" s="12"/>
    </row>
    <row r="463">
      <c r="B463" s="12"/>
      <c r="C463" s="12"/>
      <c r="D463" s="12"/>
      <c r="E463" s="12"/>
      <c r="F463" s="12"/>
      <c r="G463" s="12"/>
      <c r="H463" s="12"/>
      <c r="I463" s="12"/>
      <c r="J463" s="12"/>
    </row>
    <row r="464">
      <c r="B464" s="12"/>
      <c r="C464" s="12"/>
      <c r="D464" s="12"/>
      <c r="E464" s="12"/>
      <c r="F464" s="12"/>
      <c r="G464" s="12"/>
      <c r="H464" s="12"/>
      <c r="I464" s="12"/>
      <c r="J464" s="12"/>
    </row>
    <row r="465">
      <c r="B465" s="12"/>
      <c r="C465" s="12"/>
      <c r="D465" s="12"/>
      <c r="E465" s="12"/>
      <c r="F465" s="12"/>
      <c r="G465" s="12"/>
      <c r="H465" s="12"/>
      <c r="I465" s="12"/>
      <c r="J465" s="12"/>
    </row>
    <row r="466">
      <c r="B466" s="12"/>
      <c r="C466" s="12"/>
      <c r="D466" s="12"/>
      <c r="E466" s="12"/>
      <c r="F466" s="12"/>
      <c r="G466" s="12"/>
      <c r="H466" s="12"/>
      <c r="I466" s="12"/>
      <c r="J466" s="12"/>
    </row>
    <row r="467">
      <c r="B467" s="12"/>
      <c r="C467" s="12"/>
      <c r="D467" s="12"/>
      <c r="E467" s="12"/>
      <c r="F467" s="12"/>
      <c r="G467" s="12"/>
      <c r="H467" s="12"/>
      <c r="I467" s="12"/>
      <c r="J467" s="12"/>
    </row>
    <row r="468">
      <c r="B468" s="12"/>
      <c r="C468" s="12"/>
      <c r="D468" s="12"/>
      <c r="E468" s="12"/>
      <c r="F468" s="12"/>
      <c r="G468" s="12"/>
      <c r="H468" s="12"/>
      <c r="I468" s="12"/>
      <c r="J468" s="12"/>
    </row>
    <row r="469">
      <c r="B469" s="12"/>
      <c r="C469" s="12"/>
      <c r="D469" s="12"/>
      <c r="E469" s="12"/>
      <c r="F469" s="12"/>
      <c r="G469" s="12"/>
      <c r="H469" s="12"/>
      <c r="I469" s="12"/>
      <c r="J469" s="12"/>
    </row>
    <row r="470">
      <c r="B470" s="12"/>
      <c r="C470" s="12"/>
      <c r="D470" s="12"/>
      <c r="E470" s="12"/>
      <c r="F470" s="12"/>
      <c r="G470" s="12"/>
      <c r="H470" s="12"/>
      <c r="I470" s="12"/>
      <c r="J470" s="12"/>
    </row>
    <row r="471">
      <c r="B471" s="12"/>
      <c r="C471" s="12"/>
      <c r="D471" s="12"/>
      <c r="E471" s="12"/>
      <c r="F471" s="12"/>
      <c r="G471" s="12"/>
      <c r="H471" s="12"/>
      <c r="I471" s="12"/>
      <c r="J471" s="12"/>
    </row>
    <row r="472">
      <c r="B472" s="12"/>
      <c r="C472" s="12"/>
      <c r="D472" s="12"/>
      <c r="E472" s="12"/>
      <c r="F472" s="12"/>
      <c r="G472" s="12"/>
      <c r="H472" s="12"/>
      <c r="I472" s="12"/>
      <c r="J472" s="12"/>
    </row>
    <row r="473">
      <c r="B473" s="12"/>
      <c r="C473" s="12"/>
      <c r="D473" s="12"/>
      <c r="E473" s="12"/>
      <c r="F473" s="12"/>
      <c r="G473" s="12"/>
      <c r="H473" s="12"/>
      <c r="I473" s="12"/>
      <c r="J473" s="12"/>
    </row>
    <row r="474">
      <c r="B474" s="12"/>
      <c r="C474" s="12"/>
      <c r="D474" s="12"/>
      <c r="E474" s="12"/>
      <c r="F474" s="12"/>
      <c r="G474" s="12"/>
      <c r="H474" s="12"/>
      <c r="I474" s="12"/>
      <c r="J474" s="12"/>
    </row>
    <row r="475">
      <c r="B475" s="12"/>
      <c r="C475" s="12"/>
      <c r="D475" s="12"/>
      <c r="E475" s="12"/>
      <c r="F475" s="12"/>
      <c r="G475" s="12"/>
      <c r="H475" s="12"/>
      <c r="I475" s="12"/>
      <c r="J475" s="12"/>
    </row>
    <row r="476">
      <c r="B476" s="12"/>
      <c r="C476" s="12"/>
      <c r="D476" s="12"/>
      <c r="E476" s="12"/>
      <c r="F476" s="12"/>
      <c r="G476" s="12"/>
      <c r="H476" s="12"/>
      <c r="I476" s="12"/>
      <c r="J476" s="12"/>
    </row>
    <row r="477">
      <c r="B477" s="12"/>
      <c r="C477" s="12"/>
      <c r="D477" s="12"/>
      <c r="E477" s="12"/>
      <c r="F477" s="12"/>
      <c r="G477" s="12"/>
      <c r="H477" s="12"/>
      <c r="I477" s="12"/>
      <c r="J477" s="12"/>
    </row>
    <row r="478">
      <c r="B478" s="12"/>
      <c r="C478" s="12"/>
      <c r="D478" s="12"/>
      <c r="E478" s="12"/>
      <c r="F478" s="12"/>
      <c r="G478" s="12"/>
      <c r="H478" s="12"/>
      <c r="I478" s="12"/>
      <c r="J478" s="12"/>
    </row>
    <row r="479">
      <c r="B479" s="12"/>
      <c r="C479" s="12"/>
      <c r="D479" s="12"/>
      <c r="E479" s="12"/>
      <c r="F479" s="12"/>
      <c r="G479" s="12"/>
      <c r="H479" s="12"/>
      <c r="I479" s="12"/>
      <c r="J479" s="12"/>
    </row>
    <row r="480">
      <c r="B480" s="12"/>
      <c r="C480" s="12"/>
      <c r="D480" s="12"/>
      <c r="E480" s="12"/>
      <c r="F480" s="12"/>
      <c r="G480" s="12"/>
      <c r="H480" s="12"/>
      <c r="I480" s="12"/>
      <c r="J480" s="12"/>
    </row>
    <row r="481">
      <c r="B481" s="12"/>
      <c r="C481" s="12"/>
      <c r="D481" s="12"/>
      <c r="E481" s="12"/>
      <c r="F481" s="12"/>
      <c r="G481" s="12"/>
      <c r="H481" s="12"/>
      <c r="I481" s="12"/>
      <c r="J481" s="12"/>
    </row>
    <row r="482">
      <c r="B482" s="12"/>
      <c r="C482" s="12"/>
      <c r="D482" s="12"/>
      <c r="E482" s="12"/>
      <c r="F482" s="12"/>
      <c r="G482" s="12"/>
      <c r="H482" s="12"/>
      <c r="I482" s="12"/>
      <c r="J482" s="12"/>
    </row>
    <row r="483">
      <c r="B483" s="12"/>
      <c r="C483" s="12"/>
      <c r="D483" s="12"/>
      <c r="E483" s="12"/>
      <c r="F483" s="12"/>
      <c r="G483" s="12"/>
      <c r="H483" s="12"/>
      <c r="I483" s="12"/>
      <c r="J483" s="12"/>
    </row>
    <row r="484">
      <c r="B484" s="12"/>
      <c r="C484" s="12"/>
      <c r="D484" s="12"/>
      <c r="E484" s="12"/>
      <c r="F484" s="12"/>
      <c r="G484" s="12"/>
      <c r="H484" s="12"/>
      <c r="I484" s="12"/>
      <c r="J484" s="12"/>
    </row>
    <row r="485">
      <c r="B485" s="12"/>
      <c r="C485" s="12"/>
      <c r="D485" s="12"/>
      <c r="E485" s="12"/>
      <c r="F485" s="12"/>
      <c r="G485" s="12"/>
      <c r="H485" s="12"/>
      <c r="I485" s="12"/>
      <c r="J485" s="12"/>
    </row>
    <row r="486">
      <c r="B486" s="12"/>
      <c r="C486" s="12"/>
      <c r="D486" s="12"/>
      <c r="E486" s="12"/>
      <c r="F486" s="12"/>
      <c r="G486" s="12"/>
      <c r="H486" s="12"/>
      <c r="I486" s="12"/>
      <c r="J486" s="12"/>
    </row>
    <row r="487">
      <c r="B487" s="12"/>
      <c r="C487" s="12"/>
      <c r="D487" s="12"/>
      <c r="E487" s="12"/>
      <c r="F487" s="12"/>
      <c r="G487" s="12"/>
      <c r="H487" s="12"/>
      <c r="I487" s="12"/>
      <c r="J487" s="12"/>
    </row>
    <row r="488">
      <c r="B488" s="12"/>
      <c r="C488" s="12"/>
      <c r="D488" s="12"/>
      <c r="E488" s="12"/>
      <c r="F488" s="12"/>
      <c r="G488" s="12"/>
      <c r="H488" s="12"/>
      <c r="I488" s="12"/>
      <c r="J488" s="12"/>
    </row>
    <row r="489">
      <c r="B489" s="12"/>
      <c r="C489" s="12"/>
      <c r="D489" s="12"/>
      <c r="E489" s="12"/>
      <c r="F489" s="12"/>
      <c r="G489" s="12"/>
      <c r="H489" s="12"/>
      <c r="I489" s="12"/>
      <c r="J489" s="12"/>
    </row>
    <row r="490">
      <c r="B490" s="12"/>
      <c r="C490" s="12"/>
      <c r="D490" s="12"/>
      <c r="E490" s="12"/>
      <c r="F490" s="12"/>
      <c r="G490" s="12"/>
      <c r="H490" s="12"/>
      <c r="I490" s="12"/>
      <c r="J490" s="12"/>
    </row>
    <row r="491">
      <c r="B491" s="12"/>
      <c r="C491" s="12"/>
      <c r="D491" s="12"/>
      <c r="E491" s="12"/>
      <c r="F491" s="12"/>
      <c r="G491" s="12"/>
      <c r="H491" s="12"/>
      <c r="I491" s="12"/>
      <c r="J491" s="12"/>
    </row>
    <row r="492">
      <c r="B492" s="12"/>
      <c r="C492" s="12"/>
      <c r="D492" s="12"/>
      <c r="E492" s="12"/>
      <c r="F492" s="12"/>
      <c r="G492" s="12"/>
      <c r="H492" s="12"/>
      <c r="I492" s="12"/>
      <c r="J492" s="12"/>
    </row>
    <row r="493">
      <c r="B493" s="12"/>
      <c r="C493" s="12"/>
      <c r="D493" s="12"/>
      <c r="E493" s="12"/>
      <c r="F493" s="12"/>
      <c r="G493" s="12"/>
      <c r="H493" s="12"/>
      <c r="I493" s="12"/>
      <c r="J493" s="12"/>
    </row>
    <row r="494">
      <c r="B494" s="12"/>
      <c r="C494" s="12"/>
      <c r="D494" s="12"/>
      <c r="E494" s="12"/>
      <c r="F494" s="12"/>
      <c r="G494" s="12"/>
      <c r="H494" s="12"/>
      <c r="I494" s="12"/>
      <c r="J494" s="12"/>
    </row>
    <row r="495">
      <c r="B495" s="12"/>
      <c r="C495" s="12"/>
      <c r="D495" s="12"/>
      <c r="E495" s="12"/>
      <c r="F495" s="12"/>
      <c r="G495" s="12"/>
      <c r="H495" s="12"/>
      <c r="I495" s="12"/>
      <c r="J495" s="12"/>
    </row>
    <row r="496">
      <c r="B496" s="12"/>
      <c r="C496" s="12"/>
      <c r="D496" s="12"/>
      <c r="E496" s="12"/>
      <c r="F496" s="12"/>
      <c r="G496" s="12"/>
      <c r="H496" s="12"/>
      <c r="I496" s="12"/>
      <c r="J496" s="12"/>
    </row>
    <row r="497">
      <c r="B497" s="12"/>
      <c r="C497" s="12"/>
      <c r="D497" s="12"/>
      <c r="E497" s="12"/>
      <c r="F497" s="12"/>
      <c r="G497" s="12"/>
      <c r="H497" s="12"/>
      <c r="I497" s="12"/>
      <c r="J497" s="12"/>
    </row>
    <row r="498">
      <c r="B498" s="12"/>
      <c r="C498" s="12"/>
      <c r="D498" s="12"/>
      <c r="E498" s="12"/>
      <c r="F498" s="12"/>
      <c r="G498" s="12"/>
      <c r="H498" s="12"/>
      <c r="I498" s="12"/>
      <c r="J498" s="12"/>
    </row>
    <row r="499">
      <c r="B499" s="12"/>
      <c r="C499" s="12"/>
      <c r="D499" s="12"/>
      <c r="E499" s="12"/>
      <c r="F499" s="12"/>
      <c r="G499" s="12"/>
      <c r="H499" s="12"/>
      <c r="I499" s="12"/>
      <c r="J499" s="12"/>
    </row>
    <row r="500">
      <c r="B500" s="12"/>
      <c r="C500" s="12"/>
      <c r="D500" s="12"/>
      <c r="E500" s="12"/>
      <c r="F500" s="12"/>
      <c r="G500" s="12"/>
      <c r="H500" s="12"/>
      <c r="I500" s="12"/>
      <c r="J500" s="12"/>
    </row>
    <row r="501">
      <c r="B501" s="12"/>
      <c r="C501" s="12"/>
      <c r="D501" s="12"/>
      <c r="E501" s="12"/>
      <c r="F501" s="12"/>
      <c r="G501" s="12"/>
      <c r="H501" s="12"/>
      <c r="I501" s="12"/>
      <c r="J501" s="12"/>
    </row>
    <row r="502">
      <c r="B502" s="12"/>
      <c r="C502" s="12"/>
      <c r="D502" s="12"/>
      <c r="E502" s="12"/>
      <c r="F502" s="12"/>
      <c r="G502" s="12"/>
      <c r="H502" s="12"/>
      <c r="I502" s="12"/>
      <c r="J502" s="12"/>
    </row>
    <row r="503">
      <c r="B503" s="12"/>
      <c r="C503" s="12"/>
      <c r="D503" s="12"/>
      <c r="E503" s="12"/>
      <c r="F503" s="12"/>
      <c r="G503" s="12"/>
      <c r="H503" s="12"/>
      <c r="I503" s="12"/>
      <c r="J503" s="12"/>
    </row>
    <row r="504">
      <c r="B504" s="12"/>
      <c r="C504" s="12"/>
      <c r="D504" s="12"/>
      <c r="E504" s="12"/>
      <c r="F504" s="12"/>
      <c r="G504" s="12"/>
      <c r="H504" s="12"/>
      <c r="I504" s="12"/>
      <c r="J504" s="12"/>
    </row>
    <row r="505">
      <c r="B505" s="12"/>
      <c r="C505" s="12"/>
      <c r="D505" s="12"/>
      <c r="E505" s="12"/>
      <c r="F505" s="12"/>
      <c r="G505" s="12"/>
      <c r="H505" s="12"/>
      <c r="I505" s="12"/>
      <c r="J505" s="12"/>
    </row>
    <row r="506">
      <c r="B506" s="12"/>
      <c r="C506" s="12"/>
      <c r="D506" s="12"/>
      <c r="E506" s="12"/>
      <c r="F506" s="12"/>
      <c r="G506" s="12"/>
      <c r="H506" s="12"/>
      <c r="I506" s="12"/>
      <c r="J506" s="12"/>
    </row>
    <row r="507">
      <c r="B507" s="12"/>
      <c r="C507" s="12"/>
      <c r="D507" s="12"/>
      <c r="E507" s="12"/>
      <c r="F507" s="12"/>
      <c r="G507" s="12"/>
      <c r="H507" s="12"/>
      <c r="I507" s="12"/>
      <c r="J507" s="12"/>
    </row>
    <row r="508">
      <c r="B508" s="12"/>
      <c r="C508" s="12"/>
      <c r="D508" s="12"/>
      <c r="E508" s="12"/>
      <c r="F508" s="12"/>
      <c r="G508" s="12"/>
      <c r="H508" s="12"/>
      <c r="I508" s="12"/>
      <c r="J508" s="12"/>
    </row>
    <row r="509">
      <c r="B509" s="12"/>
      <c r="C509" s="12"/>
      <c r="D509" s="12"/>
      <c r="E509" s="12"/>
      <c r="F509" s="12"/>
      <c r="G509" s="12"/>
      <c r="H509" s="12"/>
      <c r="I509" s="12"/>
      <c r="J509" s="12"/>
    </row>
    <row r="510">
      <c r="B510" s="12"/>
      <c r="C510" s="12"/>
      <c r="D510" s="12"/>
      <c r="E510" s="12"/>
      <c r="F510" s="12"/>
      <c r="G510" s="12"/>
      <c r="H510" s="12"/>
      <c r="I510" s="12"/>
      <c r="J510" s="12"/>
    </row>
    <row r="511">
      <c r="B511" s="12"/>
      <c r="C511" s="12"/>
      <c r="D511" s="12"/>
      <c r="E511" s="12"/>
      <c r="F511" s="12"/>
      <c r="G511" s="12"/>
      <c r="H511" s="12"/>
      <c r="I511" s="12"/>
      <c r="J511" s="12"/>
    </row>
    <row r="512">
      <c r="B512" s="12"/>
      <c r="C512" s="12"/>
      <c r="D512" s="12"/>
      <c r="E512" s="12"/>
      <c r="F512" s="12"/>
      <c r="G512" s="12"/>
      <c r="H512" s="12"/>
      <c r="I512" s="12"/>
      <c r="J512" s="12"/>
    </row>
    <row r="513">
      <c r="B513" s="12"/>
      <c r="C513" s="12"/>
      <c r="D513" s="12"/>
      <c r="E513" s="12"/>
      <c r="F513" s="12"/>
      <c r="G513" s="12"/>
      <c r="H513" s="12"/>
      <c r="I513" s="12"/>
      <c r="J513" s="12"/>
    </row>
    <row r="514">
      <c r="B514" s="12"/>
      <c r="C514" s="12"/>
      <c r="D514" s="12"/>
      <c r="E514" s="12"/>
      <c r="F514" s="12"/>
      <c r="G514" s="12"/>
      <c r="H514" s="12"/>
      <c r="I514" s="12"/>
      <c r="J514" s="12"/>
    </row>
    <row r="515">
      <c r="B515" s="12"/>
      <c r="C515" s="12"/>
      <c r="D515" s="12"/>
      <c r="E515" s="12"/>
      <c r="F515" s="12"/>
      <c r="G515" s="12"/>
      <c r="H515" s="12"/>
      <c r="I515" s="12"/>
      <c r="J515" s="12"/>
    </row>
    <row r="516">
      <c r="B516" s="12"/>
      <c r="C516" s="12"/>
      <c r="D516" s="12"/>
      <c r="E516" s="12"/>
      <c r="F516" s="12"/>
      <c r="G516" s="12"/>
      <c r="H516" s="12"/>
      <c r="I516" s="12"/>
      <c r="J516" s="12"/>
    </row>
    <row r="517">
      <c r="B517" s="12"/>
      <c r="C517" s="12"/>
      <c r="D517" s="12"/>
      <c r="E517" s="12"/>
      <c r="F517" s="12"/>
      <c r="G517" s="12"/>
      <c r="H517" s="12"/>
      <c r="I517" s="12"/>
      <c r="J517" s="12"/>
    </row>
    <row r="518">
      <c r="B518" s="12"/>
      <c r="C518" s="12"/>
      <c r="D518" s="12"/>
      <c r="E518" s="12"/>
      <c r="F518" s="12"/>
      <c r="G518" s="12"/>
      <c r="H518" s="12"/>
      <c r="I518" s="12"/>
      <c r="J518" s="12"/>
    </row>
    <row r="519">
      <c r="B519" s="12"/>
      <c r="C519" s="12"/>
      <c r="D519" s="12"/>
      <c r="E519" s="12"/>
      <c r="F519" s="12"/>
      <c r="G519" s="12"/>
      <c r="H519" s="12"/>
      <c r="I519" s="12"/>
      <c r="J519" s="12"/>
    </row>
    <row r="520">
      <c r="B520" s="12"/>
      <c r="C520" s="12"/>
      <c r="D520" s="12"/>
      <c r="E520" s="12"/>
      <c r="F520" s="12"/>
      <c r="G520" s="12"/>
      <c r="H520" s="12"/>
      <c r="I520" s="12"/>
      <c r="J520" s="12"/>
    </row>
    <row r="521">
      <c r="B521" s="12"/>
      <c r="C521" s="12"/>
      <c r="D521" s="12"/>
      <c r="E521" s="12"/>
      <c r="F521" s="12"/>
      <c r="G521" s="12"/>
      <c r="H521" s="12"/>
      <c r="I521" s="12"/>
      <c r="J521" s="12"/>
    </row>
    <row r="522">
      <c r="B522" s="12"/>
      <c r="C522" s="12"/>
      <c r="D522" s="12"/>
      <c r="E522" s="12"/>
      <c r="F522" s="12"/>
      <c r="G522" s="12"/>
      <c r="H522" s="12"/>
      <c r="I522" s="12"/>
      <c r="J522" s="12"/>
    </row>
    <row r="523">
      <c r="B523" s="12"/>
      <c r="C523" s="12"/>
      <c r="D523" s="12"/>
      <c r="E523" s="12"/>
      <c r="F523" s="12"/>
      <c r="G523" s="12"/>
      <c r="H523" s="12"/>
      <c r="I523" s="12"/>
      <c r="J523" s="12"/>
    </row>
    <row r="524">
      <c r="B524" s="12"/>
      <c r="C524" s="12"/>
      <c r="D524" s="12"/>
      <c r="E524" s="12"/>
      <c r="F524" s="12"/>
      <c r="G524" s="12"/>
      <c r="H524" s="12"/>
      <c r="I524" s="12"/>
      <c r="J524" s="12"/>
    </row>
    <row r="525">
      <c r="B525" s="12"/>
      <c r="C525" s="12"/>
      <c r="D525" s="12"/>
      <c r="E525" s="12"/>
      <c r="F525" s="12"/>
      <c r="G525" s="12"/>
      <c r="H525" s="12"/>
      <c r="I525" s="12"/>
      <c r="J525" s="12"/>
    </row>
    <row r="526">
      <c r="B526" s="12"/>
      <c r="C526" s="12"/>
      <c r="D526" s="12"/>
      <c r="E526" s="12"/>
      <c r="F526" s="12"/>
      <c r="G526" s="12"/>
      <c r="H526" s="12"/>
      <c r="I526" s="12"/>
      <c r="J526" s="12"/>
    </row>
    <row r="527">
      <c r="B527" s="12"/>
      <c r="C527" s="12"/>
      <c r="D527" s="12"/>
      <c r="E527" s="12"/>
      <c r="F527" s="12"/>
      <c r="G527" s="12"/>
      <c r="H527" s="12"/>
      <c r="I527" s="12"/>
      <c r="J527" s="12"/>
    </row>
    <row r="528">
      <c r="B528" s="12"/>
      <c r="C528" s="12"/>
      <c r="D528" s="12"/>
      <c r="E528" s="12"/>
      <c r="F528" s="12"/>
      <c r="G528" s="12"/>
      <c r="H528" s="12"/>
      <c r="I528" s="12"/>
      <c r="J528" s="12"/>
    </row>
    <row r="529">
      <c r="B529" s="12"/>
      <c r="C529" s="12"/>
      <c r="D529" s="12"/>
      <c r="E529" s="12"/>
      <c r="F529" s="12"/>
      <c r="G529" s="12"/>
      <c r="H529" s="12"/>
      <c r="I529" s="12"/>
      <c r="J529" s="12"/>
    </row>
    <row r="530">
      <c r="B530" s="12"/>
      <c r="C530" s="12"/>
      <c r="D530" s="12"/>
      <c r="E530" s="12"/>
      <c r="F530" s="12"/>
      <c r="G530" s="12"/>
      <c r="H530" s="12"/>
      <c r="I530" s="12"/>
      <c r="J530" s="12"/>
    </row>
    <row r="531">
      <c r="B531" s="12"/>
      <c r="C531" s="12"/>
      <c r="D531" s="12"/>
      <c r="E531" s="12"/>
      <c r="F531" s="12"/>
      <c r="G531" s="12"/>
      <c r="H531" s="12"/>
      <c r="I531" s="12"/>
      <c r="J531" s="12"/>
    </row>
    <row r="532">
      <c r="B532" s="12"/>
      <c r="C532" s="12"/>
      <c r="D532" s="12"/>
      <c r="E532" s="12"/>
      <c r="F532" s="12"/>
      <c r="G532" s="12"/>
      <c r="H532" s="12"/>
      <c r="I532" s="12"/>
      <c r="J532" s="12"/>
    </row>
    <row r="533">
      <c r="B533" s="12"/>
      <c r="C533" s="12"/>
      <c r="D533" s="12"/>
      <c r="E533" s="12"/>
      <c r="F533" s="12"/>
      <c r="G533" s="12"/>
      <c r="H533" s="12"/>
      <c r="I533" s="12"/>
      <c r="J533" s="12"/>
    </row>
    <row r="534">
      <c r="B534" s="12"/>
      <c r="C534" s="12"/>
      <c r="D534" s="12"/>
      <c r="E534" s="12"/>
      <c r="F534" s="12"/>
      <c r="G534" s="12"/>
      <c r="H534" s="12"/>
      <c r="I534" s="12"/>
      <c r="J534" s="12"/>
    </row>
    <row r="535">
      <c r="B535" s="12"/>
      <c r="C535" s="12"/>
      <c r="D535" s="12"/>
      <c r="E535" s="12"/>
      <c r="F535" s="12"/>
      <c r="G535" s="12"/>
      <c r="H535" s="12"/>
      <c r="I535" s="12"/>
      <c r="J535" s="12"/>
    </row>
    <row r="536">
      <c r="B536" s="12"/>
      <c r="C536" s="12"/>
      <c r="D536" s="12"/>
      <c r="E536" s="12"/>
      <c r="F536" s="12"/>
      <c r="G536" s="12"/>
      <c r="H536" s="12"/>
      <c r="I536" s="12"/>
      <c r="J536" s="12"/>
    </row>
    <row r="537">
      <c r="B537" s="12"/>
      <c r="C537" s="12"/>
      <c r="D537" s="12"/>
      <c r="E537" s="12"/>
      <c r="F537" s="12"/>
      <c r="G537" s="12"/>
      <c r="H537" s="12"/>
      <c r="I537" s="12"/>
      <c r="J537" s="12"/>
    </row>
    <row r="538">
      <c r="B538" s="12"/>
      <c r="C538" s="12"/>
      <c r="D538" s="12"/>
      <c r="E538" s="12"/>
      <c r="F538" s="12"/>
      <c r="G538" s="12"/>
      <c r="H538" s="12"/>
      <c r="I538" s="12"/>
      <c r="J538" s="12"/>
    </row>
    <row r="539">
      <c r="B539" s="12"/>
      <c r="C539" s="12"/>
      <c r="D539" s="12"/>
      <c r="E539" s="12"/>
      <c r="F539" s="12"/>
      <c r="G539" s="12"/>
      <c r="H539" s="12"/>
      <c r="I539" s="12"/>
      <c r="J539" s="12"/>
    </row>
    <row r="540">
      <c r="B540" s="12"/>
      <c r="C540" s="12"/>
      <c r="D540" s="12"/>
      <c r="E540" s="12"/>
      <c r="F540" s="12"/>
      <c r="G540" s="12"/>
      <c r="H540" s="12"/>
      <c r="I540" s="12"/>
      <c r="J540" s="12"/>
    </row>
    <row r="541">
      <c r="B541" s="12"/>
      <c r="C541" s="12"/>
      <c r="D541" s="12"/>
      <c r="E541" s="12"/>
      <c r="F541" s="12"/>
      <c r="G541" s="12"/>
      <c r="H541" s="12"/>
      <c r="I541" s="12"/>
      <c r="J541" s="12"/>
    </row>
    <row r="542">
      <c r="B542" s="12"/>
      <c r="C542" s="12"/>
      <c r="D542" s="12"/>
      <c r="E542" s="12"/>
      <c r="F542" s="12"/>
      <c r="G542" s="12"/>
      <c r="H542" s="12"/>
      <c r="I542" s="12"/>
      <c r="J542" s="12"/>
    </row>
    <row r="543">
      <c r="B543" s="12"/>
      <c r="C543" s="12"/>
      <c r="D543" s="12"/>
      <c r="E543" s="12"/>
      <c r="F543" s="12"/>
      <c r="G543" s="12"/>
      <c r="H543" s="12"/>
      <c r="I543" s="12"/>
      <c r="J543" s="12"/>
    </row>
    <row r="544">
      <c r="B544" s="12"/>
      <c r="C544" s="12"/>
      <c r="D544" s="12"/>
      <c r="E544" s="12"/>
      <c r="F544" s="12"/>
      <c r="G544" s="12"/>
      <c r="H544" s="12"/>
      <c r="I544" s="12"/>
      <c r="J544" s="12"/>
    </row>
    <row r="545">
      <c r="B545" s="12"/>
      <c r="C545" s="12"/>
      <c r="D545" s="12"/>
      <c r="E545" s="12"/>
      <c r="F545" s="12"/>
      <c r="G545" s="12"/>
      <c r="H545" s="12"/>
      <c r="I545" s="12"/>
      <c r="J545" s="12"/>
    </row>
    <row r="546">
      <c r="B546" s="12"/>
      <c r="C546" s="12"/>
      <c r="D546" s="12"/>
      <c r="E546" s="12"/>
      <c r="F546" s="12"/>
      <c r="G546" s="12"/>
      <c r="H546" s="12"/>
      <c r="I546" s="12"/>
      <c r="J546" s="12"/>
    </row>
    <row r="547">
      <c r="B547" s="12"/>
      <c r="C547" s="12"/>
      <c r="D547" s="12"/>
      <c r="E547" s="12"/>
      <c r="F547" s="12"/>
      <c r="G547" s="12"/>
      <c r="H547" s="12"/>
      <c r="I547" s="12"/>
      <c r="J547" s="12"/>
    </row>
    <row r="548">
      <c r="B548" s="12"/>
      <c r="C548" s="12"/>
      <c r="D548" s="12"/>
      <c r="E548" s="12"/>
      <c r="F548" s="12"/>
      <c r="G548" s="12"/>
      <c r="H548" s="12"/>
      <c r="I548" s="12"/>
      <c r="J548" s="12"/>
    </row>
    <row r="549">
      <c r="B549" s="12"/>
      <c r="C549" s="12"/>
      <c r="D549" s="12"/>
      <c r="E549" s="12"/>
      <c r="F549" s="12"/>
      <c r="G549" s="12"/>
      <c r="H549" s="12"/>
      <c r="I549" s="12"/>
      <c r="J549" s="12"/>
    </row>
    <row r="550">
      <c r="B550" s="12"/>
      <c r="C550" s="12"/>
      <c r="D550" s="12"/>
      <c r="E550" s="12"/>
      <c r="F550" s="12"/>
      <c r="G550" s="12"/>
      <c r="H550" s="12"/>
      <c r="I550" s="12"/>
      <c r="J550" s="12"/>
    </row>
    <row r="551">
      <c r="B551" s="12"/>
      <c r="C551" s="12"/>
      <c r="D551" s="12"/>
      <c r="E551" s="12"/>
      <c r="F551" s="12"/>
      <c r="G551" s="12"/>
      <c r="H551" s="12"/>
      <c r="I551" s="12"/>
      <c r="J551" s="12"/>
    </row>
    <row r="552">
      <c r="B552" s="12"/>
      <c r="C552" s="12"/>
      <c r="D552" s="12"/>
      <c r="E552" s="12"/>
      <c r="F552" s="12"/>
      <c r="G552" s="12"/>
      <c r="H552" s="12"/>
      <c r="I552" s="12"/>
      <c r="J552" s="12"/>
    </row>
    <row r="553">
      <c r="B553" s="12"/>
      <c r="C553" s="12"/>
      <c r="D553" s="12"/>
      <c r="E553" s="12"/>
      <c r="F553" s="12"/>
      <c r="G553" s="12"/>
      <c r="H553" s="12"/>
      <c r="I553" s="12"/>
      <c r="J553" s="12"/>
    </row>
    <row r="554">
      <c r="B554" s="12"/>
      <c r="C554" s="12"/>
      <c r="D554" s="12"/>
      <c r="E554" s="12"/>
      <c r="F554" s="12"/>
      <c r="G554" s="12"/>
      <c r="H554" s="12"/>
      <c r="I554" s="12"/>
      <c r="J554" s="12"/>
    </row>
    <row r="555">
      <c r="B555" s="12"/>
      <c r="C555" s="12"/>
      <c r="D555" s="12"/>
      <c r="E555" s="12"/>
      <c r="F555" s="12"/>
      <c r="G555" s="12"/>
      <c r="H555" s="12"/>
      <c r="I555" s="12"/>
      <c r="J555" s="12"/>
    </row>
    <row r="556">
      <c r="B556" s="12"/>
      <c r="C556" s="12"/>
      <c r="D556" s="12"/>
      <c r="E556" s="12"/>
      <c r="F556" s="12"/>
      <c r="G556" s="12"/>
      <c r="H556" s="12"/>
      <c r="I556" s="12"/>
      <c r="J556" s="12"/>
    </row>
    <row r="557">
      <c r="B557" s="12"/>
      <c r="C557" s="12"/>
      <c r="D557" s="12"/>
      <c r="E557" s="12"/>
      <c r="F557" s="12"/>
      <c r="G557" s="12"/>
      <c r="H557" s="12"/>
      <c r="I557" s="12"/>
      <c r="J557" s="12"/>
    </row>
    <row r="558">
      <c r="B558" s="12"/>
      <c r="C558" s="12"/>
      <c r="D558" s="12"/>
      <c r="E558" s="12"/>
      <c r="F558" s="12"/>
      <c r="G558" s="12"/>
      <c r="H558" s="12"/>
      <c r="I558" s="12"/>
      <c r="J558" s="12"/>
    </row>
    <row r="559">
      <c r="B559" s="12"/>
      <c r="C559" s="12"/>
      <c r="D559" s="12"/>
      <c r="E559" s="12"/>
      <c r="F559" s="12"/>
      <c r="G559" s="12"/>
      <c r="H559" s="12"/>
      <c r="I559" s="12"/>
      <c r="J559" s="12"/>
    </row>
    <row r="560">
      <c r="B560" s="12"/>
      <c r="C560" s="12"/>
      <c r="D560" s="12"/>
      <c r="E560" s="12"/>
      <c r="F560" s="12"/>
      <c r="G560" s="12"/>
      <c r="H560" s="12"/>
      <c r="I560" s="12"/>
      <c r="J560" s="12"/>
    </row>
    <row r="561">
      <c r="B561" s="12"/>
      <c r="C561" s="12"/>
      <c r="D561" s="12"/>
      <c r="E561" s="12"/>
      <c r="F561" s="12"/>
      <c r="G561" s="12"/>
      <c r="H561" s="12"/>
      <c r="I561" s="12"/>
      <c r="J561" s="12"/>
    </row>
    <row r="562">
      <c r="B562" s="12"/>
      <c r="C562" s="12"/>
      <c r="D562" s="12"/>
      <c r="E562" s="12"/>
      <c r="F562" s="12"/>
      <c r="G562" s="12"/>
      <c r="H562" s="12"/>
      <c r="I562" s="12"/>
      <c r="J562" s="12"/>
    </row>
    <row r="563">
      <c r="B563" s="12"/>
      <c r="C563" s="12"/>
      <c r="D563" s="12"/>
      <c r="E563" s="12"/>
      <c r="F563" s="12"/>
      <c r="G563" s="12"/>
      <c r="H563" s="12"/>
      <c r="I563" s="12"/>
      <c r="J563" s="12"/>
    </row>
    <row r="564">
      <c r="B564" s="12"/>
      <c r="C564" s="12"/>
      <c r="D564" s="12"/>
      <c r="E564" s="12"/>
      <c r="F564" s="12"/>
      <c r="G564" s="12"/>
      <c r="H564" s="12"/>
      <c r="I564" s="12"/>
      <c r="J564" s="12"/>
    </row>
    <row r="565">
      <c r="B565" s="12"/>
      <c r="C565" s="12"/>
      <c r="D565" s="12"/>
      <c r="E565" s="12"/>
      <c r="F565" s="12"/>
      <c r="G565" s="12"/>
      <c r="H565" s="12"/>
      <c r="I565" s="12"/>
      <c r="J565" s="12"/>
    </row>
    <row r="566">
      <c r="B566" s="12"/>
      <c r="C566" s="12"/>
      <c r="D566" s="12"/>
      <c r="E566" s="12"/>
      <c r="F566" s="12"/>
      <c r="G566" s="12"/>
      <c r="H566" s="12"/>
      <c r="I566" s="12"/>
      <c r="J566" s="12"/>
    </row>
    <row r="567">
      <c r="B567" s="12"/>
      <c r="C567" s="12"/>
      <c r="D567" s="12"/>
      <c r="E567" s="12"/>
      <c r="F567" s="12"/>
      <c r="G567" s="12"/>
      <c r="H567" s="12"/>
      <c r="I567" s="12"/>
      <c r="J567" s="12"/>
    </row>
    <row r="568">
      <c r="B568" s="12"/>
      <c r="C568" s="12"/>
      <c r="D568" s="12"/>
      <c r="E568" s="12"/>
      <c r="F568" s="12"/>
      <c r="G568" s="12"/>
      <c r="H568" s="12"/>
      <c r="I568" s="12"/>
      <c r="J568" s="12"/>
    </row>
    <row r="569">
      <c r="B569" s="12"/>
      <c r="C569" s="12"/>
      <c r="D569" s="12"/>
      <c r="E569" s="12"/>
      <c r="F569" s="12"/>
      <c r="G569" s="12"/>
      <c r="H569" s="12"/>
      <c r="I569" s="12"/>
      <c r="J569" s="12"/>
    </row>
    <row r="570">
      <c r="B570" s="12"/>
      <c r="C570" s="12"/>
      <c r="D570" s="12"/>
      <c r="E570" s="12"/>
      <c r="F570" s="12"/>
      <c r="G570" s="12"/>
      <c r="H570" s="12"/>
      <c r="I570" s="12"/>
      <c r="J570" s="12"/>
    </row>
    <row r="571">
      <c r="B571" s="12"/>
      <c r="C571" s="12"/>
      <c r="D571" s="12"/>
      <c r="E571" s="12"/>
      <c r="F571" s="12"/>
      <c r="G571" s="12"/>
      <c r="H571" s="12"/>
      <c r="I571" s="12"/>
      <c r="J571" s="12"/>
    </row>
    <row r="572">
      <c r="B572" s="12"/>
      <c r="C572" s="12"/>
      <c r="D572" s="12"/>
      <c r="E572" s="12"/>
      <c r="F572" s="12"/>
      <c r="G572" s="12"/>
      <c r="H572" s="12"/>
      <c r="I572" s="12"/>
      <c r="J572" s="12"/>
    </row>
    <row r="573">
      <c r="B573" s="12"/>
      <c r="C573" s="12"/>
      <c r="D573" s="12"/>
      <c r="E573" s="12"/>
      <c r="F573" s="12"/>
      <c r="G573" s="12"/>
      <c r="H573" s="12"/>
      <c r="I573" s="12"/>
      <c r="J573" s="12"/>
    </row>
    <row r="574">
      <c r="B574" s="12"/>
      <c r="C574" s="12"/>
      <c r="D574" s="12"/>
      <c r="E574" s="12"/>
      <c r="F574" s="12"/>
      <c r="G574" s="12"/>
      <c r="H574" s="12"/>
      <c r="I574" s="12"/>
      <c r="J574" s="12"/>
    </row>
    <row r="575">
      <c r="B575" s="12"/>
      <c r="C575" s="12"/>
      <c r="D575" s="12"/>
      <c r="E575" s="12"/>
      <c r="F575" s="12"/>
      <c r="G575" s="12"/>
      <c r="H575" s="12"/>
      <c r="I575" s="12"/>
      <c r="J575" s="12"/>
    </row>
    <row r="576">
      <c r="B576" s="12"/>
      <c r="C576" s="12"/>
      <c r="D576" s="12"/>
      <c r="E576" s="12"/>
      <c r="F576" s="12"/>
      <c r="G576" s="12"/>
      <c r="H576" s="12"/>
      <c r="I576" s="12"/>
      <c r="J576" s="12"/>
    </row>
    <row r="577">
      <c r="B577" s="12"/>
      <c r="C577" s="12"/>
      <c r="D577" s="12"/>
      <c r="E577" s="12"/>
      <c r="F577" s="12"/>
      <c r="G577" s="12"/>
      <c r="H577" s="12"/>
      <c r="I577" s="12"/>
      <c r="J577" s="12"/>
    </row>
    <row r="578">
      <c r="B578" s="12"/>
      <c r="C578" s="12"/>
      <c r="D578" s="12"/>
      <c r="E578" s="12"/>
      <c r="F578" s="12"/>
      <c r="G578" s="12"/>
      <c r="H578" s="12"/>
      <c r="I578" s="12"/>
      <c r="J578" s="12"/>
    </row>
    <row r="579">
      <c r="B579" s="12"/>
      <c r="C579" s="12"/>
      <c r="D579" s="12"/>
      <c r="E579" s="12"/>
      <c r="F579" s="12"/>
      <c r="G579" s="12"/>
      <c r="H579" s="12"/>
      <c r="I579" s="12"/>
      <c r="J579" s="12"/>
    </row>
    <row r="580">
      <c r="B580" s="12"/>
      <c r="C580" s="12"/>
      <c r="D580" s="12"/>
      <c r="E580" s="12"/>
      <c r="F580" s="12"/>
      <c r="G580" s="12"/>
      <c r="H580" s="12"/>
      <c r="I580" s="12"/>
      <c r="J580" s="12"/>
    </row>
    <row r="581">
      <c r="B581" s="12"/>
      <c r="C581" s="12"/>
      <c r="D581" s="12"/>
      <c r="E581" s="12"/>
      <c r="F581" s="12"/>
      <c r="G581" s="12"/>
      <c r="H581" s="12"/>
      <c r="I581" s="12"/>
      <c r="J581" s="12"/>
    </row>
    <row r="582">
      <c r="B582" s="12"/>
      <c r="C582" s="12"/>
      <c r="D582" s="12"/>
      <c r="E582" s="12"/>
      <c r="F582" s="12"/>
      <c r="G582" s="12"/>
      <c r="H582" s="12"/>
      <c r="I582" s="12"/>
      <c r="J582" s="12"/>
    </row>
    <row r="583">
      <c r="B583" s="12"/>
      <c r="C583" s="12"/>
      <c r="D583" s="12"/>
      <c r="E583" s="12"/>
      <c r="F583" s="12"/>
      <c r="G583" s="12"/>
      <c r="H583" s="12"/>
      <c r="I583" s="12"/>
      <c r="J583" s="12"/>
    </row>
    <row r="584">
      <c r="B584" s="12"/>
      <c r="C584" s="12"/>
      <c r="D584" s="12"/>
      <c r="E584" s="12"/>
      <c r="F584" s="12"/>
      <c r="G584" s="12"/>
      <c r="H584" s="12"/>
      <c r="I584" s="12"/>
      <c r="J584" s="12"/>
    </row>
    <row r="585">
      <c r="B585" s="12"/>
      <c r="C585" s="12"/>
      <c r="D585" s="12"/>
      <c r="E585" s="12"/>
      <c r="F585" s="12"/>
      <c r="G585" s="12"/>
      <c r="H585" s="12"/>
      <c r="I585" s="12"/>
      <c r="J585" s="12"/>
    </row>
    <row r="586">
      <c r="B586" s="12"/>
      <c r="C586" s="12"/>
      <c r="D586" s="12"/>
      <c r="E586" s="12"/>
      <c r="F586" s="12"/>
      <c r="G586" s="12"/>
      <c r="H586" s="12"/>
      <c r="I586" s="12"/>
      <c r="J586" s="12"/>
    </row>
    <row r="587">
      <c r="B587" s="12"/>
      <c r="C587" s="12"/>
      <c r="D587" s="12"/>
      <c r="E587" s="12"/>
      <c r="F587" s="12"/>
      <c r="G587" s="12"/>
      <c r="H587" s="12"/>
      <c r="I587" s="12"/>
      <c r="J587" s="12"/>
    </row>
    <row r="588">
      <c r="B588" s="12"/>
      <c r="C588" s="12"/>
      <c r="D588" s="12"/>
      <c r="E588" s="12"/>
      <c r="F588" s="12"/>
      <c r="G588" s="12"/>
      <c r="H588" s="12"/>
      <c r="I588" s="12"/>
      <c r="J588" s="12"/>
    </row>
    <row r="589">
      <c r="B589" s="12"/>
      <c r="C589" s="12"/>
      <c r="D589" s="12"/>
      <c r="E589" s="12"/>
      <c r="F589" s="12"/>
      <c r="G589" s="12"/>
      <c r="H589" s="12"/>
      <c r="I589" s="12"/>
      <c r="J589" s="12"/>
    </row>
    <row r="590">
      <c r="B590" s="12"/>
      <c r="C590" s="12"/>
      <c r="D590" s="12"/>
      <c r="E590" s="12"/>
      <c r="F590" s="12"/>
      <c r="G590" s="12"/>
      <c r="H590" s="12"/>
      <c r="I590" s="12"/>
      <c r="J590" s="12"/>
    </row>
    <row r="591">
      <c r="B591" s="12"/>
      <c r="C591" s="12"/>
      <c r="D591" s="12"/>
      <c r="E591" s="12"/>
      <c r="F591" s="12"/>
      <c r="G591" s="12"/>
      <c r="H591" s="12"/>
      <c r="I591" s="12"/>
      <c r="J591" s="12"/>
    </row>
    <row r="592">
      <c r="B592" s="12"/>
      <c r="C592" s="12"/>
      <c r="D592" s="12"/>
      <c r="E592" s="12"/>
      <c r="F592" s="12"/>
      <c r="G592" s="12"/>
      <c r="H592" s="12"/>
      <c r="I592" s="12"/>
      <c r="J592" s="12"/>
    </row>
    <row r="593">
      <c r="B593" s="12"/>
      <c r="C593" s="12"/>
      <c r="D593" s="12"/>
      <c r="E593" s="12"/>
      <c r="F593" s="12"/>
      <c r="G593" s="12"/>
      <c r="H593" s="12"/>
      <c r="I593" s="12"/>
      <c r="J593" s="12"/>
    </row>
    <row r="594">
      <c r="B594" s="12"/>
      <c r="C594" s="12"/>
      <c r="D594" s="12"/>
      <c r="E594" s="12"/>
      <c r="F594" s="12"/>
      <c r="G594" s="12"/>
      <c r="H594" s="12"/>
      <c r="I594" s="12"/>
      <c r="J594" s="12"/>
    </row>
    <row r="595">
      <c r="B595" s="12"/>
      <c r="C595" s="12"/>
      <c r="D595" s="12"/>
      <c r="E595" s="12"/>
      <c r="F595" s="12"/>
      <c r="G595" s="12"/>
      <c r="H595" s="12"/>
      <c r="I595" s="12"/>
      <c r="J595" s="12"/>
    </row>
    <row r="596">
      <c r="B596" s="12"/>
      <c r="C596" s="12"/>
      <c r="D596" s="12"/>
      <c r="E596" s="12"/>
      <c r="F596" s="12"/>
      <c r="G596" s="12"/>
      <c r="H596" s="12"/>
      <c r="I596" s="12"/>
      <c r="J596" s="12"/>
    </row>
    <row r="597">
      <c r="B597" s="12"/>
      <c r="C597" s="12"/>
      <c r="D597" s="12"/>
      <c r="E597" s="12"/>
      <c r="F597" s="12"/>
      <c r="G597" s="12"/>
      <c r="H597" s="12"/>
      <c r="I597" s="12"/>
      <c r="J597" s="12"/>
    </row>
    <row r="598">
      <c r="B598" s="12"/>
      <c r="C598" s="12"/>
      <c r="D598" s="12"/>
      <c r="E598" s="12"/>
      <c r="F598" s="12"/>
      <c r="G598" s="12"/>
      <c r="H598" s="12"/>
      <c r="I598" s="12"/>
      <c r="J598" s="12"/>
    </row>
    <row r="599">
      <c r="B599" s="12"/>
      <c r="C599" s="12"/>
      <c r="D599" s="12"/>
      <c r="E599" s="12"/>
      <c r="F599" s="12"/>
      <c r="G599" s="12"/>
      <c r="H599" s="12"/>
      <c r="I599" s="12"/>
      <c r="J599" s="12"/>
    </row>
    <row r="600">
      <c r="B600" s="12"/>
      <c r="C600" s="12"/>
      <c r="D600" s="12"/>
      <c r="E600" s="12"/>
      <c r="F600" s="12"/>
      <c r="G600" s="12"/>
      <c r="H600" s="12"/>
      <c r="I600" s="12"/>
      <c r="J600" s="12"/>
    </row>
    <row r="601">
      <c r="B601" s="12"/>
      <c r="C601" s="12"/>
      <c r="D601" s="12"/>
      <c r="E601" s="12"/>
      <c r="F601" s="12"/>
      <c r="G601" s="12"/>
      <c r="H601" s="12"/>
      <c r="I601" s="12"/>
      <c r="J601" s="12"/>
    </row>
    <row r="602">
      <c r="B602" s="12"/>
      <c r="C602" s="12"/>
      <c r="D602" s="12"/>
      <c r="E602" s="12"/>
      <c r="F602" s="12"/>
      <c r="G602" s="12"/>
      <c r="H602" s="12"/>
      <c r="I602" s="12"/>
      <c r="J602" s="12"/>
    </row>
    <row r="603">
      <c r="B603" s="12"/>
      <c r="C603" s="12"/>
      <c r="D603" s="12"/>
      <c r="E603" s="12"/>
      <c r="F603" s="12"/>
      <c r="G603" s="12"/>
      <c r="H603" s="12"/>
      <c r="I603" s="12"/>
      <c r="J603" s="12"/>
    </row>
    <row r="604">
      <c r="B604" s="12"/>
      <c r="C604" s="12"/>
      <c r="D604" s="12"/>
      <c r="E604" s="12"/>
      <c r="F604" s="12"/>
      <c r="G604" s="12"/>
      <c r="H604" s="12"/>
      <c r="I604" s="12"/>
      <c r="J604" s="12"/>
    </row>
    <row r="605">
      <c r="B605" s="12"/>
      <c r="C605" s="12"/>
      <c r="D605" s="12"/>
      <c r="E605" s="12"/>
      <c r="F605" s="12"/>
      <c r="G605" s="12"/>
      <c r="H605" s="12"/>
      <c r="I605" s="12"/>
      <c r="J605" s="12"/>
    </row>
    <row r="606">
      <c r="B606" s="12"/>
      <c r="C606" s="12"/>
      <c r="D606" s="12"/>
      <c r="E606" s="12"/>
      <c r="F606" s="12"/>
      <c r="G606" s="12"/>
      <c r="H606" s="12"/>
      <c r="I606" s="12"/>
      <c r="J606" s="12"/>
    </row>
    <row r="607">
      <c r="B607" s="12"/>
      <c r="C607" s="12"/>
      <c r="D607" s="12"/>
      <c r="E607" s="12"/>
      <c r="F607" s="12"/>
      <c r="G607" s="12"/>
      <c r="H607" s="12"/>
      <c r="I607" s="12"/>
      <c r="J607" s="12"/>
    </row>
    <row r="608">
      <c r="B608" s="12"/>
      <c r="C608" s="12"/>
      <c r="D608" s="12"/>
      <c r="E608" s="12"/>
      <c r="F608" s="12"/>
      <c r="G608" s="12"/>
      <c r="H608" s="12"/>
      <c r="I608" s="12"/>
      <c r="J608" s="12"/>
    </row>
    <row r="609">
      <c r="B609" s="12"/>
      <c r="C609" s="12"/>
      <c r="D609" s="12"/>
      <c r="E609" s="12"/>
      <c r="F609" s="12"/>
      <c r="G609" s="12"/>
      <c r="H609" s="12"/>
      <c r="I609" s="12"/>
      <c r="J609" s="12"/>
    </row>
    <row r="610">
      <c r="B610" s="12"/>
      <c r="C610" s="12"/>
      <c r="D610" s="12"/>
      <c r="E610" s="12"/>
      <c r="F610" s="12"/>
      <c r="G610" s="12"/>
      <c r="H610" s="12"/>
      <c r="I610" s="12"/>
      <c r="J610" s="12"/>
    </row>
    <row r="611">
      <c r="B611" s="12"/>
      <c r="C611" s="12"/>
      <c r="D611" s="12"/>
      <c r="E611" s="12"/>
      <c r="F611" s="12"/>
      <c r="G611" s="12"/>
      <c r="H611" s="12"/>
      <c r="I611" s="12"/>
      <c r="J611" s="12"/>
    </row>
    <row r="612">
      <c r="B612" s="12"/>
      <c r="C612" s="12"/>
      <c r="D612" s="12"/>
      <c r="E612" s="12"/>
      <c r="F612" s="12"/>
      <c r="G612" s="12"/>
      <c r="H612" s="12"/>
      <c r="I612" s="12"/>
      <c r="J612" s="12"/>
    </row>
    <row r="613">
      <c r="B613" s="12"/>
      <c r="C613" s="12"/>
      <c r="D613" s="12"/>
      <c r="E613" s="12"/>
      <c r="F613" s="12"/>
      <c r="G613" s="12"/>
      <c r="H613" s="12"/>
      <c r="I613" s="12"/>
      <c r="J613" s="12"/>
    </row>
    <row r="614">
      <c r="B614" s="12"/>
      <c r="C614" s="12"/>
      <c r="D614" s="12"/>
      <c r="E614" s="12"/>
      <c r="F614" s="12"/>
      <c r="G614" s="12"/>
      <c r="H614" s="12"/>
      <c r="I614" s="12"/>
      <c r="J614" s="12"/>
    </row>
    <row r="615">
      <c r="B615" s="12"/>
      <c r="C615" s="12"/>
      <c r="D615" s="12"/>
      <c r="E615" s="12"/>
      <c r="F615" s="12"/>
      <c r="G615" s="12"/>
      <c r="H615" s="12"/>
      <c r="I615" s="12"/>
      <c r="J615" s="12"/>
    </row>
    <row r="616">
      <c r="B616" s="12"/>
      <c r="C616" s="12"/>
      <c r="D616" s="12"/>
      <c r="E616" s="12"/>
      <c r="F616" s="12"/>
      <c r="G616" s="12"/>
      <c r="H616" s="12"/>
      <c r="I616" s="12"/>
      <c r="J616" s="12"/>
    </row>
    <row r="617">
      <c r="B617" s="12"/>
      <c r="C617" s="12"/>
      <c r="D617" s="12"/>
      <c r="E617" s="12"/>
      <c r="F617" s="12"/>
      <c r="G617" s="12"/>
      <c r="H617" s="12"/>
      <c r="I617" s="12"/>
      <c r="J617" s="12"/>
    </row>
    <row r="618">
      <c r="B618" s="12"/>
      <c r="C618" s="12"/>
      <c r="D618" s="12"/>
      <c r="E618" s="12"/>
      <c r="F618" s="12"/>
      <c r="G618" s="12"/>
      <c r="H618" s="12"/>
      <c r="I618" s="12"/>
      <c r="J618" s="12"/>
    </row>
    <row r="619">
      <c r="B619" s="12"/>
      <c r="C619" s="12"/>
      <c r="D619" s="12"/>
      <c r="E619" s="12"/>
      <c r="F619" s="12"/>
      <c r="G619" s="12"/>
      <c r="H619" s="12"/>
      <c r="I619" s="12"/>
      <c r="J619" s="12"/>
    </row>
    <row r="620">
      <c r="B620" s="12"/>
      <c r="C620" s="12"/>
      <c r="D620" s="12"/>
      <c r="E620" s="12"/>
      <c r="F620" s="12"/>
      <c r="G620" s="12"/>
      <c r="H620" s="12"/>
      <c r="I620" s="12"/>
      <c r="J620" s="12"/>
    </row>
    <row r="621">
      <c r="B621" s="12"/>
      <c r="C621" s="12"/>
      <c r="D621" s="12"/>
      <c r="E621" s="12"/>
      <c r="F621" s="12"/>
      <c r="G621" s="12"/>
      <c r="H621" s="12"/>
      <c r="I621" s="12"/>
      <c r="J621" s="12"/>
    </row>
    <row r="622">
      <c r="B622" s="12"/>
      <c r="C622" s="12"/>
      <c r="D622" s="12"/>
      <c r="E622" s="12"/>
      <c r="F622" s="12"/>
      <c r="G622" s="12"/>
      <c r="H622" s="12"/>
      <c r="I622" s="12"/>
      <c r="J622" s="12"/>
    </row>
    <row r="623">
      <c r="B623" s="12"/>
      <c r="C623" s="12"/>
      <c r="D623" s="12"/>
      <c r="E623" s="12"/>
      <c r="F623" s="12"/>
      <c r="G623" s="12"/>
      <c r="H623" s="12"/>
      <c r="I623" s="12"/>
      <c r="J623" s="12"/>
    </row>
    <row r="624">
      <c r="B624" s="12"/>
      <c r="C624" s="12"/>
      <c r="D624" s="12"/>
      <c r="E624" s="12"/>
      <c r="F624" s="12"/>
      <c r="G624" s="12"/>
      <c r="H624" s="12"/>
      <c r="I624" s="12"/>
      <c r="J624" s="12"/>
    </row>
    <row r="625">
      <c r="B625" s="12"/>
      <c r="C625" s="12"/>
      <c r="D625" s="12"/>
      <c r="E625" s="12"/>
      <c r="F625" s="12"/>
      <c r="G625" s="12"/>
      <c r="H625" s="12"/>
      <c r="I625" s="12"/>
      <c r="J625" s="12"/>
    </row>
    <row r="626">
      <c r="B626" s="12"/>
      <c r="C626" s="12"/>
      <c r="D626" s="12"/>
      <c r="E626" s="12"/>
      <c r="F626" s="12"/>
      <c r="G626" s="12"/>
      <c r="H626" s="12"/>
      <c r="I626" s="12"/>
      <c r="J626" s="12"/>
    </row>
    <row r="627">
      <c r="B627" s="12"/>
      <c r="C627" s="12"/>
      <c r="D627" s="12"/>
      <c r="E627" s="12"/>
      <c r="F627" s="12"/>
      <c r="G627" s="12"/>
      <c r="H627" s="12"/>
      <c r="I627" s="12"/>
      <c r="J627" s="12"/>
    </row>
    <row r="628">
      <c r="B628" s="12"/>
      <c r="C628" s="12"/>
      <c r="D628" s="12"/>
      <c r="E628" s="12"/>
      <c r="F628" s="12"/>
      <c r="G628" s="12"/>
      <c r="H628" s="12"/>
      <c r="I628" s="12"/>
      <c r="J628" s="12"/>
    </row>
    <row r="629">
      <c r="B629" s="12"/>
      <c r="C629" s="12"/>
      <c r="D629" s="12"/>
      <c r="E629" s="12"/>
      <c r="F629" s="12"/>
      <c r="G629" s="12"/>
      <c r="H629" s="12"/>
      <c r="I629" s="12"/>
      <c r="J629" s="12"/>
    </row>
    <row r="630">
      <c r="B630" s="12"/>
      <c r="C630" s="12"/>
      <c r="D630" s="12"/>
      <c r="E630" s="12"/>
      <c r="F630" s="12"/>
      <c r="G630" s="12"/>
      <c r="H630" s="12"/>
      <c r="I630" s="12"/>
      <c r="J630" s="12"/>
    </row>
    <row r="631">
      <c r="B631" s="12"/>
      <c r="C631" s="12"/>
      <c r="D631" s="12"/>
      <c r="E631" s="12"/>
      <c r="F631" s="12"/>
      <c r="G631" s="12"/>
      <c r="H631" s="12"/>
      <c r="I631" s="12"/>
      <c r="J631" s="12"/>
    </row>
    <row r="632">
      <c r="B632" s="12"/>
      <c r="C632" s="12"/>
      <c r="D632" s="12"/>
      <c r="E632" s="12"/>
      <c r="F632" s="12"/>
      <c r="G632" s="12"/>
      <c r="H632" s="12"/>
      <c r="I632" s="12"/>
      <c r="J632" s="12"/>
    </row>
    <row r="633">
      <c r="B633" s="12"/>
      <c r="C633" s="12"/>
      <c r="D633" s="12"/>
      <c r="E633" s="12"/>
      <c r="F633" s="12"/>
      <c r="G633" s="12"/>
      <c r="H633" s="12"/>
      <c r="I633" s="12"/>
      <c r="J633" s="12"/>
    </row>
    <row r="634">
      <c r="B634" s="12"/>
      <c r="C634" s="12"/>
      <c r="D634" s="12"/>
      <c r="E634" s="12"/>
      <c r="F634" s="12"/>
      <c r="G634" s="12"/>
      <c r="H634" s="12"/>
      <c r="I634" s="12"/>
      <c r="J634" s="12"/>
    </row>
    <row r="635">
      <c r="B635" s="12"/>
      <c r="C635" s="12"/>
      <c r="D635" s="12"/>
      <c r="E635" s="12"/>
      <c r="F635" s="12"/>
      <c r="G635" s="12"/>
      <c r="H635" s="12"/>
      <c r="I635" s="12"/>
      <c r="J635" s="12"/>
    </row>
    <row r="636">
      <c r="B636" s="12"/>
      <c r="C636" s="12"/>
      <c r="D636" s="12"/>
      <c r="E636" s="12"/>
      <c r="F636" s="12"/>
      <c r="G636" s="12"/>
      <c r="H636" s="12"/>
      <c r="I636" s="12"/>
      <c r="J636" s="12"/>
    </row>
    <row r="637">
      <c r="B637" s="12"/>
      <c r="C637" s="12"/>
      <c r="D637" s="12"/>
      <c r="E637" s="12"/>
      <c r="F637" s="12"/>
      <c r="G637" s="12"/>
      <c r="H637" s="12"/>
      <c r="I637" s="12"/>
      <c r="J637" s="12"/>
    </row>
    <row r="638">
      <c r="B638" s="12"/>
      <c r="C638" s="12"/>
      <c r="D638" s="12"/>
      <c r="E638" s="12"/>
      <c r="F638" s="12"/>
      <c r="G638" s="12"/>
      <c r="H638" s="12"/>
      <c r="I638" s="12"/>
      <c r="J638" s="12"/>
    </row>
    <row r="639">
      <c r="B639" s="12"/>
      <c r="C639" s="12"/>
      <c r="D639" s="12"/>
      <c r="E639" s="12"/>
      <c r="F639" s="12"/>
      <c r="G639" s="12"/>
      <c r="H639" s="12"/>
      <c r="I639" s="12"/>
      <c r="J639" s="12"/>
    </row>
    <row r="640">
      <c r="B640" s="12"/>
      <c r="C640" s="12"/>
      <c r="D640" s="12"/>
      <c r="E640" s="12"/>
      <c r="F640" s="12"/>
      <c r="G640" s="12"/>
      <c r="H640" s="12"/>
      <c r="I640" s="12"/>
      <c r="J640" s="12"/>
    </row>
    <row r="641">
      <c r="B641" s="12"/>
      <c r="C641" s="12"/>
      <c r="D641" s="12"/>
      <c r="E641" s="12"/>
      <c r="F641" s="12"/>
      <c r="G641" s="12"/>
      <c r="H641" s="12"/>
      <c r="I641" s="12"/>
      <c r="J641" s="12"/>
    </row>
    <row r="642">
      <c r="B642" s="12"/>
      <c r="C642" s="12"/>
      <c r="D642" s="12"/>
      <c r="E642" s="12"/>
      <c r="F642" s="12"/>
      <c r="G642" s="12"/>
      <c r="H642" s="12"/>
      <c r="I642" s="12"/>
      <c r="J642" s="12"/>
    </row>
    <row r="643">
      <c r="B643" s="12"/>
      <c r="C643" s="12"/>
      <c r="D643" s="12"/>
      <c r="E643" s="12"/>
      <c r="F643" s="12"/>
      <c r="G643" s="12"/>
      <c r="H643" s="12"/>
      <c r="I643" s="12"/>
      <c r="J643" s="12"/>
    </row>
    <row r="644">
      <c r="B644" s="12"/>
      <c r="C644" s="12"/>
      <c r="D644" s="12"/>
      <c r="E644" s="12"/>
      <c r="F644" s="12"/>
      <c r="G644" s="12"/>
      <c r="H644" s="12"/>
      <c r="I644" s="12"/>
      <c r="J644" s="12"/>
    </row>
    <row r="645">
      <c r="B645" s="12"/>
      <c r="C645" s="12"/>
      <c r="D645" s="12"/>
      <c r="E645" s="12"/>
      <c r="F645" s="12"/>
      <c r="G645" s="12"/>
      <c r="H645" s="12"/>
      <c r="I645" s="12"/>
      <c r="J645" s="12"/>
    </row>
    <row r="646">
      <c r="B646" s="12"/>
      <c r="C646" s="12"/>
      <c r="D646" s="12"/>
      <c r="E646" s="12"/>
      <c r="F646" s="12"/>
      <c r="G646" s="12"/>
      <c r="H646" s="12"/>
      <c r="I646" s="12"/>
      <c r="J646" s="12"/>
    </row>
    <row r="647">
      <c r="B647" s="12"/>
      <c r="C647" s="12"/>
      <c r="D647" s="12"/>
      <c r="E647" s="12"/>
      <c r="F647" s="12"/>
      <c r="G647" s="12"/>
      <c r="H647" s="12"/>
      <c r="I647" s="12"/>
      <c r="J647" s="12"/>
    </row>
    <row r="648">
      <c r="B648" s="12"/>
      <c r="C648" s="12"/>
      <c r="D648" s="12"/>
      <c r="E648" s="12"/>
      <c r="F648" s="12"/>
      <c r="G648" s="12"/>
      <c r="H648" s="12"/>
      <c r="I648" s="12"/>
      <c r="J648" s="12"/>
    </row>
    <row r="649">
      <c r="B649" s="12"/>
      <c r="C649" s="12"/>
      <c r="D649" s="12"/>
      <c r="E649" s="12"/>
      <c r="F649" s="12"/>
      <c r="G649" s="12"/>
      <c r="H649" s="12"/>
      <c r="I649" s="12"/>
      <c r="J649" s="12"/>
    </row>
    <row r="650">
      <c r="B650" s="12"/>
      <c r="C650" s="12"/>
      <c r="D650" s="12"/>
      <c r="E650" s="12"/>
      <c r="F650" s="12"/>
      <c r="G650" s="12"/>
      <c r="H650" s="12"/>
      <c r="I650" s="12"/>
      <c r="J650" s="12"/>
    </row>
    <row r="651">
      <c r="B651" s="12"/>
      <c r="C651" s="12"/>
      <c r="D651" s="12"/>
      <c r="E651" s="12"/>
      <c r="F651" s="12"/>
      <c r="G651" s="12"/>
      <c r="H651" s="12"/>
      <c r="I651" s="12"/>
      <c r="J651" s="12"/>
    </row>
    <row r="652">
      <c r="B652" s="12"/>
      <c r="C652" s="12"/>
      <c r="D652" s="12"/>
      <c r="E652" s="12"/>
      <c r="F652" s="12"/>
      <c r="G652" s="12"/>
      <c r="H652" s="12"/>
      <c r="I652" s="12"/>
      <c r="J652" s="12"/>
    </row>
    <row r="653">
      <c r="B653" s="12"/>
      <c r="C653" s="12"/>
      <c r="D653" s="12"/>
      <c r="E653" s="12"/>
      <c r="F653" s="12"/>
      <c r="G653" s="12"/>
      <c r="H653" s="12"/>
      <c r="I653" s="12"/>
      <c r="J653" s="12"/>
    </row>
    <row r="654">
      <c r="B654" s="12"/>
      <c r="C654" s="12"/>
      <c r="D654" s="12"/>
      <c r="E654" s="12"/>
      <c r="F654" s="12"/>
      <c r="G654" s="12"/>
      <c r="H654" s="12"/>
      <c r="I654" s="12"/>
      <c r="J654" s="12"/>
    </row>
    <row r="655">
      <c r="B655" s="12"/>
      <c r="C655" s="12"/>
      <c r="D655" s="12"/>
      <c r="E655" s="12"/>
      <c r="F655" s="12"/>
      <c r="G655" s="12"/>
      <c r="H655" s="12"/>
      <c r="I655" s="12"/>
      <c r="J655" s="12"/>
    </row>
    <row r="656">
      <c r="B656" s="12"/>
      <c r="C656" s="12"/>
      <c r="D656" s="12"/>
      <c r="E656" s="12"/>
      <c r="F656" s="12"/>
      <c r="G656" s="12"/>
      <c r="H656" s="12"/>
      <c r="I656" s="12"/>
      <c r="J656" s="12"/>
    </row>
    <row r="657">
      <c r="B657" s="12"/>
      <c r="C657" s="12"/>
      <c r="D657" s="12"/>
      <c r="E657" s="12"/>
      <c r="F657" s="12"/>
      <c r="G657" s="12"/>
      <c r="H657" s="12"/>
      <c r="I657" s="12"/>
      <c r="J657" s="12"/>
    </row>
    <row r="658">
      <c r="B658" s="12"/>
      <c r="C658" s="12"/>
      <c r="D658" s="12"/>
      <c r="E658" s="12"/>
      <c r="F658" s="12"/>
      <c r="G658" s="12"/>
      <c r="H658" s="12"/>
      <c r="I658" s="12"/>
      <c r="J658" s="12"/>
    </row>
    <row r="659">
      <c r="B659" s="12"/>
      <c r="C659" s="12"/>
      <c r="D659" s="12"/>
      <c r="E659" s="12"/>
      <c r="F659" s="12"/>
      <c r="G659" s="12"/>
      <c r="H659" s="12"/>
      <c r="I659" s="12"/>
      <c r="J659" s="12"/>
    </row>
    <row r="660">
      <c r="B660" s="12"/>
      <c r="C660" s="12"/>
      <c r="D660" s="12"/>
      <c r="E660" s="12"/>
      <c r="F660" s="12"/>
      <c r="G660" s="12"/>
      <c r="H660" s="12"/>
      <c r="I660" s="12"/>
      <c r="J660" s="12"/>
    </row>
    <row r="661">
      <c r="B661" s="12"/>
      <c r="C661" s="12"/>
      <c r="D661" s="12"/>
      <c r="E661" s="12"/>
      <c r="F661" s="12"/>
      <c r="G661" s="12"/>
      <c r="H661" s="12"/>
      <c r="I661" s="12"/>
      <c r="J661" s="12"/>
    </row>
    <row r="662">
      <c r="B662" s="12"/>
      <c r="C662" s="12"/>
      <c r="D662" s="12"/>
      <c r="E662" s="12"/>
      <c r="F662" s="12"/>
      <c r="G662" s="12"/>
      <c r="H662" s="12"/>
      <c r="I662" s="12"/>
      <c r="J662" s="12"/>
    </row>
    <row r="663">
      <c r="B663" s="12"/>
      <c r="C663" s="12"/>
      <c r="D663" s="12"/>
      <c r="E663" s="12"/>
      <c r="F663" s="12"/>
      <c r="G663" s="12"/>
      <c r="H663" s="12"/>
      <c r="I663" s="12"/>
      <c r="J663" s="12"/>
    </row>
    <row r="664">
      <c r="B664" s="12"/>
      <c r="C664" s="12"/>
      <c r="D664" s="12"/>
      <c r="E664" s="12"/>
      <c r="F664" s="12"/>
      <c r="G664" s="12"/>
      <c r="H664" s="12"/>
      <c r="I664" s="12"/>
      <c r="J664" s="12"/>
    </row>
    <row r="665">
      <c r="B665" s="12"/>
      <c r="C665" s="12"/>
      <c r="D665" s="12"/>
      <c r="E665" s="12"/>
      <c r="F665" s="12"/>
      <c r="G665" s="12"/>
      <c r="H665" s="12"/>
      <c r="I665" s="12"/>
      <c r="J665" s="12"/>
    </row>
    <row r="666">
      <c r="B666" s="12"/>
      <c r="C666" s="12"/>
      <c r="D666" s="12"/>
      <c r="E666" s="12"/>
      <c r="F666" s="12"/>
      <c r="G666" s="12"/>
      <c r="H666" s="12"/>
      <c r="I666" s="12"/>
      <c r="J666" s="12"/>
    </row>
    <row r="667">
      <c r="B667" s="12"/>
      <c r="C667" s="12"/>
      <c r="D667" s="12"/>
      <c r="E667" s="12"/>
      <c r="F667" s="12"/>
      <c r="G667" s="12"/>
      <c r="H667" s="12"/>
      <c r="I667" s="12"/>
      <c r="J667" s="12"/>
    </row>
    <row r="668">
      <c r="B668" s="12"/>
      <c r="C668" s="12"/>
      <c r="D668" s="12"/>
      <c r="E668" s="12"/>
      <c r="F668" s="12"/>
      <c r="G668" s="12"/>
      <c r="H668" s="12"/>
      <c r="I668" s="12"/>
      <c r="J668" s="12"/>
    </row>
    <row r="669">
      <c r="B669" s="12"/>
      <c r="C669" s="12"/>
      <c r="D669" s="12"/>
      <c r="E669" s="12"/>
      <c r="F669" s="12"/>
      <c r="G669" s="12"/>
      <c r="H669" s="12"/>
      <c r="I669" s="12"/>
      <c r="J669" s="12"/>
    </row>
    <row r="670">
      <c r="B670" s="12"/>
      <c r="C670" s="12"/>
      <c r="D670" s="12"/>
      <c r="E670" s="12"/>
      <c r="F670" s="12"/>
      <c r="G670" s="12"/>
      <c r="H670" s="12"/>
      <c r="I670" s="12"/>
      <c r="J670" s="12"/>
    </row>
    <row r="671">
      <c r="B671" s="12"/>
      <c r="C671" s="12"/>
      <c r="D671" s="12"/>
      <c r="E671" s="12"/>
      <c r="F671" s="12"/>
      <c r="G671" s="12"/>
      <c r="H671" s="12"/>
      <c r="I671" s="12"/>
      <c r="J671" s="12"/>
    </row>
    <row r="672">
      <c r="B672" s="12"/>
      <c r="C672" s="12"/>
      <c r="D672" s="12"/>
      <c r="E672" s="12"/>
      <c r="F672" s="12"/>
      <c r="G672" s="12"/>
      <c r="H672" s="12"/>
      <c r="I672" s="12"/>
      <c r="J672" s="12"/>
    </row>
    <row r="673">
      <c r="B673" s="12"/>
      <c r="C673" s="12"/>
      <c r="D673" s="12"/>
      <c r="E673" s="12"/>
      <c r="F673" s="12"/>
      <c r="G673" s="12"/>
      <c r="H673" s="12"/>
      <c r="I673" s="12"/>
      <c r="J673" s="12"/>
    </row>
    <row r="674">
      <c r="B674" s="12"/>
      <c r="C674" s="12"/>
      <c r="D674" s="12"/>
      <c r="E674" s="12"/>
      <c r="F674" s="12"/>
      <c r="G674" s="12"/>
      <c r="H674" s="12"/>
      <c r="I674" s="12"/>
      <c r="J674" s="12"/>
    </row>
    <row r="675">
      <c r="B675" s="12"/>
      <c r="C675" s="12"/>
      <c r="D675" s="12"/>
      <c r="E675" s="12"/>
      <c r="F675" s="12"/>
      <c r="G675" s="12"/>
      <c r="H675" s="12"/>
      <c r="I675" s="12"/>
      <c r="J675" s="12"/>
    </row>
    <row r="676">
      <c r="B676" s="12"/>
      <c r="C676" s="12"/>
      <c r="D676" s="12"/>
      <c r="E676" s="12"/>
      <c r="F676" s="12"/>
      <c r="G676" s="12"/>
      <c r="H676" s="12"/>
      <c r="I676" s="12"/>
      <c r="J676" s="12"/>
    </row>
    <row r="677">
      <c r="B677" s="12"/>
      <c r="C677" s="12"/>
      <c r="D677" s="12"/>
      <c r="E677" s="12"/>
      <c r="F677" s="12"/>
      <c r="G677" s="12"/>
      <c r="H677" s="12"/>
      <c r="I677" s="12"/>
      <c r="J677" s="12"/>
    </row>
    <row r="678">
      <c r="B678" s="12"/>
      <c r="C678" s="12"/>
      <c r="D678" s="12"/>
      <c r="E678" s="12"/>
      <c r="F678" s="12"/>
      <c r="G678" s="12"/>
      <c r="H678" s="12"/>
      <c r="I678" s="12"/>
      <c r="J678" s="12"/>
    </row>
    <row r="679">
      <c r="B679" s="12"/>
      <c r="C679" s="12"/>
      <c r="D679" s="12"/>
      <c r="E679" s="12"/>
      <c r="F679" s="12"/>
      <c r="G679" s="12"/>
      <c r="H679" s="12"/>
      <c r="I679" s="12"/>
      <c r="J679" s="12"/>
    </row>
    <row r="680">
      <c r="B680" s="12"/>
      <c r="C680" s="12"/>
      <c r="D680" s="12"/>
      <c r="E680" s="12"/>
      <c r="F680" s="12"/>
      <c r="G680" s="12"/>
      <c r="H680" s="12"/>
      <c r="I680" s="12"/>
      <c r="J680" s="12"/>
    </row>
    <row r="681">
      <c r="B681" s="12"/>
      <c r="C681" s="12"/>
      <c r="D681" s="12"/>
      <c r="E681" s="12"/>
      <c r="F681" s="12"/>
      <c r="G681" s="12"/>
      <c r="H681" s="12"/>
      <c r="I681" s="12"/>
      <c r="J681" s="12"/>
    </row>
    <row r="682">
      <c r="B682" s="12"/>
      <c r="C682" s="12"/>
      <c r="D682" s="12"/>
      <c r="E682" s="12"/>
      <c r="F682" s="12"/>
      <c r="G682" s="12"/>
      <c r="H682" s="12"/>
      <c r="I682" s="12"/>
      <c r="J682" s="12"/>
    </row>
    <row r="683">
      <c r="B683" s="12"/>
      <c r="C683" s="12"/>
      <c r="D683" s="12"/>
      <c r="E683" s="12"/>
      <c r="F683" s="12"/>
      <c r="G683" s="12"/>
      <c r="H683" s="12"/>
      <c r="I683" s="12"/>
      <c r="J683" s="12"/>
    </row>
    <row r="684">
      <c r="B684" s="12"/>
      <c r="C684" s="12"/>
      <c r="D684" s="12"/>
      <c r="E684" s="12"/>
      <c r="F684" s="12"/>
      <c r="G684" s="12"/>
      <c r="H684" s="12"/>
      <c r="I684" s="12"/>
      <c r="J684" s="12"/>
    </row>
    <row r="685">
      <c r="B685" s="12"/>
      <c r="C685" s="12"/>
      <c r="D685" s="12"/>
      <c r="E685" s="12"/>
      <c r="F685" s="12"/>
      <c r="G685" s="12"/>
      <c r="H685" s="12"/>
      <c r="I685" s="12"/>
      <c r="J685" s="12"/>
    </row>
    <row r="686">
      <c r="B686" s="12"/>
      <c r="C686" s="12"/>
      <c r="D686" s="12"/>
      <c r="E686" s="12"/>
      <c r="F686" s="12"/>
      <c r="G686" s="12"/>
      <c r="H686" s="12"/>
      <c r="I686" s="12"/>
      <c r="J686" s="12"/>
    </row>
    <row r="687">
      <c r="B687" s="12"/>
      <c r="C687" s="12"/>
      <c r="D687" s="12"/>
      <c r="E687" s="12"/>
      <c r="F687" s="12"/>
      <c r="G687" s="12"/>
      <c r="H687" s="12"/>
      <c r="I687" s="12"/>
      <c r="J687" s="12"/>
    </row>
    <row r="688">
      <c r="B688" s="12"/>
      <c r="C688" s="12"/>
      <c r="D688" s="12"/>
      <c r="E688" s="12"/>
      <c r="F688" s="12"/>
      <c r="G688" s="12"/>
      <c r="H688" s="12"/>
      <c r="I688" s="12"/>
      <c r="J688" s="12"/>
    </row>
    <row r="689">
      <c r="B689" s="12"/>
      <c r="C689" s="12"/>
      <c r="D689" s="12"/>
      <c r="E689" s="12"/>
      <c r="F689" s="12"/>
      <c r="G689" s="12"/>
      <c r="H689" s="12"/>
      <c r="I689" s="12"/>
      <c r="J689" s="12"/>
    </row>
    <row r="690">
      <c r="B690" s="12"/>
      <c r="C690" s="12"/>
      <c r="D690" s="12"/>
      <c r="E690" s="12"/>
      <c r="F690" s="12"/>
      <c r="G690" s="12"/>
      <c r="H690" s="12"/>
      <c r="I690" s="12"/>
      <c r="J690" s="12"/>
    </row>
    <row r="691">
      <c r="B691" s="12"/>
      <c r="C691" s="12"/>
      <c r="D691" s="12"/>
      <c r="E691" s="12"/>
      <c r="F691" s="12"/>
      <c r="G691" s="12"/>
      <c r="H691" s="12"/>
      <c r="I691" s="12"/>
      <c r="J691" s="12"/>
    </row>
    <row r="692">
      <c r="B692" s="12"/>
      <c r="C692" s="12"/>
      <c r="D692" s="12"/>
      <c r="E692" s="12"/>
      <c r="F692" s="12"/>
      <c r="G692" s="12"/>
      <c r="H692" s="12"/>
      <c r="I692" s="12"/>
      <c r="J692" s="12"/>
    </row>
    <row r="693">
      <c r="B693" s="12"/>
      <c r="C693" s="12"/>
      <c r="D693" s="12"/>
      <c r="E693" s="12"/>
      <c r="F693" s="12"/>
      <c r="G693" s="12"/>
      <c r="H693" s="12"/>
      <c r="I693" s="12"/>
      <c r="J693" s="12"/>
    </row>
    <row r="694">
      <c r="B694" s="12"/>
      <c r="C694" s="12"/>
      <c r="D694" s="12"/>
      <c r="E694" s="12"/>
      <c r="F694" s="12"/>
      <c r="G694" s="12"/>
      <c r="H694" s="12"/>
      <c r="I694" s="12"/>
      <c r="J694" s="12"/>
    </row>
    <row r="695">
      <c r="B695" s="12"/>
      <c r="C695" s="12"/>
      <c r="D695" s="12"/>
      <c r="E695" s="12"/>
      <c r="F695" s="12"/>
      <c r="G695" s="12"/>
      <c r="H695" s="12"/>
      <c r="I695" s="12"/>
      <c r="J695" s="12"/>
    </row>
    <row r="696">
      <c r="B696" s="12"/>
      <c r="C696" s="12"/>
      <c r="D696" s="12"/>
      <c r="E696" s="12"/>
      <c r="F696" s="12"/>
      <c r="G696" s="12"/>
      <c r="H696" s="12"/>
      <c r="I696" s="12"/>
      <c r="J696" s="12"/>
    </row>
    <row r="697">
      <c r="B697" s="12"/>
      <c r="C697" s="12"/>
      <c r="D697" s="12"/>
      <c r="E697" s="12"/>
      <c r="F697" s="12"/>
      <c r="G697" s="12"/>
      <c r="H697" s="12"/>
      <c r="I697" s="12"/>
      <c r="J697" s="12"/>
    </row>
    <row r="698">
      <c r="B698" s="12"/>
      <c r="C698" s="12"/>
      <c r="D698" s="12"/>
      <c r="E698" s="12"/>
      <c r="F698" s="12"/>
      <c r="G698" s="12"/>
      <c r="H698" s="12"/>
      <c r="I698" s="12"/>
      <c r="J698" s="12"/>
    </row>
    <row r="699">
      <c r="B699" s="12"/>
      <c r="C699" s="12"/>
      <c r="D699" s="12"/>
      <c r="E699" s="12"/>
      <c r="F699" s="12"/>
      <c r="G699" s="12"/>
      <c r="H699" s="12"/>
      <c r="I699" s="12"/>
      <c r="J699" s="12"/>
    </row>
    <row r="700">
      <c r="B700" s="12"/>
      <c r="C700" s="12"/>
      <c r="D700" s="12"/>
      <c r="E700" s="12"/>
      <c r="F700" s="12"/>
      <c r="G700" s="12"/>
      <c r="H700" s="12"/>
      <c r="I700" s="12"/>
      <c r="J700" s="12"/>
    </row>
    <row r="701">
      <c r="B701" s="12"/>
      <c r="C701" s="12"/>
      <c r="D701" s="12"/>
      <c r="E701" s="12"/>
      <c r="F701" s="12"/>
      <c r="G701" s="12"/>
      <c r="H701" s="12"/>
      <c r="I701" s="12"/>
      <c r="J701" s="12"/>
    </row>
    <row r="702">
      <c r="B702" s="12"/>
      <c r="C702" s="12"/>
      <c r="D702" s="12"/>
      <c r="E702" s="12"/>
      <c r="F702" s="12"/>
      <c r="G702" s="12"/>
      <c r="H702" s="12"/>
      <c r="I702" s="12"/>
      <c r="J702" s="12"/>
    </row>
    <row r="703">
      <c r="B703" s="12"/>
      <c r="C703" s="12"/>
      <c r="D703" s="12"/>
      <c r="E703" s="12"/>
      <c r="F703" s="12"/>
      <c r="G703" s="12"/>
      <c r="H703" s="12"/>
      <c r="I703" s="12"/>
      <c r="J703" s="12"/>
    </row>
    <row r="704">
      <c r="B704" s="12"/>
      <c r="C704" s="12"/>
      <c r="D704" s="12"/>
      <c r="E704" s="12"/>
      <c r="F704" s="12"/>
      <c r="G704" s="12"/>
      <c r="H704" s="12"/>
      <c r="I704" s="12"/>
      <c r="J704" s="12"/>
    </row>
    <row r="705">
      <c r="B705" s="12"/>
      <c r="C705" s="12"/>
      <c r="D705" s="12"/>
      <c r="E705" s="12"/>
      <c r="F705" s="12"/>
      <c r="G705" s="12"/>
      <c r="H705" s="12"/>
      <c r="I705" s="12"/>
      <c r="J705" s="12"/>
    </row>
    <row r="706">
      <c r="B706" s="12"/>
      <c r="C706" s="12"/>
      <c r="D706" s="12"/>
      <c r="E706" s="12"/>
      <c r="F706" s="12"/>
      <c r="G706" s="12"/>
      <c r="H706" s="12"/>
      <c r="I706" s="12"/>
      <c r="J706" s="12"/>
    </row>
    <row r="707">
      <c r="B707" s="12"/>
      <c r="C707" s="12"/>
      <c r="D707" s="12"/>
      <c r="E707" s="12"/>
      <c r="F707" s="12"/>
      <c r="G707" s="12"/>
      <c r="H707" s="12"/>
      <c r="I707" s="12"/>
      <c r="J707" s="12"/>
    </row>
    <row r="708">
      <c r="B708" s="12"/>
      <c r="C708" s="12"/>
      <c r="D708" s="12"/>
      <c r="E708" s="12"/>
      <c r="F708" s="12"/>
      <c r="G708" s="12"/>
      <c r="H708" s="12"/>
      <c r="I708" s="12"/>
      <c r="J708" s="12"/>
    </row>
    <row r="709">
      <c r="B709" s="12"/>
      <c r="C709" s="12"/>
      <c r="D709" s="12"/>
      <c r="E709" s="12"/>
      <c r="F709" s="12"/>
      <c r="G709" s="12"/>
      <c r="H709" s="12"/>
      <c r="I709" s="12"/>
      <c r="J709" s="12"/>
    </row>
    <row r="710">
      <c r="B710" s="12"/>
      <c r="C710" s="12"/>
      <c r="D710" s="12"/>
      <c r="E710" s="12"/>
      <c r="F710" s="12"/>
      <c r="G710" s="12"/>
      <c r="H710" s="12"/>
      <c r="I710" s="12"/>
      <c r="J710" s="12"/>
    </row>
    <row r="711">
      <c r="B711" s="12"/>
      <c r="C711" s="12"/>
      <c r="D711" s="12"/>
      <c r="E711" s="12"/>
      <c r="F711" s="12"/>
      <c r="G711" s="12"/>
      <c r="H711" s="12"/>
      <c r="I711" s="12"/>
      <c r="J711" s="12"/>
    </row>
    <row r="712">
      <c r="B712" s="12"/>
      <c r="C712" s="12"/>
      <c r="D712" s="12"/>
      <c r="E712" s="12"/>
      <c r="F712" s="12"/>
      <c r="G712" s="12"/>
      <c r="H712" s="12"/>
      <c r="I712" s="12"/>
      <c r="J712" s="12"/>
    </row>
    <row r="713">
      <c r="B713" s="12"/>
      <c r="C713" s="12"/>
      <c r="D713" s="12"/>
      <c r="E713" s="12"/>
      <c r="F713" s="12"/>
      <c r="G713" s="12"/>
      <c r="H713" s="12"/>
      <c r="I713" s="12"/>
      <c r="J713" s="12"/>
    </row>
    <row r="714">
      <c r="B714" s="12"/>
      <c r="C714" s="12"/>
      <c r="D714" s="12"/>
      <c r="E714" s="12"/>
      <c r="F714" s="12"/>
      <c r="G714" s="12"/>
      <c r="H714" s="12"/>
      <c r="I714" s="12"/>
      <c r="J714" s="12"/>
    </row>
    <row r="715">
      <c r="B715" s="12"/>
      <c r="C715" s="12"/>
      <c r="D715" s="12"/>
      <c r="E715" s="12"/>
      <c r="F715" s="12"/>
      <c r="G715" s="12"/>
      <c r="H715" s="12"/>
      <c r="I715" s="12"/>
      <c r="J715" s="12"/>
    </row>
    <row r="716">
      <c r="B716" s="12"/>
      <c r="C716" s="12"/>
      <c r="D716" s="12"/>
      <c r="E716" s="12"/>
      <c r="F716" s="12"/>
      <c r="G716" s="12"/>
      <c r="H716" s="12"/>
      <c r="I716" s="12"/>
      <c r="J716" s="12"/>
    </row>
    <row r="717">
      <c r="B717" s="12"/>
      <c r="C717" s="12"/>
      <c r="D717" s="12"/>
      <c r="E717" s="12"/>
      <c r="F717" s="12"/>
      <c r="G717" s="12"/>
      <c r="H717" s="12"/>
      <c r="I717" s="12"/>
      <c r="J717" s="12"/>
    </row>
    <row r="718">
      <c r="B718" s="12"/>
      <c r="C718" s="12"/>
      <c r="D718" s="12"/>
      <c r="E718" s="12"/>
      <c r="F718" s="12"/>
      <c r="G718" s="12"/>
      <c r="H718" s="12"/>
      <c r="I718" s="12"/>
      <c r="J718" s="12"/>
    </row>
    <row r="719">
      <c r="B719" s="12"/>
      <c r="C719" s="12"/>
      <c r="D719" s="12"/>
      <c r="E719" s="12"/>
      <c r="F719" s="12"/>
      <c r="G719" s="12"/>
      <c r="H719" s="12"/>
      <c r="I719" s="12"/>
      <c r="J719" s="12"/>
    </row>
    <row r="720">
      <c r="B720" s="12"/>
      <c r="C720" s="12"/>
      <c r="D720" s="12"/>
      <c r="E720" s="12"/>
      <c r="F720" s="12"/>
      <c r="G720" s="12"/>
      <c r="H720" s="12"/>
      <c r="I720" s="12"/>
      <c r="J720" s="12"/>
    </row>
    <row r="721">
      <c r="B721" s="12"/>
      <c r="C721" s="12"/>
      <c r="D721" s="12"/>
      <c r="E721" s="12"/>
      <c r="F721" s="12"/>
      <c r="G721" s="12"/>
      <c r="H721" s="12"/>
      <c r="I721" s="12"/>
      <c r="J721" s="12"/>
    </row>
    <row r="722">
      <c r="B722" s="12"/>
      <c r="C722" s="12"/>
      <c r="D722" s="12"/>
      <c r="E722" s="12"/>
      <c r="F722" s="12"/>
      <c r="G722" s="12"/>
      <c r="H722" s="12"/>
      <c r="I722" s="12"/>
      <c r="J722" s="12"/>
    </row>
    <row r="723">
      <c r="B723" s="12"/>
      <c r="C723" s="12"/>
      <c r="D723" s="12"/>
      <c r="E723" s="12"/>
      <c r="F723" s="12"/>
      <c r="G723" s="12"/>
      <c r="H723" s="12"/>
      <c r="I723" s="12"/>
      <c r="J723" s="12"/>
    </row>
    <row r="724">
      <c r="B724" s="12"/>
      <c r="C724" s="12"/>
      <c r="D724" s="12"/>
      <c r="E724" s="12"/>
      <c r="F724" s="12"/>
      <c r="G724" s="12"/>
      <c r="H724" s="12"/>
      <c r="I724" s="12"/>
      <c r="J724" s="12"/>
    </row>
    <row r="725">
      <c r="B725" s="12"/>
      <c r="C725" s="12"/>
      <c r="D725" s="12"/>
      <c r="E725" s="12"/>
      <c r="F725" s="12"/>
      <c r="G725" s="12"/>
      <c r="H725" s="12"/>
      <c r="I725" s="12"/>
      <c r="J725" s="12"/>
    </row>
    <row r="726">
      <c r="B726" s="12"/>
      <c r="C726" s="12"/>
      <c r="D726" s="12"/>
      <c r="E726" s="12"/>
      <c r="F726" s="12"/>
      <c r="G726" s="12"/>
      <c r="H726" s="12"/>
      <c r="I726" s="12"/>
      <c r="J726" s="12"/>
    </row>
    <row r="727">
      <c r="B727" s="12"/>
      <c r="C727" s="12"/>
      <c r="D727" s="12"/>
      <c r="E727" s="12"/>
      <c r="F727" s="12"/>
      <c r="G727" s="12"/>
      <c r="H727" s="12"/>
      <c r="I727" s="12"/>
      <c r="J727" s="12"/>
    </row>
    <row r="728">
      <c r="B728" s="12"/>
      <c r="C728" s="12"/>
      <c r="D728" s="12"/>
      <c r="E728" s="12"/>
      <c r="F728" s="12"/>
      <c r="G728" s="12"/>
      <c r="H728" s="12"/>
      <c r="I728" s="12"/>
      <c r="J728" s="12"/>
    </row>
    <row r="729">
      <c r="B729" s="12"/>
      <c r="C729" s="12"/>
      <c r="D729" s="12"/>
      <c r="E729" s="12"/>
      <c r="F729" s="12"/>
      <c r="G729" s="12"/>
      <c r="H729" s="12"/>
      <c r="I729" s="12"/>
      <c r="J729" s="12"/>
    </row>
    <row r="730">
      <c r="B730" s="12"/>
      <c r="C730" s="12"/>
      <c r="D730" s="12"/>
      <c r="E730" s="12"/>
      <c r="F730" s="12"/>
      <c r="G730" s="12"/>
      <c r="H730" s="12"/>
      <c r="I730" s="12"/>
      <c r="J730" s="12"/>
    </row>
    <row r="731">
      <c r="B731" s="12"/>
      <c r="C731" s="12"/>
      <c r="D731" s="12"/>
      <c r="E731" s="12"/>
      <c r="F731" s="12"/>
      <c r="G731" s="12"/>
      <c r="H731" s="12"/>
      <c r="I731" s="12"/>
      <c r="J731" s="12"/>
    </row>
    <row r="732">
      <c r="B732" s="12"/>
      <c r="C732" s="12"/>
      <c r="D732" s="12"/>
      <c r="E732" s="12"/>
      <c r="F732" s="12"/>
      <c r="G732" s="12"/>
      <c r="H732" s="12"/>
      <c r="I732" s="12"/>
      <c r="J732" s="12"/>
    </row>
    <row r="733">
      <c r="B733" s="12"/>
      <c r="C733" s="12"/>
      <c r="D733" s="12"/>
      <c r="E733" s="12"/>
      <c r="F733" s="12"/>
      <c r="G733" s="12"/>
      <c r="H733" s="12"/>
      <c r="I733" s="12"/>
      <c r="J733" s="12"/>
    </row>
    <row r="734">
      <c r="B734" s="12"/>
      <c r="C734" s="12"/>
      <c r="D734" s="12"/>
      <c r="E734" s="12"/>
      <c r="F734" s="12"/>
      <c r="G734" s="12"/>
      <c r="H734" s="12"/>
      <c r="I734" s="12"/>
      <c r="J734" s="12"/>
    </row>
    <row r="735">
      <c r="B735" s="12"/>
      <c r="C735" s="12"/>
      <c r="D735" s="12"/>
      <c r="E735" s="12"/>
      <c r="F735" s="12"/>
      <c r="G735" s="12"/>
      <c r="H735" s="12"/>
      <c r="I735" s="12"/>
      <c r="J735" s="12"/>
    </row>
    <row r="736">
      <c r="B736" s="12"/>
      <c r="C736" s="12"/>
      <c r="D736" s="12"/>
      <c r="E736" s="12"/>
      <c r="F736" s="12"/>
      <c r="G736" s="12"/>
      <c r="H736" s="12"/>
      <c r="I736" s="12"/>
      <c r="J736" s="12"/>
    </row>
    <row r="737">
      <c r="B737" s="12"/>
      <c r="C737" s="12"/>
      <c r="D737" s="12"/>
      <c r="E737" s="12"/>
      <c r="F737" s="12"/>
      <c r="G737" s="12"/>
      <c r="H737" s="12"/>
      <c r="I737" s="12"/>
      <c r="J737" s="12"/>
    </row>
    <row r="738">
      <c r="B738" s="12"/>
      <c r="C738" s="12"/>
      <c r="D738" s="12"/>
      <c r="E738" s="12"/>
      <c r="F738" s="12"/>
      <c r="G738" s="12"/>
      <c r="H738" s="12"/>
      <c r="I738" s="12"/>
      <c r="J738" s="12"/>
    </row>
    <row r="739">
      <c r="B739" s="12"/>
      <c r="C739" s="12"/>
      <c r="D739" s="12"/>
      <c r="E739" s="12"/>
      <c r="F739" s="12"/>
      <c r="G739" s="12"/>
      <c r="H739" s="12"/>
      <c r="I739" s="12"/>
      <c r="J739" s="12"/>
    </row>
    <row r="740">
      <c r="B740" s="12"/>
      <c r="C740" s="12"/>
      <c r="D740" s="12"/>
      <c r="E740" s="12"/>
      <c r="F740" s="12"/>
      <c r="G740" s="12"/>
      <c r="H740" s="12"/>
      <c r="I740" s="12"/>
      <c r="J740" s="12"/>
    </row>
    <row r="741">
      <c r="B741" s="12"/>
      <c r="C741" s="12"/>
      <c r="D741" s="12"/>
      <c r="E741" s="12"/>
      <c r="F741" s="12"/>
      <c r="G741" s="12"/>
      <c r="H741" s="12"/>
      <c r="I741" s="12"/>
      <c r="J741" s="12"/>
    </row>
    <row r="742">
      <c r="B742" s="12"/>
      <c r="C742" s="12"/>
      <c r="D742" s="12"/>
      <c r="E742" s="12"/>
      <c r="F742" s="12"/>
      <c r="G742" s="12"/>
      <c r="H742" s="12"/>
      <c r="I742" s="12"/>
      <c r="J742" s="12"/>
    </row>
    <row r="743">
      <c r="B743" s="12"/>
      <c r="C743" s="12"/>
      <c r="D743" s="12"/>
      <c r="E743" s="12"/>
      <c r="F743" s="12"/>
      <c r="G743" s="12"/>
      <c r="H743" s="12"/>
      <c r="I743" s="12"/>
      <c r="J743" s="12"/>
    </row>
    <row r="744">
      <c r="B744" s="12"/>
      <c r="C744" s="12"/>
      <c r="D744" s="12"/>
      <c r="E744" s="12"/>
      <c r="F744" s="12"/>
      <c r="G744" s="12"/>
      <c r="H744" s="12"/>
      <c r="I744" s="12"/>
      <c r="J744" s="12"/>
    </row>
    <row r="745">
      <c r="B745" s="12"/>
      <c r="C745" s="12"/>
      <c r="D745" s="12"/>
      <c r="E745" s="12"/>
      <c r="F745" s="12"/>
      <c r="G745" s="12"/>
      <c r="H745" s="12"/>
      <c r="I745" s="12"/>
      <c r="J745" s="12"/>
    </row>
    <row r="746">
      <c r="B746" s="12"/>
      <c r="C746" s="12"/>
      <c r="D746" s="12"/>
      <c r="E746" s="12"/>
      <c r="F746" s="12"/>
      <c r="G746" s="12"/>
      <c r="H746" s="12"/>
      <c r="I746" s="12"/>
      <c r="J746" s="12"/>
    </row>
    <row r="747">
      <c r="B747" s="12"/>
      <c r="C747" s="12"/>
      <c r="D747" s="12"/>
      <c r="E747" s="12"/>
      <c r="F747" s="12"/>
      <c r="G747" s="12"/>
      <c r="H747" s="12"/>
      <c r="I747" s="12"/>
      <c r="J747" s="12"/>
    </row>
    <row r="748">
      <c r="B748" s="12"/>
      <c r="C748" s="12"/>
      <c r="D748" s="12"/>
      <c r="E748" s="12"/>
      <c r="F748" s="12"/>
      <c r="G748" s="12"/>
      <c r="H748" s="12"/>
      <c r="I748" s="12"/>
      <c r="J748" s="12"/>
    </row>
    <row r="749">
      <c r="B749" s="12"/>
      <c r="C749" s="12"/>
      <c r="D749" s="12"/>
      <c r="E749" s="12"/>
      <c r="F749" s="12"/>
      <c r="G749" s="12"/>
      <c r="H749" s="12"/>
      <c r="I749" s="12"/>
      <c r="J749" s="12"/>
    </row>
    <row r="750">
      <c r="B750" s="12"/>
      <c r="C750" s="12"/>
      <c r="D750" s="12"/>
      <c r="E750" s="12"/>
      <c r="F750" s="12"/>
      <c r="G750" s="12"/>
      <c r="H750" s="12"/>
      <c r="I750" s="12"/>
      <c r="J750" s="12"/>
    </row>
    <row r="751">
      <c r="B751" s="12"/>
      <c r="C751" s="12"/>
      <c r="D751" s="12"/>
      <c r="E751" s="12"/>
      <c r="F751" s="12"/>
      <c r="G751" s="12"/>
      <c r="H751" s="12"/>
      <c r="I751" s="12"/>
      <c r="J751" s="12"/>
    </row>
    <row r="752">
      <c r="B752" s="12"/>
      <c r="C752" s="12"/>
      <c r="D752" s="12"/>
      <c r="E752" s="12"/>
      <c r="F752" s="12"/>
      <c r="G752" s="12"/>
      <c r="H752" s="12"/>
      <c r="I752" s="12"/>
      <c r="J752" s="12"/>
    </row>
    <row r="753">
      <c r="B753" s="12"/>
      <c r="C753" s="12"/>
      <c r="D753" s="12"/>
      <c r="E753" s="12"/>
      <c r="F753" s="12"/>
      <c r="G753" s="12"/>
      <c r="H753" s="12"/>
      <c r="I753" s="12"/>
      <c r="J753" s="12"/>
    </row>
    <row r="754">
      <c r="B754" s="12"/>
      <c r="C754" s="12"/>
      <c r="D754" s="12"/>
      <c r="E754" s="12"/>
      <c r="F754" s="12"/>
      <c r="G754" s="12"/>
      <c r="H754" s="12"/>
      <c r="I754" s="12"/>
      <c r="J754" s="12"/>
    </row>
    <row r="755">
      <c r="B755" s="12"/>
      <c r="C755" s="12"/>
      <c r="D755" s="12"/>
      <c r="E755" s="12"/>
      <c r="F755" s="12"/>
      <c r="G755" s="12"/>
      <c r="H755" s="12"/>
      <c r="I755" s="12"/>
      <c r="J755" s="12"/>
    </row>
    <row r="756">
      <c r="B756" s="12"/>
      <c r="C756" s="12"/>
      <c r="D756" s="12"/>
      <c r="E756" s="12"/>
      <c r="F756" s="12"/>
      <c r="G756" s="12"/>
      <c r="H756" s="12"/>
      <c r="I756" s="12"/>
      <c r="J756" s="12"/>
    </row>
    <row r="757">
      <c r="B757" s="12"/>
      <c r="C757" s="12"/>
      <c r="D757" s="12"/>
      <c r="E757" s="12"/>
      <c r="F757" s="12"/>
      <c r="G757" s="12"/>
      <c r="H757" s="12"/>
      <c r="I757" s="12"/>
      <c r="J757" s="12"/>
    </row>
    <row r="758">
      <c r="B758" s="12"/>
      <c r="C758" s="12"/>
      <c r="D758" s="12"/>
      <c r="E758" s="12"/>
      <c r="F758" s="12"/>
      <c r="G758" s="12"/>
      <c r="H758" s="12"/>
      <c r="I758" s="12"/>
      <c r="J758" s="12"/>
    </row>
    <row r="759">
      <c r="B759" s="12"/>
      <c r="C759" s="12"/>
      <c r="D759" s="12"/>
      <c r="E759" s="12"/>
      <c r="F759" s="12"/>
      <c r="G759" s="12"/>
      <c r="H759" s="12"/>
      <c r="I759" s="12"/>
      <c r="J759" s="12"/>
    </row>
    <row r="760">
      <c r="B760" s="12"/>
      <c r="C760" s="12"/>
      <c r="D760" s="12"/>
      <c r="E760" s="12"/>
      <c r="F760" s="12"/>
      <c r="G760" s="12"/>
      <c r="H760" s="12"/>
      <c r="I760" s="12"/>
      <c r="J760" s="12"/>
    </row>
    <row r="761">
      <c r="B761" s="12"/>
      <c r="C761" s="12"/>
      <c r="D761" s="12"/>
      <c r="E761" s="12"/>
      <c r="F761" s="12"/>
      <c r="G761" s="12"/>
      <c r="H761" s="12"/>
      <c r="I761" s="12"/>
      <c r="J761" s="12"/>
    </row>
    <row r="762">
      <c r="B762" s="12"/>
      <c r="C762" s="12"/>
      <c r="D762" s="12"/>
      <c r="E762" s="12"/>
      <c r="F762" s="12"/>
      <c r="G762" s="12"/>
      <c r="H762" s="12"/>
      <c r="I762" s="12"/>
      <c r="J762" s="12"/>
    </row>
    <row r="763">
      <c r="B763" s="12"/>
      <c r="C763" s="12"/>
      <c r="D763" s="12"/>
      <c r="E763" s="12"/>
      <c r="F763" s="12"/>
      <c r="G763" s="12"/>
      <c r="H763" s="12"/>
      <c r="I763" s="12"/>
      <c r="J763" s="12"/>
    </row>
    <row r="764">
      <c r="B764" s="12"/>
      <c r="C764" s="12"/>
      <c r="D764" s="12"/>
      <c r="E764" s="12"/>
      <c r="F764" s="12"/>
      <c r="G764" s="12"/>
      <c r="H764" s="12"/>
      <c r="I764" s="12"/>
      <c r="J764" s="12"/>
    </row>
    <row r="765">
      <c r="B765" s="12"/>
      <c r="C765" s="12"/>
      <c r="D765" s="12"/>
      <c r="E765" s="12"/>
      <c r="F765" s="12"/>
      <c r="G765" s="12"/>
      <c r="H765" s="12"/>
      <c r="I765" s="12"/>
      <c r="J765" s="12"/>
    </row>
    <row r="766">
      <c r="B766" s="12"/>
      <c r="C766" s="12"/>
      <c r="D766" s="12"/>
      <c r="E766" s="12"/>
      <c r="F766" s="12"/>
      <c r="G766" s="12"/>
      <c r="H766" s="12"/>
      <c r="I766" s="12"/>
      <c r="J766" s="12"/>
    </row>
    <row r="767">
      <c r="B767" s="12"/>
      <c r="C767" s="12"/>
      <c r="D767" s="12"/>
      <c r="E767" s="12"/>
      <c r="F767" s="12"/>
      <c r="G767" s="12"/>
      <c r="H767" s="12"/>
      <c r="I767" s="12"/>
      <c r="J767" s="12"/>
    </row>
    <row r="768">
      <c r="B768" s="12"/>
      <c r="C768" s="12"/>
      <c r="D768" s="12"/>
      <c r="E768" s="12"/>
      <c r="F768" s="12"/>
      <c r="G768" s="12"/>
      <c r="H768" s="12"/>
      <c r="I768" s="12"/>
      <c r="J768" s="12"/>
    </row>
    <row r="769">
      <c r="B769" s="12"/>
      <c r="C769" s="12"/>
      <c r="D769" s="12"/>
      <c r="E769" s="12"/>
      <c r="F769" s="12"/>
      <c r="G769" s="12"/>
      <c r="H769" s="12"/>
      <c r="I769" s="12"/>
      <c r="J769" s="12"/>
    </row>
    <row r="770">
      <c r="B770" s="12"/>
      <c r="C770" s="12"/>
      <c r="D770" s="12"/>
      <c r="E770" s="12"/>
      <c r="F770" s="12"/>
      <c r="G770" s="12"/>
      <c r="H770" s="12"/>
      <c r="I770" s="12"/>
      <c r="J770" s="12"/>
    </row>
    <row r="771">
      <c r="B771" s="12"/>
      <c r="C771" s="12"/>
      <c r="D771" s="12"/>
      <c r="E771" s="12"/>
      <c r="F771" s="12"/>
      <c r="G771" s="12"/>
      <c r="H771" s="12"/>
      <c r="I771" s="12"/>
      <c r="J771" s="12"/>
    </row>
    <row r="772">
      <c r="B772" s="12"/>
      <c r="C772" s="12"/>
      <c r="D772" s="12"/>
      <c r="E772" s="12"/>
      <c r="F772" s="12"/>
      <c r="G772" s="12"/>
      <c r="H772" s="12"/>
      <c r="I772" s="12"/>
      <c r="J772" s="12"/>
    </row>
    <row r="773">
      <c r="B773" s="12"/>
      <c r="C773" s="12"/>
      <c r="D773" s="12"/>
      <c r="E773" s="12"/>
      <c r="F773" s="12"/>
      <c r="G773" s="12"/>
      <c r="H773" s="12"/>
      <c r="I773" s="12"/>
      <c r="J773" s="12"/>
    </row>
    <row r="774">
      <c r="B774" s="12"/>
      <c r="C774" s="12"/>
      <c r="D774" s="12"/>
      <c r="E774" s="12"/>
      <c r="F774" s="12"/>
      <c r="G774" s="12"/>
      <c r="H774" s="12"/>
      <c r="I774" s="12"/>
      <c r="J774" s="12"/>
    </row>
    <row r="775">
      <c r="B775" s="12"/>
      <c r="C775" s="12"/>
      <c r="D775" s="12"/>
      <c r="E775" s="12"/>
      <c r="F775" s="12"/>
      <c r="G775" s="12"/>
      <c r="H775" s="12"/>
      <c r="I775" s="12"/>
      <c r="J775" s="12"/>
    </row>
    <row r="776">
      <c r="B776" s="12"/>
      <c r="C776" s="12"/>
      <c r="D776" s="12"/>
      <c r="E776" s="12"/>
      <c r="F776" s="12"/>
      <c r="G776" s="12"/>
      <c r="H776" s="12"/>
      <c r="I776" s="12"/>
      <c r="J776" s="12"/>
    </row>
    <row r="777">
      <c r="B777" s="12"/>
      <c r="C777" s="12"/>
      <c r="D777" s="12"/>
      <c r="E777" s="12"/>
      <c r="F777" s="12"/>
      <c r="G777" s="12"/>
      <c r="H777" s="12"/>
      <c r="I777" s="12"/>
      <c r="J777" s="12"/>
    </row>
    <row r="778">
      <c r="B778" s="12"/>
      <c r="C778" s="12"/>
      <c r="D778" s="12"/>
      <c r="E778" s="12"/>
      <c r="F778" s="12"/>
      <c r="G778" s="12"/>
      <c r="H778" s="12"/>
      <c r="I778" s="12"/>
      <c r="J778" s="12"/>
    </row>
    <row r="779">
      <c r="B779" s="12"/>
      <c r="C779" s="12"/>
      <c r="D779" s="12"/>
      <c r="E779" s="12"/>
      <c r="F779" s="12"/>
      <c r="G779" s="12"/>
      <c r="H779" s="12"/>
      <c r="I779" s="12"/>
      <c r="J779" s="12"/>
    </row>
    <row r="780">
      <c r="B780" s="12"/>
      <c r="C780" s="12"/>
      <c r="D780" s="12"/>
      <c r="E780" s="12"/>
      <c r="F780" s="12"/>
      <c r="G780" s="12"/>
      <c r="H780" s="12"/>
      <c r="I780" s="12"/>
      <c r="J780" s="12"/>
    </row>
    <row r="781">
      <c r="B781" s="12"/>
      <c r="C781" s="12"/>
      <c r="D781" s="12"/>
      <c r="E781" s="12"/>
      <c r="F781" s="12"/>
      <c r="G781" s="12"/>
      <c r="H781" s="12"/>
      <c r="I781" s="12"/>
      <c r="J781" s="12"/>
    </row>
    <row r="782">
      <c r="B782" s="12"/>
      <c r="C782" s="12"/>
      <c r="D782" s="12"/>
      <c r="E782" s="12"/>
      <c r="F782" s="12"/>
      <c r="G782" s="12"/>
      <c r="H782" s="12"/>
      <c r="I782" s="12"/>
      <c r="J782" s="12"/>
    </row>
    <row r="783">
      <c r="B783" s="12"/>
      <c r="C783" s="12"/>
      <c r="D783" s="12"/>
      <c r="E783" s="12"/>
      <c r="F783" s="12"/>
      <c r="G783" s="12"/>
      <c r="H783" s="12"/>
      <c r="I783" s="12"/>
      <c r="J783" s="12"/>
    </row>
    <row r="784">
      <c r="B784" s="12"/>
      <c r="C784" s="12"/>
      <c r="D784" s="12"/>
      <c r="E784" s="12"/>
      <c r="F784" s="12"/>
      <c r="G784" s="12"/>
      <c r="H784" s="12"/>
      <c r="I784" s="12"/>
      <c r="J784" s="12"/>
    </row>
    <row r="785">
      <c r="B785" s="12"/>
      <c r="C785" s="12"/>
      <c r="D785" s="12"/>
      <c r="E785" s="12"/>
      <c r="F785" s="12"/>
      <c r="G785" s="12"/>
      <c r="H785" s="12"/>
      <c r="I785" s="12"/>
      <c r="J785" s="12"/>
    </row>
    <row r="786">
      <c r="B786" s="12"/>
      <c r="C786" s="12"/>
      <c r="D786" s="12"/>
      <c r="E786" s="12"/>
      <c r="F786" s="12"/>
      <c r="G786" s="12"/>
      <c r="H786" s="12"/>
      <c r="I786" s="12"/>
      <c r="J786" s="12"/>
    </row>
    <row r="787">
      <c r="B787" s="12"/>
      <c r="C787" s="12"/>
      <c r="D787" s="12"/>
      <c r="E787" s="12"/>
      <c r="F787" s="12"/>
      <c r="G787" s="12"/>
      <c r="H787" s="12"/>
      <c r="I787" s="12"/>
      <c r="J787" s="12"/>
    </row>
    <row r="788">
      <c r="B788" s="12"/>
      <c r="C788" s="12"/>
      <c r="D788" s="12"/>
      <c r="E788" s="12"/>
      <c r="F788" s="12"/>
      <c r="G788" s="12"/>
      <c r="H788" s="12"/>
      <c r="I788" s="12"/>
      <c r="J788" s="12"/>
    </row>
    <row r="789">
      <c r="B789" s="12"/>
      <c r="C789" s="12"/>
      <c r="D789" s="12"/>
      <c r="E789" s="12"/>
      <c r="F789" s="12"/>
      <c r="G789" s="12"/>
      <c r="H789" s="12"/>
      <c r="I789" s="12"/>
      <c r="J789" s="12"/>
    </row>
    <row r="790">
      <c r="B790" s="12"/>
      <c r="C790" s="12"/>
      <c r="D790" s="12"/>
      <c r="E790" s="12"/>
      <c r="F790" s="12"/>
      <c r="G790" s="12"/>
      <c r="H790" s="12"/>
      <c r="I790" s="12"/>
      <c r="J790" s="12"/>
    </row>
    <row r="791">
      <c r="B791" s="12"/>
      <c r="C791" s="12"/>
      <c r="D791" s="12"/>
      <c r="E791" s="12"/>
      <c r="F791" s="12"/>
      <c r="G791" s="12"/>
      <c r="H791" s="12"/>
      <c r="I791" s="12"/>
      <c r="J791" s="12"/>
    </row>
    <row r="792">
      <c r="B792" s="12"/>
      <c r="C792" s="12"/>
      <c r="D792" s="12"/>
      <c r="E792" s="12"/>
      <c r="F792" s="12"/>
      <c r="G792" s="12"/>
      <c r="H792" s="12"/>
      <c r="I792" s="12"/>
      <c r="J792" s="12"/>
    </row>
    <row r="793">
      <c r="B793" s="12"/>
      <c r="C793" s="12"/>
      <c r="D793" s="12"/>
      <c r="E793" s="12"/>
      <c r="F793" s="12"/>
      <c r="G793" s="12"/>
      <c r="H793" s="12"/>
      <c r="I793" s="12"/>
      <c r="J793" s="12"/>
    </row>
    <row r="794">
      <c r="B794" s="12"/>
      <c r="C794" s="12"/>
      <c r="D794" s="12"/>
      <c r="E794" s="12"/>
      <c r="F794" s="12"/>
      <c r="G794" s="12"/>
      <c r="H794" s="12"/>
      <c r="I794" s="12"/>
      <c r="J794" s="12"/>
    </row>
    <row r="795">
      <c r="B795" s="12"/>
      <c r="C795" s="12"/>
      <c r="D795" s="12"/>
      <c r="E795" s="12"/>
      <c r="F795" s="12"/>
      <c r="G795" s="12"/>
      <c r="H795" s="12"/>
      <c r="I795" s="12"/>
      <c r="J795" s="12"/>
    </row>
    <row r="796">
      <c r="B796" s="12"/>
      <c r="C796" s="12"/>
      <c r="D796" s="12"/>
      <c r="E796" s="12"/>
      <c r="F796" s="12"/>
      <c r="G796" s="12"/>
      <c r="H796" s="12"/>
      <c r="I796" s="12"/>
      <c r="J796" s="12"/>
    </row>
    <row r="797">
      <c r="B797" s="12"/>
      <c r="C797" s="12"/>
      <c r="D797" s="12"/>
      <c r="E797" s="12"/>
      <c r="F797" s="12"/>
      <c r="G797" s="12"/>
      <c r="H797" s="12"/>
      <c r="I797" s="12"/>
      <c r="J797" s="12"/>
    </row>
    <row r="798">
      <c r="B798" s="12"/>
      <c r="C798" s="12"/>
      <c r="D798" s="12"/>
      <c r="E798" s="12"/>
      <c r="F798" s="12"/>
      <c r="G798" s="12"/>
      <c r="H798" s="12"/>
      <c r="I798" s="12"/>
      <c r="J798" s="12"/>
    </row>
    <row r="799">
      <c r="B799" s="12"/>
      <c r="C799" s="12"/>
      <c r="D799" s="12"/>
      <c r="E799" s="12"/>
      <c r="F799" s="12"/>
      <c r="G799" s="12"/>
      <c r="H799" s="12"/>
      <c r="I799" s="12"/>
      <c r="J799" s="12"/>
    </row>
    <row r="800">
      <c r="B800" s="12"/>
      <c r="C800" s="12"/>
      <c r="D800" s="12"/>
      <c r="E800" s="12"/>
      <c r="F800" s="12"/>
      <c r="G800" s="12"/>
      <c r="H800" s="12"/>
      <c r="I800" s="12"/>
      <c r="J800" s="12"/>
    </row>
    <row r="801">
      <c r="B801" s="12"/>
      <c r="C801" s="12"/>
      <c r="D801" s="12"/>
      <c r="E801" s="12"/>
      <c r="F801" s="12"/>
      <c r="G801" s="12"/>
      <c r="H801" s="12"/>
      <c r="I801" s="12"/>
      <c r="J801" s="12"/>
    </row>
    <row r="802">
      <c r="B802" s="12"/>
      <c r="C802" s="12"/>
      <c r="D802" s="12"/>
      <c r="E802" s="12"/>
      <c r="F802" s="12"/>
      <c r="G802" s="12"/>
      <c r="H802" s="12"/>
      <c r="I802" s="12"/>
      <c r="J802" s="12"/>
    </row>
    <row r="803">
      <c r="B803" s="12"/>
      <c r="C803" s="12"/>
      <c r="D803" s="12"/>
      <c r="E803" s="12"/>
      <c r="F803" s="12"/>
      <c r="G803" s="12"/>
      <c r="H803" s="12"/>
      <c r="I803" s="12"/>
      <c r="J803" s="12"/>
    </row>
    <row r="804">
      <c r="B804" s="12"/>
      <c r="C804" s="12"/>
      <c r="D804" s="12"/>
      <c r="E804" s="12"/>
      <c r="F804" s="12"/>
      <c r="G804" s="12"/>
      <c r="H804" s="12"/>
      <c r="I804" s="12"/>
      <c r="J804" s="12"/>
    </row>
    <row r="805">
      <c r="B805" s="12"/>
      <c r="C805" s="12"/>
      <c r="D805" s="12"/>
      <c r="E805" s="12"/>
      <c r="F805" s="12"/>
      <c r="G805" s="12"/>
      <c r="H805" s="12"/>
      <c r="I805" s="12"/>
      <c r="J805" s="12"/>
    </row>
    <row r="806">
      <c r="B806" s="12"/>
      <c r="C806" s="12"/>
      <c r="D806" s="12"/>
      <c r="E806" s="12"/>
      <c r="F806" s="12"/>
      <c r="G806" s="12"/>
      <c r="H806" s="12"/>
      <c r="I806" s="12"/>
      <c r="J806" s="12"/>
    </row>
    <row r="807">
      <c r="B807" s="12"/>
      <c r="C807" s="12"/>
      <c r="D807" s="12"/>
      <c r="E807" s="12"/>
      <c r="F807" s="12"/>
      <c r="G807" s="12"/>
      <c r="H807" s="12"/>
      <c r="I807" s="12"/>
      <c r="J807" s="12"/>
    </row>
    <row r="808">
      <c r="B808" s="12"/>
      <c r="C808" s="12"/>
      <c r="D808" s="12"/>
      <c r="E808" s="12"/>
      <c r="F808" s="12"/>
      <c r="G808" s="12"/>
      <c r="H808" s="12"/>
      <c r="I808" s="12"/>
      <c r="J808" s="12"/>
    </row>
    <row r="809">
      <c r="B809" s="12"/>
      <c r="C809" s="12"/>
      <c r="D809" s="12"/>
      <c r="E809" s="12"/>
      <c r="F809" s="12"/>
      <c r="G809" s="12"/>
      <c r="H809" s="12"/>
      <c r="I809" s="12"/>
      <c r="J809" s="12"/>
    </row>
    <row r="810">
      <c r="B810" s="12"/>
      <c r="C810" s="12"/>
      <c r="D810" s="12"/>
      <c r="E810" s="12"/>
      <c r="F810" s="12"/>
      <c r="G810" s="12"/>
      <c r="H810" s="12"/>
      <c r="I810" s="12"/>
      <c r="J810" s="12"/>
    </row>
    <row r="811">
      <c r="B811" s="12"/>
      <c r="C811" s="12"/>
      <c r="D811" s="12"/>
      <c r="E811" s="12"/>
      <c r="F811" s="12"/>
      <c r="G811" s="12"/>
      <c r="H811" s="12"/>
      <c r="I811" s="12"/>
      <c r="J811" s="12"/>
    </row>
    <row r="812">
      <c r="B812" s="12"/>
      <c r="C812" s="12"/>
      <c r="D812" s="12"/>
      <c r="E812" s="12"/>
      <c r="F812" s="12"/>
      <c r="G812" s="12"/>
      <c r="H812" s="12"/>
      <c r="I812" s="12"/>
      <c r="J812" s="12"/>
    </row>
    <row r="813">
      <c r="B813" s="12"/>
      <c r="C813" s="12"/>
      <c r="D813" s="12"/>
      <c r="E813" s="12"/>
      <c r="F813" s="12"/>
      <c r="G813" s="12"/>
      <c r="H813" s="12"/>
      <c r="I813" s="12"/>
      <c r="J813" s="12"/>
    </row>
    <row r="814">
      <c r="B814" s="12"/>
      <c r="C814" s="12"/>
      <c r="D814" s="12"/>
      <c r="E814" s="12"/>
      <c r="F814" s="12"/>
      <c r="G814" s="12"/>
      <c r="H814" s="12"/>
      <c r="I814" s="12"/>
      <c r="J814" s="12"/>
    </row>
    <row r="815">
      <c r="B815" s="12"/>
      <c r="C815" s="12"/>
      <c r="D815" s="12"/>
      <c r="E815" s="12"/>
      <c r="F815" s="12"/>
      <c r="G815" s="12"/>
      <c r="H815" s="12"/>
      <c r="I815" s="12"/>
      <c r="J815" s="12"/>
    </row>
    <row r="816">
      <c r="B816" s="12"/>
      <c r="C816" s="12"/>
      <c r="D816" s="12"/>
      <c r="E816" s="12"/>
      <c r="F816" s="12"/>
      <c r="G816" s="12"/>
      <c r="H816" s="12"/>
      <c r="I816" s="12"/>
      <c r="J816" s="12"/>
    </row>
    <row r="817">
      <c r="B817" s="12"/>
      <c r="C817" s="12"/>
      <c r="D817" s="12"/>
      <c r="E817" s="12"/>
      <c r="F817" s="12"/>
      <c r="G817" s="12"/>
      <c r="H817" s="12"/>
      <c r="I817" s="12"/>
      <c r="J817" s="12"/>
    </row>
    <row r="818">
      <c r="B818" s="12"/>
      <c r="C818" s="12"/>
      <c r="D818" s="12"/>
      <c r="E818" s="12"/>
      <c r="F818" s="12"/>
      <c r="G818" s="12"/>
      <c r="H818" s="12"/>
      <c r="I818" s="12"/>
      <c r="J818" s="12"/>
    </row>
    <row r="819">
      <c r="B819" s="12"/>
      <c r="C819" s="12"/>
      <c r="D819" s="12"/>
      <c r="E819" s="12"/>
      <c r="F819" s="12"/>
      <c r="G819" s="12"/>
      <c r="H819" s="12"/>
      <c r="I819" s="12"/>
      <c r="J819" s="12"/>
    </row>
    <row r="820">
      <c r="B820" s="12"/>
      <c r="C820" s="12"/>
      <c r="D820" s="12"/>
      <c r="E820" s="12"/>
      <c r="F820" s="12"/>
      <c r="G820" s="12"/>
      <c r="H820" s="12"/>
      <c r="I820" s="12"/>
      <c r="J820" s="12"/>
    </row>
    <row r="821">
      <c r="B821" s="12"/>
      <c r="C821" s="12"/>
      <c r="D821" s="12"/>
      <c r="E821" s="12"/>
      <c r="F821" s="12"/>
      <c r="G821" s="12"/>
      <c r="H821" s="12"/>
      <c r="I821" s="12"/>
      <c r="J821" s="12"/>
    </row>
    <row r="822">
      <c r="B822" s="12"/>
      <c r="C822" s="12"/>
      <c r="D822" s="12"/>
      <c r="E822" s="12"/>
      <c r="F822" s="12"/>
      <c r="G822" s="12"/>
      <c r="H822" s="12"/>
      <c r="I822" s="12"/>
      <c r="J822" s="12"/>
    </row>
    <row r="823">
      <c r="B823" s="12"/>
      <c r="C823" s="12"/>
      <c r="D823" s="12"/>
      <c r="E823" s="12"/>
      <c r="F823" s="12"/>
      <c r="G823" s="12"/>
      <c r="H823" s="12"/>
      <c r="I823" s="12"/>
      <c r="J823" s="12"/>
    </row>
    <row r="824">
      <c r="B824" s="12"/>
      <c r="C824" s="12"/>
      <c r="D824" s="12"/>
      <c r="E824" s="12"/>
      <c r="F824" s="12"/>
      <c r="G824" s="12"/>
      <c r="H824" s="12"/>
      <c r="I824" s="12"/>
      <c r="J824" s="12"/>
    </row>
    <row r="825">
      <c r="B825" s="12"/>
      <c r="C825" s="12"/>
      <c r="D825" s="12"/>
      <c r="E825" s="12"/>
      <c r="F825" s="12"/>
      <c r="G825" s="12"/>
      <c r="H825" s="12"/>
      <c r="I825" s="12"/>
      <c r="J825" s="12"/>
    </row>
    <row r="826">
      <c r="B826" s="12"/>
      <c r="C826" s="12"/>
      <c r="D826" s="12"/>
      <c r="E826" s="12"/>
      <c r="F826" s="12"/>
      <c r="G826" s="12"/>
      <c r="H826" s="12"/>
      <c r="I826" s="12"/>
      <c r="J826" s="12"/>
    </row>
    <row r="827">
      <c r="B827" s="12"/>
      <c r="C827" s="12"/>
      <c r="D827" s="12"/>
      <c r="E827" s="12"/>
      <c r="F827" s="12"/>
      <c r="G827" s="12"/>
      <c r="H827" s="12"/>
      <c r="I827" s="12"/>
      <c r="J827" s="12"/>
    </row>
    <row r="828">
      <c r="B828" s="12"/>
      <c r="C828" s="12"/>
      <c r="D828" s="12"/>
      <c r="E828" s="12"/>
      <c r="F828" s="12"/>
      <c r="G828" s="12"/>
      <c r="H828" s="12"/>
      <c r="I828" s="12"/>
      <c r="J828" s="12"/>
    </row>
    <row r="829">
      <c r="B829" s="12"/>
      <c r="C829" s="12"/>
      <c r="D829" s="12"/>
      <c r="E829" s="12"/>
      <c r="F829" s="12"/>
      <c r="G829" s="12"/>
      <c r="H829" s="12"/>
      <c r="I829" s="12"/>
      <c r="J829" s="12"/>
    </row>
    <row r="830">
      <c r="B830" s="12"/>
      <c r="C830" s="12"/>
      <c r="D830" s="12"/>
      <c r="E830" s="12"/>
      <c r="F830" s="12"/>
      <c r="G830" s="12"/>
      <c r="H830" s="12"/>
      <c r="I830" s="12"/>
      <c r="J830" s="12"/>
    </row>
    <row r="831">
      <c r="B831" s="12"/>
      <c r="C831" s="12"/>
      <c r="D831" s="12"/>
      <c r="E831" s="12"/>
      <c r="F831" s="12"/>
      <c r="G831" s="12"/>
      <c r="H831" s="12"/>
      <c r="I831" s="12"/>
      <c r="J831" s="12"/>
    </row>
    <row r="832">
      <c r="B832" s="12"/>
      <c r="C832" s="12"/>
      <c r="D832" s="12"/>
      <c r="E832" s="12"/>
      <c r="F832" s="12"/>
      <c r="G832" s="12"/>
      <c r="H832" s="12"/>
      <c r="I832" s="12"/>
      <c r="J832" s="12"/>
    </row>
    <row r="833">
      <c r="B833" s="12"/>
      <c r="C833" s="12"/>
      <c r="D833" s="12"/>
      <c r="E833" s="12"/>
      <c r="F833" s="12"/>
      <c r="G833" s="12"/>
      <c r="H833" s="12"/>
      <c r="I833" s="12"/>
      <c r="J833" s="12"/>
    </row>
    <row r="834">
      <c r="B834" s="12"/>
      <c r="C834" s="12"/>
      <c r="D834" s="12"/>
      <c r="E834" s="12"/>
      <c r="F834" s="12"/>
      <c r="G834" s="12"/>
      <c r="H834" s="12"/>
      <c r="I834" s="12"/>
      <c r="J834" s="12"/>
    </row>
    <row r="835">
      <c r="B835" s="12"/>
      <c r="C835" s="12"/>
      <c r="D835" s="12"/>
      <c r="E835" s="12"/>
      <c r="F835" s="12"/>
      <c r="G835" s="12"/>
      <c r="H835" s="12"/>
      <c r="I835" s="12"/>
      <c r="J835" s="12"/>
    </row>
    <row r="836">
      <c r="B836" s="12"/>
      <c r="C836" s="12"/>
      <c r="D836" s="12"/>
      <c r="E836" s="12"/>
      <c r="F836" s="12"/>
      <c r="G836" s="12"/>
      <c r="H836" s="12"/>
      <c r="I836" s="12"/>
      <c r="J836" s="12"/>
    </row>
    <row r="837">
      <c r="B837" s="12"/>
      <c r="C837" s="12"/>
      <c r="D837" s="12"/>
      <c r="E837" s="12"/>
      <c r="F837" s="12"/>
      <c r="G837" s="12"/>
      <c r="H837" s="12"/>
      <c r="I837" s="12"/>
      <c r="J837" s="12"/>
    </row>
    <row r="838">
      <c r="B838" s="12"/>
      <c r="C838" s="12"/>
      <c r="D838" s="12"/>
      <c r="E838" s="12"/>
      <c r="F838" s="12"/>
      <c r="G838" s="12"/>
      <c r="H838" s="12"/>
      <c r="I838" s="12"/>
      <c r="J838" s="12"/>
    </row>
    <row r="839">
      <c r="B839" s="12"/>
      <c r="C839" s="12"/>
      <c r="D839" s="12"/>
      <c r="E839" s="12"/>
      <c r="F839" s="12"/>
      <c r="G839" s="12"/>
      <c r="H839" s="12"/>
      <c r="I839" s="12"/>
      <c r="J839" s="12"/>
    </row>
    <row r="840">
      <c r="B840" s="12"/>
      <c r="C840" s="12"/>
      <c r="D840" s="12"/>
      <c r="E840" s="12"/>
      <c r="F840" s="12"/>
      <c r="G840" s="12"/>
      <c r="H840" s="12"/>
      <c r="I840" s="12"/>
      <c r="J840" s="12"/>
    </row>
    <row r="841">
      <c r="B841" s="12"/>
      <c r="C841" s="12"/>
      <c r="D841" s="12"/>
      <c r="E841" s="12"/>
      <c r="F841" s="12"/>
      <c r="G841" s="12"/>
      <c r="H841" s="12"/>
      <c r="I841" s="12"/>
      <c r="J841" s="12"/>
    </row>
    <row r="842">
      <c r="B842" s="12"/>
      <c r="C842" s="12"/>
      <c r="D842" s="12"/>
      <c r="E842" s="12"/>
      <c r="F842" s="12"/>
      <c r="G842" s="12"/>
      <c r="H842" s="12"/>
      <c r="I842" s="12"/>
      <c r="J842" s="12"/>
    </row>
    <row r="843">
      <c r="B843" s="12"/>
      <c r="C843" s="12"/>
      <c r="D843" s="12"/>
      <c r="E843" s="12"/>
      <c r="F843" s="12"/>
      <c r="G843" s="12"/>
      <c r="H843" s="12"/>
      <c r="I843" s="12"/>
      <c r="J843" s="12"/>
    </row>
    <row r="844">
      <c r="B844" s="12"/>
      <c r="C844" s="12"/>
      <c r="D844" s="12"/>
      <c r="E844" s="12"/>
      <c r="F844" s="12"/>
      <c r="G844" s="12"/>
      <c r="H844" s="12"/>
      <c r="I844" s="12"/>
      <c r="J844" s="12"/>
    </row>
    <row r="845">
      <c r="B845" s="12"/>
      <c r="C845" s="12"/>
      <c r="D845" s="12"/>
      <c r="E845" s="12"/>
      <c r="F845" s="12"/>
      <c r="G845" s="12"/>
      <c r="H845" s="12"/>
      <c r="I845" s="12"/>
      <c r="J845" s="12"/>
    </row>
    <row r="846">
      <c r="B846" s="12"/>
      <c r="C846" s="12"/>
      <c r="D846" s="12"/>
      <c r="E846" s="12"/>
      <c r="F846" s="12"/>
      <c r="G846" s="12"/>
      <c r="H846" s="12"/>
      <c r="I846" s="12"/>
      <c r="J846" s="12"/>
    </row>
    <row r="847">
      <c r="B847" s="12"/>
      <c r="C847" s="12"/>
      <c r="D847" s="12"/>
      <c r="E847" s="12"/>
      <c r="F847" s="12"/>
      <c r="G847" s="12"/>
      <c r="H847" s="12"/>
      <c r="I847" s="12"/>
      <c r="J847" s="12"/>
    </row>
    <row r="848">
      <c r="B848" s="12"/>
      <c r="C848" s="12"/>
      <c r="D848" s="12"/>
      <c r="E848" s="12"/>
      <c r="F848" s="12"/>
      <c r="G848" s="12"/>
      <c r="H848" s="12"/>
      <c r="I848" s="12"/>
      <c r="J848" s="12"/>
    </row>
    <row r="849">
      <c r="B849" s="12"/>
      <c r="C849" s="12"/>
      <c r="D849" s="12"/>
      <c r="E849" s="12"/>
      <c r="F849" s="12"/>
      <c r="G849" s="12"/>
      <c r="H849" s="12"/>
      <c r="I849" s="12"/>
      <c r="J849" s="12"/>
    </row>
    <row r="850">
      <c r="B850" s="12"/>
      <c r="C850" s="12"/>
      <c r="D850" s="12"/>
      <c r="E850" s="12"/>
      <c r="F850" s="12"/>
      <c r="G850" s="12"/>
      <c r="H850" s="12"/>
      <c r="I850" s="12"/>
      <c r="J850" s="12"/>
    </row>
    <row r="851">
      <c r="B851" s="12"/>
      <c r="C851" s="12"/>
      <c r="D851" s="12"/>
      <c r="E851" s="12"/>
      <c r="F851" s="12"/>
      <c r="G851" s="12"/>
      <c r="H851" s="12"/>
      <c r="I851" s="12"/>
      <c r="J851" s="12"/>
    </row>
    <row r="852">
      <c r="B852" s="12"/>
      <c r="C852" s="12"/>
      <c r="D852" s="12"/>
      <c r="E852" s="12"/>
      <c r="F852" s="12"/>
      <c r="G852" s="12"/>
      <c r="H852" s="12"/>
      <c r="I852" s="12"/>
      <c r="J852" s="12"/>
    </row>
    <row r="853">
      <c r="B853" s="12"/>
      <c r="C853" s="12"/>
      <c r="D853" s="12"/>
      <c r="E853" s="12"/>
      <c r="F853" s="12"/>
      <c r="G853" s="12"/>
      <c r="H853" s="12"/>
      <c r="I853" s="12"/>
      <c r="J853" s="12"/>
    </row>
    <row r="854">
      <c r="B854" s="12"/>
      <c r="C854" s="12"/>
      <c r="D854" s="12"/>
      <c r="E854" s="12"/>
      <c r="F854" s="12"/>
      <c r="G854" s="12"/>
      <c r="H854" s="12"/>
      <c r="I854" s="12"/>
      <c r="J854" s="12"/>
    </row>
    <row r="855">
      <c r="B855" s="12"/>
      <c r="C855" s="12"/>
      <c r="D855" s="12"/>
      <c r="E855" s="12"/>
      <c r="F855" s="12"/>
      <c r="G855" s="12"/>
      <c r="H855" s="12"/>
      <c r="I855" s="12"/>
      <c r="J855" s="12"/>
    </row>
    <row r="856">
      <c r="B856" s="12"/>
      <c r="C856" s="12"/>
      <c r="D856" s="12"/>
      <c r="E856" s="12"/>
      <c r="F856" s="12"/>
      <c r="G856" s="12"/>
      <c r="H856" s="12"/>
      <c r="I856" s="12"/>
      <c r="J856" s="12"/>
    </row>
    <row r="857">
      <c r="B857" s="12"/>
      <c r="C857" s="12"/>
      <c r="D857" s="12"/>
      <c r="E857" s="12"/>
      <c r="F857" s="12"/>
      <c r="G857" s="12"/>
      <c r="H857" s="12"/>
      <c r="I857" s="12"/>
      <c r="J857" s="12"/>
    </row>
    <row r="858">
      <c r="B858" s="12"/>
      <c r="C858" s="12"/>
      <c r="D858" s="12"/>
      <c r="E858" s="12"/>
      <c r="F858" s="12"/>
      <c r="G858" s="12"/>
      <c r="H858" s="12"/>
      <c r="I858" s="12"/>
      <c r="J858" s="12"/>
    </row>
    <row r="859">
      <c r="B859" s="12"/>
      <c r="C859" s="12"/>
      <c r="D859" s="12"/>
      <c r="E859" s="12"/>
      <c r="F859" s="12"/>
      <c r="G859" s="12"/>
      <c r="H859" s="12"/>
      <c r="I859" s="12"/>
      <c r="J859" s="12"/>
    </row>
    <row r="860">
      <c r="B860" s="12"/>
      <c r="C860" s="12"/>
      <c r="D860" s="12"/>
      <c r="E860" s="12"/>
      <c r="F860" s="12"/>
      <c r="G860" s="12"/>
      <c r="H860" s="12"/>
      <c r="I860" s="12"/>
      <c r="J860" s="12"/>
    </row>
    <row r="861">
      <c r="B861" s="12"/>
      <c r="C861" s="12"/>
      <c r="D861" s="12"/>
      <c r="E861" s="12"/>
      <c r="F861" s="12"/>
      <c r="G861" s="12"/>
      <c r="H861" s="12"/>
      <c r="I861" s="12"/>
      <c r="J861" s="12"/>
    </row>
    <row r="862">
      <c r="B862" s="12"/>
      <c r="C862" s="12"/>
      <c r="D862" s="12"/>
      <c r="E862" s="12"/>
      <c r="F862" s="12"/>
      <c r="G862" s="12"/>
      <c r="H862" s="12"/>
      <c r="I862" s="12"/>
      <c r="J862" s="12"/>
    </row>
    <row r="863">
      <c r="B863" s="12"/>
      <c r="C863" s="12"/>
      <c r="D863" s="12"/>
      <c r="E863" s="12"/>
      <c r="F863" s="12"/>
      <c r="G863" s="12"/>
      <c r="H863" s="12"/>
      <c r="I863" s="12"/>
      <c r="J863" s="12"/>
    </row>
    <row r="864">
      <c r="B864" s="12"/>
      <c r="C864" s="12"/>
      <c r="D864" s="12"/>
      <c r="E864" s="12"/>
      <c r="F864" s="12"/>
      <c r="G864" s="12"/>
      <c r="H864" s="12"/>
      <c r="I864" s="12"/>
      <c r="J864" s="12"/>
    </row>
    <row r="865">
      <c r="B865" s="12"/>
      <c r="C865" s="12"/>
      <c r="D865" s="12"/>
      <c r="E865" s="12"/>
      <c r="F865" s="12"/>
      <c r="G865" s="12"/>
      <c r="H865" s="12"/>
      <c r="I865" s="12"/>
      <c r="J865" s="12"/>
    </row>
    <row r="866">
      <c r="B866" s="12"/>
      <c r="C866" s="12"/>
      <c r="D866" s="12"/>
      <c r="E866" s="12"/>
      <c r="F866" s="12"/>
      <c r="G866" s="12"/>
      <c r="H866" s="12"/>
      <c r="I866" s="12"/>
      <c r="J866" s="12"/>
    </row>
    <row r="867">
      <c r="B867" s="12"/>
      <c r="C867" s="12"/>
      <c r="D867" s="12"/>
      <c r="E867" s="12"/>
      <c r="F867" s="12"/>
      <c r="G867" s="12"/>
      <c r="H867" s="12"/>
      <c r="I867" s="12"/>
      <c r="J867" s="12"/>
    </row>
    <row r="868">
      <c r="B868" s="12"/>
      <c r="C868" s="12"/>
      <c r="D868" s="12"/>
      <c r="E868" s="12"/>
      <c r="F868" s="12"/>
      <c r="G868" s="12"/>
      <c r="H868" s="12"/>
      <c r="I868" s="12"/>
      <c r="J868" s="12"/>
    </row>
    <row r="869">
      <c r="B869" s="12"/>
      <c r="C869" s="12"/>
      <c r="D869" s="12"/>
      <c r="E869" s="12"/>
      <c r="F869" s="12"/>
      <c r="G869" s="12"/>
      <c r="H869" s="12"/>
      <c r="I869" s="12"/>
      <c r="J869" s="12"/>
    </row>
    <row r="870">
      <c r="B870" s="12"/>
      <c r="C870" s="12"/>
      <c r="D870" s="12"/>
      <c r="E870" s="12"/>
      <c r="F870" s="12"/>
      <c r="G870" s="12"/>
      <c r="H870" s="12"/>
      <c r="I870" s="12"/>
      <c r="J870" s="12"/>
    </row>
    <row r="871">
      <c r="B871" s="12"/>
      <c r="C871" s="12"/>
      <c r="D871" s="12"/>
      <c r="E871" s="12"/>
      <c r="F871" s="12"/>
      <c r="G871" s="12"/>
      <c r="H871" s="12"/>
      <c r="I871" s="12"/>
      <c r="J871" s="12"/>
    </row>
    <row r="872">
      <c r="B872" s="12"/>
      <c r="C872" s="12"/>
      <c r="D872" s="12"/>
      <c r="E872" s="12"/>
      <c r="F872" s="12"/>
      <c r="G872" s="12"/>
      <c r="H872" s="12"/>
      <c r="I872" s="12"/>
      <c r="J872" s="12"/>
    </row>
    <row r="873">
      <c r="B873" s="12"/>
      <c r="C873" s="12"/>
      <c r="D873" s="12"/>
      <c r="E873" s="12"/>
      <c r="F873" s="12"/>
      <c r="G873" s="12"/>
      <c r="H873" s="12"/>
      <c r="I873" s="12"/>
      <c r="J873" s="12"/>
    </row>
    <row r="874">
      <c r="B874" s="12"/>
      <c r="C874" s="12"/>
      <c r="D874" s="12"/>
      <c r="E874" s="12"/>
      <c r="F874" s="12"/>
      <c r="G874" s="12"/>
      <c r="H874" s="12"/>
      <c r="I874" s="12"/>
      <c r="J874" s="12"/>
    </row>
    <row r="875">
      <c r="B875" s="12"/>
      <c r="C875" s="12"/>
      <c r="D875" s="12"/>
      <c r="E875" s="12"/>
      <c r="F875" s="12"/>
      <c r="G875" s="12"/>
      <c r="H875" s="12"/>
      <c r="I875" s="12"/>
      <c r="J875" s="12"/>
    </row>
    <row r="876">
      <c r="B876" s="12"/>
      <c r="C876" s="12"/>
      <c r="D876" s="12"/>
      <c r="E876" s="12"/>
      <c r="F876" s="12"/>
      <c r="G876" s="12"/>
      <c r="H876" s="12"/>
      <c r="I876" s="12"/>
      <c r="J876" s="12"/>
    </row>
    <row r="877">
      <c r="B877" s="12"/>
      <c r="C877" s="12"/>
      <c r="D877" s="12"/>
      <c r="E877" s="12"/>
      <c r="F877" s="12"/>
      <c r="G877" s="12"/>
      <c r="H877" s="12"/>
      <c r="I877" s="12"/>
      <c r="J877" s="12"/>
    </row>
    <row r="878">
      <c r="B878" s="12"/>
      <c r="C878" s="12"/>
      <c r="D878" s="12"/>
      <c r="E878" s="12"/>
      <c r="F878" s="12"/>
      <c r="G878" s="12"/>
      <c r="H878" s="12"/>
      <c r="I878" s="12"/>
      <c r="J878" s="12"/>
    </row>
    <row r="879">
      <c r="B879" s="12"/>
      <c r="C879" s="12"/>
      <c r="D879" s="12"/>
      <c r="E879" s="12"/>
      <c r="F879" s="12"/>
      <c r="G879" s="12"/>
      <c r="H879" s="12"/>
      <c r="I879" s="12"/>
      <c r="J879" s="12"/>
    </row>
    <row r="880">
      <c r="B880" s="12"/>
      <c r="C880" s="12"/>
      <c r="D880" s="12"/>
      <c r="E880" s="12"/>
      <c r="F880" s="12"/>
      <c r="G880" s="12"/>
      <c r="H880" s="12"/>
      <c r="I880" s="12"/>
      <c r="J880" s="12"/>
    </row>
    <row r="881">
      <c r="B881" s="12"/>
      <c r="C881" s="12"/>
      <c r="D881" s="12"/>
      <c r="E881" s="12"/>
      <c r="F881" s="12"/>
      <c r="G881" s="12"/>
      <c r="H881" s="12"/>
      <c r="I881" s="12"/>
      <c r="J881" s="12"/>
    </row>
    <row r="882">
      <c r="B882" s="12"/>
      <c r="C882" s="12"/>
      <c r="D882" s="12"/>
      <c r="E882" s="12"/>
      <c r="F882" s="12"/>
      <c r="G882" s="12"/>
      <c r="H882" s="12"/>
      <c r="I882" s="12"/>
      <c r="J882" s="12"/>
    </row>
    <row r="883">
      <c r="B883" s="12"/>
      <c r="C883" s="12"/>
      <c r="D883" s="12"/>
      <c r="E883" s="12"/>
      <c r="F883" s="12"/>
      <c r="G883" s="12"/>
      <c r="H883" s="12"/>
      <c r="I883" s="12"/>
      <c r="J883" s="12"/>
    </row>
    <row r="884">
      <c r="B884" s="12"/>
      <c r="C884" s="12"/>
      <c r="D884" s="12"/>
      <c r="E884" s="12"/>
      <c r="F884" s="12"/>
      <c r="G884" s="12"/>
      <c r="H884" s="12"/>
      <c r="I884" s="12"/>
      <c r="J884" s="12"/>
    </row>
    <row r="885">
      <c r="B885" s="12"/>
      <c r="C885" s="12"/>
      <c r="D885" s="12"/>
      <c r="E885" s="12"/>
      <c r="F885" s="12"/>
      <c r="G885" s="12"/>
      <c r="H885" s="12"/>
      <c r="I885" s="12"/>
      <c r="J885" s="12"/>
    </row>
    <row r="886">
      <c r="B886" s="12"/>
      <c r="C886" s="12"/>
      <c r="D886" s="12"/>
      <c r="E886" s="12"/>
      <c r="F886" s="12"/>
      <c r="G886" s="12"/>
      <c r="H886" s="12"/>
      <c r="I886" s="12"/>
      <c r="J886" s="12"/>
    </row>
    <row r="887">
      <c r="B887" s="12"/>
      <c r="C887" s="12"/>
      <c r="D887" s="12"/>
      <c r="E887" s="12"/>
      <c r="F887" s="12"/>
      <c r="G887" s="12"/>
      <c r="H887" s="12"/>
      <c r="I887" s="12"/>
      <c r="J887" s="12"/>
    </row>
    <row r="888">
      <c r="B888" s="12"/>
      <c r="C888" s="12"/>
      <c r="D888" s="12"/>
      <c r="E888" s="12"/>
      <c r="F888" s="12"/>
      <c r="G888" s="12"/>
      <c r="H888" s="12"/>
      <c r="I888" s="12"/>
      <c r="J888" s="12"/>
    </row>
    <row r="889">
      <c r="B889" s="12"/>
      <c r="C889" s="12"/>
      <c r="D889" s="12"/>
      <c r="E889" s="12"/>
      <c r="F889" s="12"/>
      <c r="G889" s="12"/>
      <c r="H889" s="12"/>
      <c r="I889" s="12"/>
      <c r="J889" s="12"/>
    </row>
    <row r="890">
      <c r="B890" s="12"/>
      <c r="C890" s="12"/>
      <c r="D890" s="12"/>
      <c r="E890" s="12"/>
      <c r="F890" s="12"/>
      <c r="G890" s="12"/>
      <c r="H890" s="12"/>
      <c r="I890" s="12"/>
      <c r="J890" s="12"/>
    </row>
    <row r="891">
      <c r="B891" s="12"/>
      <c r="C891" s="12"/>
      <c r="D891" s="12"/>
      <c r="E891" s="12"/>
      <c r="F891" s="12"/>
      <c r="G891" s="12"/>
      <c r="H891" s="12"/>
      <c r="I891" s="12"/>
      <c r="J891" s="12"/>
    </row>
    <row r="892">
      <c r="B892" s="12"/>
      <c r="C892" s="12"/>
      <c r="D892" s="12"/>
      <c r="E892" s="12"/>
      <c r="F892" s="12"/>
      <c r="G892" s="12"/>
      <c r="H892" s="12"/>
      <c r="I892" s="12"/>
      <c r="J892" s="12"/>
    </row>
    <row r="893">
      <c r="B893" s="12"/>
      <c r="C893" s="12"/>
      <c r="D893" s="12"/>
      <c r="E893" s="12"/>
      <c r="F893" s="12"/>
      <c r="G893" s="12"/>
      <c r="H893" s="12"/>
      <c r="I893" s="12"/>
      <c r="J893" s="12"/>
    </row>
    <row r="894">
      <c r="B894" s="12"/>
      <c r="C894" s="12"/>
      <c r="D894" s="12"/>
      <c r="E894" s="12"/>
      <c r="F894" s="12"/>
      <c r="G894" s="12"/>
      <c r="H894" s="12"/>
      <c r="I894" s="12"/>
      <c r="J894" s="12"/>
    </row>
    <row r="895">
      <c r="B895" s="12"/>
      <c r="C895" s="12"/>
      <c r="D895" s="12"/>
      <c r="E895" s="12"/>
      <c r="F895" s="12"/>
      <c r="G895" s="12"/>
      <c r="H895" s="12"/>
      <c r="I895" s="12"/>
      <c r="J895" s="12"/>
    </row>
    <row r="896">
      <c r="B896" s="12"/>
      <c r="C896" s="12"/>
      <c r="D896" s="12"/>
      <c r="E896" s="12"/>
      <c r="F896" s="12"/>
      <c r="G896" s="12"/>
      <c r="H896" s="12"/>
      <c r="I896" s="12"/>
      <c r="J896" s="12"/>
    </row>
    <row r="897">
      <c r="B897" s="12"/>
      <c r="C897" s="12"/>
      <c r="D897" s="12"/>
      <c r="E897" s="12"/>
      <c r="F897" s="12"/>
      <c r="G897" s="12"/>
      <c r="H897" s="12"/>
      <c r="I897" s="12"/>
      <c r="J897" s="12"/>
    </row>
    <row r="898">
      <c r="B898" s="12"/>
      <c r="C898" s="12"/>
      <c r="D898" s="12"/>
      <c r="E898" s="12"/>
      <c r="F898" s="12"/>
      <c r="G898" s="12"/>
      <c r="H898" s="12"/>
      <c r="I898" s="12"/>
      <c r="J898" s="12"/>
    </row>
    <row r="899">
      <c r="B899" s="12"/>
      <c r="C899" s="12"/>
      <c r="D899" s="12"/>
      <c r="E899" s="12"/>
      <c r="F899" s="12"/>
      <c r="G899" s="12"/>
      <c r="H899" s="12"/>
      <c r="I899" s="12"/>
      <c r="J899" s="12"/>
    </row>
    <row r="900">
      <c r="B900" s="12"/>
      <c r="C900" s="12"/>
      <c r="D900" s="12"/>
      <c r="E900" s="12"/>
      <c r="F900" s="12"/>
      <c r="G900" s="12"/>
      <c r="H900" s="12"/>
      <c r="I900" s="12"/>
      <c r="J900" s="12"/>
    </row>
    <row r="901">
      <c r="B901" s="12"/>
      <c r="C901" s="12"/>
      <c r="D901" s="12"/>
      <c r="E901" s="12"/>
      <c r="F901" s="12"/>
      <c r="G901" s="12"/>
      <c r="H901" s="12"/>
      <c r="I901" s="12"/>
      <c r="J901" s="12"/>
    </row>
    <row r="902">
      <c r="B902" s="12"/>
      <c r="C902" s="12"/>
      <c r="D902" s="12"/>
      <c r="E902" s="12"/>
      <c r="F902" s="12"/>
      <c r="G902" s="12"/>
      <c r="H902" s="12"/>
      <c r="I902" s="12"/>
      <c r="J902" s="12"/>
    </row>
    <row r="903">
      <c r="B903" s="12"/>
      <c r="C903" s="12"/>
      <c r="D903" s="12"/>
      <c r="E903" s="12"/>
      <c r="F903" s="12"/>
      <c r="G903" s="12"/>
      <c r="H903" s="12"/>
      <c r="I903" s="12"/>
      <c r="J903" s="12"/>
    </row>
    <row r="904">
      <c r="B904" s="12"/>
      <c r="C904" s="12"/>
      <c r="D904" s="12"/>
      <c r="E904" s="12"/>
      <c r="F904" s="12"/>
      <c r="G904" s="12"/>
      <c r="H904" s="12"/>
      <c r="I904" s="12"/>
      <c r="J904" s="12"/>
    </row>
    <row r="905">
      <c r="B905" s="12"/>
      <c r="C905" s="12"/>
      <c r="D905" s="12"/>
      <c r="E905" s="12"/>
      <c r="F905" s="12"/>
      <c r="G905" s="12"/>
      <c r="H905" s="12"/>
      <c r="I905" s="12"/>
      <c r="J905" s="12"/>
    </row>
    <row r="906">
      <c r="B906" s="12"/>
      <c r="C906" s="12"/>
      <c r="D906" s="12"/>
      <c r="E906" s="12"/>
      <c r="F906" s="12"/>
      <c r="G906" s="12"/>
      <c r="H906" s="12"/>
      <c r="I906" s="12"/>
      <c r="J906" s="12"/>
    </row>
    <row r="907">
      <c r="B907" s="12"/>
      <c r="C907" s="12"/>
      <c r="D907" s="12"/>
      <c r="E907" s="12"/>
      <c r="F907" s="12"/>
      <c r="G907" s="12"/>
      <c r="H907" s="12"/>
      <c r="I907" s="12"/>
      <c r="J907" s="12"/>
    </row>
    <row r="908">
      <c r="B908" s="12"/>
      <c r="C908" s="12"/>
      <c r="D908" s="12"/>
      <c r="E908" s="12"/>
      <c r="F908" s="12"/>
      <c r="G908" s="12"/>
      <c r="H908" s="12"/>
      <c r="I908" s="12"/>
      <c r="J908" s="12"/>
    </row>
    <row r="909">
      <c r="B909" s="12"/>
      <c r="C909" s="12"/>
      <c r="D909" s="12"/>
      <c r="E909" s="12"/>
      <c r="F909" s="12"/>
      <c r="G909" s="12"/>
      <c r="H909" s="12"/>
      <c r="I909" s="12"/>
      <c r="J909" s="12"/>
    </row>
    <row r="910">
      <c r="B910" s="12"/>
      <c r="C910" s="12"/>
      <c r="D910" s="12"/>
      <c r="E910" s="12"/>
      <c r="F910" s="12"/>
      <c r="G910" s="12"/>
      <c r="H910" s="12"/>
      <c r="I910" s="12"/>
      <c r="J910" s="12"/>
    </row>
    <row r="911">
      <c r="B911" s="12"/>
      <c r="C911" s="12"/>
      <c r="D911" s="12"/>
      <c r="E911" s="12"/>
      <c r="F911" s="12"/>
      <c r="G911" s="12"/>
      <c r="H911" s="12"/>
      <c r="I911" s="12"/>
      <c r="J911" s="12"/>
    </row>
    <row r="912">
      <c r="B912" s="12"/>
      <c r="C912" s="12"/>
      <c r="D912" s="12"/>
      <c r="E912" s="12"/>
      <c r="F912" s="12"/>
      <c r="G912" s="12"/>
      <c r="H912" s="12"/>
      <c r="I912" s="12"/>
      <c r="J912" s="12"/>
    </row>
    <row r="913">
      <c r="B913" s="12"/>
      <c r="C913" s="12"/>
      <c r="D913" s="12"/>
      <c r="E913" s="12"/>
      <c r="F913" s="12"/>
      <c r="G913" s="12"/>
      <c r="H913" s="12"/>
      <c r="I913" s="12"/>
      <c r="J913" s="12"/>
    </row>
    <row r="914">
      <c r="B914" s="12"/>
      <c r="C914" s="12"/>
      <c r="D914" s="12"/>
      <c r="E914" s="12"/>
      <c r="F914" s="12"/>
      <c r="G914" s="12"/>
      <c r="H914" s="12"/>
      <c r="I914" s="12"/>
      <c r="J914" s="12"/>
    </row>
    <row r="915">
      <c r="B915" s="12"/>
      <c r="C915" s="12"/>
      <c r="D915" s="12"/>
      <c r="E915" s="12"/>
      <c r="F915" s="12"/>
      <c r="G915" s="12"/>
      <c r="H915" s="12"/>
      <c r="I915" s="12"/>
      <c r="J915" s="12"/>
    </row>
    <row r="916">
      <c r="B916" s="12"/>
      <c r="C916" s="12"/>
      <c r="D916" s="12"/>
      <c r="E916" s="12"/>
      <c r="F916" s="12"/>
      <c r="G916" s="12"/>
      <c r="H916" s="12"/>
      <c r="I916" s="12"/>
      <c r="J916" s="12"/>
    </row>
    <row r="917">
      <c r="B917" s="12"/>
      <c r="C917" s="12"/>
      <c r="D917" s="12"/>
      <c r="E917" s="12"/>
      <c r="F917" s="12"/>
      <c r="G917" s="12"/>
      <c r="H917" s="12"/>
      <c r="I917" s="12"/>
      <c r="J917" s="12"/>
    </row>
    <row r="918">
      <c r="B918" s="12"/>
      <c r="C918" s="12"/>
      <c r="D918" s="12"/>
      <c r="E918" s="12"/>
      <c r="F918" s="12"/>
      <c r="G918" s="12"/>
      <c r="H918" s="12"/>
      <c r="I918" s="12"/>
      <c r="J918" s="12"/>
    </row>
    <row r="919">
      <c r="B919" s="12"/>
      <c r="C919" s="12"/>
      <c r="D919" s="12"/>
      <c r="E919" s="12"/>
      <c r="F919" s="12"/>
      <c r="G919" s="12"/>
      <c r="H919" s="12"/>
      <c r="I919" s="12"/>
      <c r="J919" s="12"/>
    </row>
    <row r="920">
      <c r="B920" s="12"/>
      <c r="C920" s="12"/>
      <c r="D920" s="12"/>
      <c r="E920" s="12"/>
      <c r="F920" s="12"/>
      <c r="G920" s="12"/>
      <c r="H920" s="12"/>
      <c r="I920" s="12"/>
      <c r="J920" s="12"/>
    </row>
    <row r="921">
      <c r="B921" s="12"/>
      <c r="C921" s="12"/>
      <c r="D921" s="12"/>
      <c r="E921" s="12"/>
      <c r="F921" s="12"/>
      <c r="G921" s="12"/>
      <c r="H921" s="12"/>
      <c r="I921" s="12"/>
      <c r="J921" s="12"/>
    </row>
    <row r="922">
      <c r="B922" s="12"/>
      <c r="C922" s="12"/>
      <c r="D922" s="12"/>
      <c r="E922" s="12"/>
      <c r="F922" s="12"/>
      <c r="G922" s="12"/>
      <c r="H922" s="12"/>
      <c r="I922" s="12"/>
      <c r="J922" s="12"/>
    </row>
    <row r="923">
      <c r="B923" s="12"/>
      <c r="C923" s="12"/>
      <c r="D923" s="12"/>
      <c r="E923" s="12"/>
      <c r="F923" s="12"/>
      <c r="G923" s="12"/>
      <c r="H923" s="12"/>
      <c r="I923" s="12"/>
      <c r="J923" s="12"/>
    </row>
    <row r="924">
      <c r="B924" s="12"/>
      <c r="C924" s="12"/>
      <c r="D924" s="12"/>
      <c r="E924" s="12"/>
      <c r="F924" s="12"/>
      <c r="G924" s="12"/>
      <c r="H924" s="12"/>
      <c r="I924" s="12"/>
      <c r="J924" s="12"/>
    </row>
    <row r="925">
      <c r="B925" s="12"/>
      <c r="C925" s="12"/>
      <c r="D925" s="12"/>
      <c r="E925" s="12"/>
      <c r="F925" s="12"/>
      <c r="G925" s="12"/>
      <c r="H925" s="12"/>
      <c r="I925" s="12"/>
      <c r="J925" s="12"/>
    </row>
    <row r="926">
      <c r="B926" s="12"/>
      <c r="C926" s="12"/>
      <c r="D926" s="12"/>
      <c r="E926" s="12"/>
      <c r="F926" s="12"/>
      <c r="G926" s="12"/>
      <c r="H926" s="12"/>
      <c r="I926" s="12"/>
      <c r="J926" s="12"/>
    </row>
    <row r="927">
      <c r="B927" s="12"/>
      <c r="C927" s="12"/>
      <c r="D927" s="12"/>
      <c r="E927" s="12"/>
      <c r="F927" s="12"/>
      <c r="G927" s="12"/>
      <c r="H927" s="12"/>
      <c r="I927" s="12"/>
      <c r="J927" s="12"/>
    </row>
    <row r="928">
      <c r="B928" s="12"/>
      <c r="C928" s="12"/>
      <c r="D928" s="12"/>
      <c r="E928" s="12"/>
      <c r="F928" s="12"/>
      <c r="G928" s="12"/>
      <c r="H928" s="12"/>
      <c r="I928" s="12"/>
      <c r="J928" s="12"/>
    </row>
    <row r="929">
      <c r="B929" s="12"/>
      <c r="C929" s="12"/>
      <c r="D929" s="12"/>
      <c r="E929" s="12"/>
      <c r="F929" s="12"/>
      <c r="G929" s="12"/>
      <c r="H929" s="12"/>
      <c r="I929" s="12"/>
      <c r="J929" s="12"/>
    </row>
    <row r="930">
      <c r="B930" s="12"/>
      <c r="C930" s="12"/>
      <c r="D930" s="12"/>
      <c r="E930" s="12"/>
      <c r="F930" s="12"/>
      <c r="G930" s="12"/>
      <c r="H930" s="12"/>
      <c r="I930" s="12"/>
      <c r="J930" s="12"/>
    </row>
    <row r="931">
      <c r="B931" s="12"/>
      <c r="C931" s="12"/>
      <c r="D931" s="12"/>
      <c r="E931" s="12"/>
      <c r="F931" s="12"/>
      <c r="G931" s="12"/>
      <c r="H931" s="12"/>
      <c r="I931" s="12"/>
      <c r="J931" s="12"/>
    </row>
    <row r="932">
      <c r="B932" s="12"/>
      <c r="C932" s="12"/>
      <c r="D932" s="12"/>
      <c r="E932" s="12"/>
      <c r="F932" s="12"/>
      <c r="G932" s="12"/>
      <c r="H932" s="12"/>
      <c r="I932" s="12"/>
      <c r="J932" s="12"/>
    </row>
    <row r="933">
      <c r="B933" s="12"/>
      <c r="C933" s="12"/>
      <c r="D933" s="12"/>
      <c r="E933" s="12"/>
      <c r="F933" s="12"/>
      <c r="G933" s="12"/>
      <c r="H933" s="12"/>
      <c r="I933" s="12"/>
      <c r="J933" s="12"/>
    </row>
    <row r="934">
      <c r="B934" s="12"/>
      <c r="C934" s="12"/>
      <c r="D934" s="12"/>
      <c r="E934" s="12"/>
      <c r="F934" s="12"/>
      <c r="G934" s="12"/>
      <c r="H934" s="12"/>
      <c r="I934" s="12"/>
      <c r="J934" s="12"/>
    </row>
    <row r="935">
      <c r="B935" s="12"/>
      <c r="C935" s="12"/>
      <c r="D935" s="12"/>
      <c r="E935" s="12"/>
      <c r="F935" s="12"/>
      <c r="G935" s="12"/>
      <c r="H935" s="12"/>
      <c r="I935" s="12"/>
      <c r="J935" s="12"/>
    </row>
    <row r="936">
      <c r="B936" s="12"/>
      <c r="C936" s="12"/>
      <c r="D936" s="12"/>
      <c r="E936" s="12"/>
      <c r="F936" s="12"/>
      <c r="G936" s="12"/>
      <c r="H936" s="12"/>
      <c r="I936" s="12"/>
      <c r="J936" s="12"/>
    </row>
    <row r="937">
      <c r="B937" s="12"/>
      <c r="C937" s="12"/>
      <c r="D937" s="12"/>
      <c r="E937" s="12"/>
      <c r="F937" s="12"/>
      <c r="G937" s="12"/>
      <c r="H937" s="12"/>
      <c r="I937" s="12"/>
      <c r="J937" s="12"/>
    </row>
    <row r="938">
      <c r="B938" s="12"/>
      <c r="C938" s="12"/>
      <c r="D938" s="12"/>
      <c r="E938" s="12"/>
      <c r="F938" s="12"/>
      <c r="G938" s="12"/>
      <c r="H938" s="12"/>
      <c r="I938" s="12"/>
      <c r="J938" s="12"/>
    </row>
    <row r="939">
      <c r="B939" s="12"/>
      <c r="C939" s="12"/>
      <c r="D939" s="12"/>
      <c r="E939" s="12"/>
      <c r="F939" s="12"/>
      <c r="G939" s="12"/>
      <c r="H939" s="12"/>
      <c r="I939" s="12"/>
      <c r="J939" s="12"/>
    </row>
    <row r="940">
      <c r="B940" s="12"/>
      <c r="C940" s="12"/>
      <c r="D940" s="12"/>
      <c r="E940" s="12"/>
      <c r="F940" s="12"/>
      <c r="G940" s="12"/>
      <c r="H940" s="12"/>
      <c r="I940" s="12"/>
      <c r="J940" s="12"/>
    </row>
    <row r="941">
      <c r="B941" s="12"/>
      <c r="C941" s="12"/>
      <c r="D941" s="12"/>
      <c r="E941" s="12"/>
      <c r="F941" s="12"/>
      <c r="G941" s="12"/>
      <c r="H941" s="12"/>
      <c r="I941" s="12"/>
      <c r="J941" s="12"/>
    </row>
    <row r="942">
      <c r="B942" s="12"/>
      <c r="C942" s="12"/>
      <c r="D942" s="12"/>
      <c r="E942" s="12"/>
      <c r="F942" s="12"/>
      <c r="G942" s="12"/>
      <c r="H942" s="12"/>
      <c r="I942" s="12"/>
      <c r="J942" s="12"/>
    </row>
    <row r="943">
      <c r="B943" s="12"/>
      <c r="C943" s="12"/>
      <c r="D943" s="12"/>
      <c r="E943" s="12"/>
      <c r="F943" s="12"/>
      <c r="G943" s="12"/>
      <c r="H943" s="12"/>
      <c r="I943" s="12"/>
      <c r="J943" s="12"/>
    </row>
    <row r="944">
      <c r="B944" s="12"/>
      <c r="C944" s="12"/>
      <c r="D944" s="12"/>
      <c r="E944" s="12"/>
      <c r="F944" s="12"/>
      <c r="G944" s="12"/>
      <c r="H944" s="12"/>
      <c r="I944" s="12"/>
      <c r="J944" s="12"/>
    </row>
    <row r="945">
      <c r="B945" s="12"/>
      <c r="C945" s="12"/>
      <c r="D945" s="12"/>
      <c r="E945" s="12"/>
      <c r="F945" s="12"/>
      <c r="G945" s="12"/>
      <c r="H945" s="12"/>
      <c r="I945" s="12"/>
      <c r="J945" s="12"/>
    </row>
    <row r="946">
      <c r="B946" s="12"/>
      <c r="C946" s="12"/>
      <c r="D946" s="12"/>
      <c r="E946" s="12"/>
      <c r="F946" s="12"/>
      <c r="G946" s="12"/>
      <c r="H946" s="12"/>
      <c r="I946" s="12"/>
      <c r="J946" s="12"/>
    </row>
    <row r="947">
      <c r="B947" s="12"/>
      <c r="C947" s="12"/>
      <c r="D947" s="12"/>
      <c r="E947" s="12"/>
      <c r="F947" s="12"/>
      <c r="G947" s="12"/>
      <c r="H947" s="12"/>
      <c r="I947" s="12"/>
      <c r="J947" s="12"/>
    </row>
    <row r="948">
      <c r="B948" s="12"/>
      <c r="C948" s="12"/>
      <c r="D948" s="12"/>
      <c r="E948" s="12"/>
      <c r="F948" s="12"/>
      <c r="G948" s="12"/>
      <c r="H948" s="12"/>
      <c r="I948" s="12"/>
      <c r="J948" s="12"/>
    </row>
    <row r="949">
      <c r="B949" s="12"/>
      <c r="C949" s="12"/>
      <c r="D949" s="12"/>
      <c r="E949" s="12"/>
      <c r="F949" s="12"/>
      <c r="G949" s="12"/>
      <c r="H949" s="12"/>
      <c r="I949" s="12"/>
      <c r="J949" s="12"/>
    </row>
    <row r="950">
      <c r="B950" s="12"/>
      <c r="C950" s="12"/>
      <c r="D950" s="12"/>
      <c r="E950" s="12"/>
      <c r="F950" s="12"/>
      <c r="G950" s="12"/>
      <c r="H950" s="12"/>
      <c r="I950" s="12"/>
      <c r="J950" s="12"/>
    </row>
    <row r="951">
      <c r="B951" s="12"/>
      <c r="C951" s="12"/>
      <c r="D951" s="12"/>
      <c r="E951" s="12"/>
      <c r="F951" s="12"/>
      <c r="G951" s="12"/>
      <c r="H951" s="12"/>
      <c r="I951" s="12"/>
      <c r="J951" s="12"/>
    </row>
    <row r="952">
      <c r="B952" s="12"/>
      <c r="C952" s="12"/>
      <c r="D952" s="12"/>
      <c r="E952" s="12"/>
      <c r="F952" s="12"/>
      <c r="G952" s="12"/>
      <c r="H952" s="12"/>
      <c r="I952" s="12"/>
      <c r="J952" s="12"/>
    </row>
    <row r="953">
      <c r="B953" s="12"/>
      <c r="C953" s="12"/>
      <c r="D953" s="12"/>
      <c r="E953" s="12"/>
      <c r="F953" s="12"/>
      <c r="G953" s="12"/>
      <c r="H953" s="12"/>
      <c r="I953" s="12"/>
      <c r="J953" s="12"/>
    </row>
    <row r="954">
      <c r="B954" s="12"/>
      <c r="C954" s="12"/>
      <c r="D954" s="12"/>
      <c r="E954" s="12"/>
      <c r="F954" s="12"/>
      <c r="G954" s="12"/>
      <c r="H954" s="12"/>
      <c r="I954" s="12"/>
      <c r="J954" s="12"/>
    </row>
    <row r="955">
      <c r="B955" s="12"/>
      <c r="C955" s="12"/>
      <c r="D955" s="12"/>
      <c r="E955" s="12"/>
      <c r="F955" s="12"/>
      <c r="G955" s="12"/>
      <c r="H955" s="12"/>
      <c r="I955" s="12"/>
      <c r="J955" s="12"/>
    </row>
    <row r="956">
      <c r="B956" s="12"/>
      <c r="C956" s="12"/>
      <c r="D956" s="12"/>
      <c r="E956" s="12"/>
      <c r="F956" s="12"/>
      <c r="G956" s="12"/>
      <c r="H956" s="12"/>
      <c r="I956" s="12"/>
      <c r="J956" s="12"/>
    </row>
    <row r="957">
      <c r="B957" s="12"/>
      <c r="C957" s="12"/>
      <c r="D957" s="12"/>
      <c r="E957" s="12"/>
      <c r="F957" s="12"/>
      <c r="G957" s="12"/>
      <c r="H957" s="12"/>
      <c r="I957" s="12"/>
      <c r="J957" s="12"/>
    </row>
    <row r="958">
      <c r="B958" s="12"/>
      <c r="C958" s="12"/>
      <c r="D958" s="12"/>
      <c r="E958" s="12"/>
      <c r="F958" s="12"/>
      <c r="G958" s="12"/>
      <c r="H958" s="12"/>
      <c r="I958" s="12"/>
      <c r="J958" s="12"/>
    </row>
    <row r="959">
      <c r="B959" s="12"/>
      <c r="C959" s="12"/>
      <c r="D959" s="12"/>
      <c r="E959" s="12"/>
      <c r="F959" s="12"/>
      <c r="G959" s="12"/>
      <c r="H959" s="12"/>
      <c r="I959" s="12"/>
      <c r="J959" s="12"/>
    </row>
    <row r="960">
      <c r="B960" s="12"/>
      <c r="C960" s="12"/>
      <c r="D960" s="12"/>
      <c r="E960" s="12"/>
      <c r="F960" s="12"/>
      <c r="G960" s="12"/>
      <c r="H960" s="12"/>
      <c r="I960" s="12"/>
      <c r="J960" s="12"/>
    </row>
    <row r="961">
      <c r="B961" s="12"/>
      <c r="C961" s="12"/>
      <c r="D961" s="12"/>
      <c r="E961" s="12"/>
      <c r="F961" s="12"/>
      <c r="G961" s="12"/>
      <c r="H961" s="12"/>
      <c r="I961" s="12"/>
      <c r="J961" s="12"/>
    </row>
    <row r="962">
      <c r="B962" s="12"/>
      <c r="C962" s="12"/>
      <c r="D962" s="12"/>
      <c r="E962" s="12"/>
      <c r="F962" s="12"/>
      <c r="G962" s="12"/>
      <c r="H962" s="12"/>
      <c r="I962" s="12"/>
      <c r="J962" s="12"/>
    </row>
    <row r="963">
      <c r="B963" s="12"/>
      <c r="C963" s="12"/>
      <c r="D963" s="12"/>
      <c r="E963" s="12"/>
      <c r="F963" s="12"/>
      <c r="G963" s="12"/>
      <c r="H963" s="12"/>
      <c r="I963" s="12"/>
      <c r="J963" s="12"/>
    </row>
    <row r="964">
      <c r="B964" s="12"/>
      <c r="C964" s="12"/>
      <c r="D964" s="12"/>
      <c r="E964" s="12"/>
      <c r="F964" s="12"/>
      <c r="G964" s="12"/>
      <c r="H964" s="12"/>
      <c r="I964" s="12"/>
      <c r="J964" s="12"/>
    </row>
    <row r="965">
      <c r="B965" s="12"/>
      <c r="C965" s="12"/>
      <c r="D965" s="12"/>
      <c r="E965" s="12"/>
      <c r="F965" s="12"/>
      <c r="G965" s="12"/>
      <c r="H965" s="12"/>
      <c r="I965" s="12"/>
      <c r="J965" s="12"/>
    </row>
    <row r="966">
      <c r="B966" s="12"/>
      <c r="C966" s="12"/>
      <c r="D966" s="12"/>
      <c r="E966" s="12"/>
      <c r="F966" s="12"/>
      <c r="G966" s="12"/>
      <c r="H966" s="12"/>
      <c r="I966" s="12"/>
      <c r="J966" s="12"/>
    </row>
    <row r="967">
      <c r="B967" s="12"/>
      <c r="C967" s="12"/>
      <c r="D967" s="12"/>
      <c r="E967" s="12"/>
      <c r="F967" s="12"/>
      <c r="G967" s="12"/>
      <c r="H967" s="12"/>
      <c r="I967" s="12"/>
      <c r="J967" s="12"/>
    </row>
    <row r="968">
      <c r="B968" s="12"/>
      <c r="C968" s="12"/>
      <c r="D968" s="12"/>
      <c r="E968" s="12"/>
      <c r="F968" s="12"/>
      <c r="G968" s="12"/>
      <c r="H968" s="12"/>
      <c r="I968" s="12"/>
      <c r="J968" s="12"/>
    </row>
    <row r="969">
      <c r="B969" s="12"/>
      <c r="C969" s="12"/>
      <c r="D969" s="12"/>
      <c r="E969" s="12"/>
      <c r="F969" s="12"/>
      <c r="G969" s="12"/>
      <c r="H969" s="12"/>
      <c r="I969" s="12"/>
      <c r="J969" s="12"/>
    </row>
    <row r="970">
      <c r="B970" s="12"/>
      <c r="C970" s="12"/>
      <c r="D970" s="12"/>
      <c r="E970" s="12"/>
      <c r="F970" s="12"/>
      <c r="G970" s="12"/>
      <c r="H970" s="12"/>
      <c r="I970" s="12"/>
      <c r="J970" s="12"/>
    </row>
    <row r="971">
      <c r="B971" s="12"/>
      <c r="C971" s="12"/>
      <c r="D971" s="12"/>
      <c r="E971" s="12"/>
      <c r="F971" s="12"/>
      <c r="G971" s="12"/>
      <c r="H971" s="12"/>
      <c r="I971" s="12"/>
      <c r="J971" s="12"/>
    </row>
    <row r="972">
      <c r="B972" s="12"/>
      <c r="C972" s="12"/>
      <c r="D972" s="12"/>
      <c r="E972" s="12"/>
      <c r="F972" s="12"/>
      <c r="G972" s="12"/>
      <c r="H972" s="12"/>
      <c r="I972" s="12"/>
      <c r="J972" s="12"/>
    </row>
    <row r="973">
      <c r="B973" s="12"/>
      <c r="C973" s="12"/>
      <c r="D973" s="12"/>
      <c r="E973" s="12"/>
      <c r="F973" s="12"/>
      <c r="G973" s="12"/>
      <c r="H973" s="12"/>
      <c r="I973" s="12"/>
      <c r="J973" s="12"/>
    </row>
    <row r="974">
      <c r="B974" s="12"/>
      <c r="C974" s="12"/>
      <c r="D974" s="12"/>
      <c r="E974" s="12"/>
      <c r="F974" s="12"/>
      <c r="G974" s="12"/>
      <c r="H974" s="12"/>
      <c r="I974" s="12"/>
      <c r="J974" s="12"/>
    </row>
    <row r="975">
      <c r="B975" s="12"/>
      <c r="C975" s="12"/>
      <c r="D975" s="12"/>
      <c r="E975" s="12"/>
      <c r="F975" s="12"/>
      <c r="G975" s="12"/>
      <c r="H975" s="12"/>
      <c r="I975" s="12"/>
      <c r="J975" s="12"/>
    </row>
    <row r="976">
      <c r="B976" s="12"/>
      <c r="C976" s="12"/>
      <c r="D976" s="12"/>
      <c r="E976" s="12"/>
      <c r="F976" s="12"/>
      <c r="G976" s="12"/>
      <c r="H976" s="12"/>
      <c r="I976" s="12"/>
      <c r="J976" s="12"/>
    </row>
    <row r="977">
      <c r="B977" s="12"/>
      <c r="C977" s="12"/>
      <c r="D977" s="12"/>
      <c r="E977" s="12"/>
      <c r="F977" s="12"/>
      <c r="G977" s="12"/>
      <c r="H977" s="12"/>
      <c r="I977" s="12"/>
      <c r="J977" s="12"/>
    </row>
    <row r="978">
      <c r="B978" s="12"/>
      <c r="C978" s="12"/>
      <c r="D978" s="12"/>
      <c r="E978" s="12"/>
      <c r="F978" s="12"/>
      <c r="G978" s="12"/>
      <c r="H978" s="12"/>
      <c r="I978" s="12"/>
      <c r="J978" s="12"/>
    </row>
    <row r="979">
      <c r="B979" s="12"/>
      <c r="C979" s="12"/>
      <c r="D979" s="12"/>
      <c r="E979" s="12"/>
      <c r="F979" s="12"/>
      <c r="G979" s="12"/>
      <c r="H979" s="12"/>
      <c r="I979" s="12"/>
      <c r="J979" s="12"/>
    </row>
    <row r="980">
      <c r="B980" s="12"/>
      <c r="C980" s="12"/>
      <c r="D980" s="12"/>
      <c r="E980" s="12"/>
      <c r="F980" s="12"/>
      <c r="G980" s="12"/>
      <c r="H980" s="12"/>
      <c r="I980" s="12"/>
      <c r="J980" s="12"/>
    </row>
    <row r="981">
      <c r="B981" s="12"/>
      <c r="C981" s="12"/>
      <c r="D981" s="12"/>
      <c r="E981" s="12"/>
      <c r="F981" s="12"/>
      <c r="G981" s="12"/>
      <c r="H981" s="12"/>
      <c r="I981" s="12"/>
      <c r="J981" s="12"/>
    </row>
    <row r="982">
      <c r="B982" s="12"/>
      <c r="C982" s="12"/>
      <c r="D982" s="12"/>
      <c r="E982" s="12"/>
      <c r="F982" s="12"/>
      <c r="G982" s="12"/>
      <c r="H982" s="12"/>
      <c r="I982" s="12"/>
      <c r="J982" s="12"/>
    </row>
    <row r="983">
      <c r="B983" s="12"/>
      <c r="C983" s="12"/>
      <c r="D983" s="12"/>
      <c r="E983" s="12"/>
      <c r="F983" s="12"/>
      <c r="G983" s="12"/>
      <c r="H983" s="12"/>
      <c r="I983" s="12"/>
      <c r="J983" s="12"/>
    </row>
    <row r="984">
      <c r="B984" s="12"/>
      <c r="C984" s="12"/>
      <c r="D984" s="12"/>
      <c r="E984" s="12"/>
      <c r="F984" s="12"/>
      <c r="G984" s="12"/>
      <c r="H984" s="12"/>
      <c r="I984" s="12"/>
      <c r="J984" s="12"/>
    </row>
    <row r="985">
      <c r="B985" s="12"/>
      <c r="C985" s="12"/>
      <c r="D985" s="12"/>
      <c r="E985" s="12"/>
      <c r="F985" s="12"/>
      <c r="G985" s="12"/>
      <c r="H985" s="12"/>
      <c r="I985" s="12"/>
      <c r="J985" s="12"/>
    </row>
    <row r="986">
      <c r="B986" s="12"/>
      <c r="C986" s="12"/>
      <c r="D986" s="12"/>
      <c r="E986" s="12"/>
      <c r="F986" s="12"/>
      <c r="G986" s="12"/>
      <c r="H986" s="12"/>
      <c r="I986" s="12"/>
      <c r="J986" s="12"/>
    </row>
    <row r="987">
      <c r="B987" s="12"/>
      <c r="C987" s="12"/>
      <c r="D987" s="12"/>
      <c r="E987" s="12"/>
      <c r="F987" s="12"/>
      <c r="G987" s="12"/>
      <c r="H987" s="12"/>
      <c r="I987" s="12"/>
      <c r="J987" s="12"/>
    </row>
    <row r="988">
      <c r="B988" s="12"/>
      <c r="C988" s="12"/>
      <c r="D988" s="12"/>
      <c r="E988" s="12"/>
      <c r="F988" s="12"/>
      <c r="G988" s="12"/>
      <c r="H988" s="12"/>
      <c r="I988" s="12"/>
      <c r="J988" s="12"/>
    </row>
    <row r="989">
      <c r="B989" s="12"/>
      <c r="C989" s="12"/>
      <c r="D989" s="12"/>
      <c r="E989" s="12"/>
      <c r="F989" s="12"/>
      <c r="G989" s="12"/>
      <c r="H989" s="12"/>
      <c r="I989" s="12"/>
      <c r="J989" s="12"/>
    </row>
    <row r="990">
      <c r="B990" s="12"/>
      <c r="C990" s="12"/>
      <c r="D990" s="12"/>
      <c r="E990" s="12"/>
      <c r="F990" s="12"/>
      <c r="G990" s="12"/>
      <c r="H990" s="12"/>
      <c r="I990" s="12"/>
      <c r="J990" s="12"/>
    </row>
    <row r="991">
      <c r="B991" s="12"/>
      <c r="C991" s="12"/>
      <c r="D991" s="12"/>
      <c r="E991" s="12"/>
      <c r="F991" s="12"/>
      <c r="G991" s="12"/>
      <c r="H991" s="12"/>
      <c r="I991" s="12"/>
      <c r="J991" s="12"/>
    </row>
    <row r="992">
      <c r="B992" s="12"/>
      <c r="C992" s="12"/>
      <c r="D992" s="12"/>
      <c r="E992" s="12"/>
      <c r="F992" s="12"/>
      <c r="G992" s="12"/>
      <c r="H992" s="12"/>
      <c r="I992" s="12"/>
      <c r="J992" s="12"/>
    </row>
    <row r="993">
      <c r="B993" s="12"/>
      <c r="C993" s="12"/>
      <c r="D993" s="12"/>
      <c r="E993" s="12"/>
      <c r="F993" s="12"/>
      <c r="G993" s="12"/>
      <c r="H993" s="12"/>
      <c r="I993" s="12"/>
      <c r="J993" s="12"/>
    </row>
    <row r="994">
      <c r="B994" s="12"/>
      <c r="C994" s="12"/>
      <c r="D994" s="12"/>
      <c r="E994" s="12"/>
      <c r="F994" s="12"/>
      <c r="G994" s="12"/>
      <c r="H994" s="12"/>
      <c r="I994" s="12"/>
      <c r="J994" s="12"/>
    </row>
    <row r="995">
      <c r="B995" s="12"/>
      <c r="C995" s="12"/>
      <c r="D995" s="12"/>
      <c r="E995" s="12"/>
      <c r="F995" s="12"/>
      <c r="G995" s="12"/>
      <c r="H995" s="12"/>
      <c r="I995" s="12"/>
      <c r="J995" s="12"/>
    </row>
    <row r="996">
      <c r="B996" s="12"/>
      <c r="C996" s="12"/>
      <c r="D996" s="12"/>
      <c r="E996" s="12"/>
      <c r="F996" s="12"/>
      <c r="G996" s="12"/>
      <c r="H996" s="12"/>
      <c r="I996" s="12"/>
      <c r="J996" s="12"/>
    </row>
    <row r="997">
      <c r="B997" s="12"/>
      <c r="C997" s="12"/>
      <c r="D997" s="12"/>
      <c r="E997" s="12"/>
      <c r="F997" s="12"/>
      <c r="G997" s="12"/>
      <c r="H997" s="12"/>
      <c r="I997" s="12"/>
      <c r="J997" s="12"/>
    </row>
    <row r="998">
      <c r="B998" s="12"/>
      <c r="C998" s="12"/>
      <c r="D998" s="12"/>
      <c r="E998" s="12"/>
      <c r="F998" s="12"/>
      <c r="G998" s="12"/>
      <c r="H998" s="12"/>
      <c r="I998" s="12"/>
      <c r="J998" s="12"/>
    </row>
    <row r="999">
      <c r="B999" s="12"/>
      <c r="C999" s="12"/>
      <c r="D999" s="12"/>
      <c r="E999" s="12"/>
      <c r="F999" s="12"/>
      <c r="G999" s="12"/>
      <c r="H999" s="12"/>
      <c r="I999" s="12"/>
      <c r="J999" s="12"/>
    </row>
    <row r="1000">
      <c r="B1000" s="12"/>
      <c r="C1000" s="12"/>
      <c r="D1000" s="12"/>
      <c r="E1000" s="12"/>
      <c r="F1000" s="12"/>
      <c r="G1000" s="12"/>
      <c r="H1000" s="12"/>
      <c r="I1000" s="12"/>
      <c r="J1000" s="12"/>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EAD3"/>
    <outlinePr summaryBelow="0" summaryRight="0"/>
  </sheetPr>
  <sheetViews>
    <sheetView workbookViewId="0"/>
  </sheetViews>
  <sheetFormatPr customHeight="1" defaultColWidth="14.43" defaultRowHeight="15.75"/>
  <cols>
    <col customWidth="1" min="1" max="1" width="45.0"/>
    <col customWidth="1" min="5" max="5" width="30.86"/>
  </cols>
  <sheetData>
    <row r="1">
      <c r="A1" s="16" t="s">
        <v>1596</v>
      </c>
      <c r="B1" s="34"/>
      <c r="C1" s="34"/>
      <c r="D1" s="34"/>
      <c r="E1" s="16" t="s">
        <v>1597</v>
      </c>
      <c r="F1" s="34"/>
    </row>
    <row r="2">
      <c r="A2" s="34" t="str">
        <f>IFERROR(__xludf.DUMMYFUNCTION("QUERY({'S23 (secondary)'!C2:C1000;'S23 (secondary)'!D2:D1000;'S23 (secondary)'!E2:E1000;'S23 (secondary)'!F2:F1000;'S23 (secondary)'!G2:G1000;'S23 (secondary)'!H2:H1000;'S23 (secondary)'!I2:I1000;'S23 (secondary)'!J2:J1000;'S23 (secondary)'!K2:K1000}, ""s"&amp;"elect Col1, count(Col1) where Col1 is not null group by Col1 order by Col1 asc"")"),"")</f>
        <v/>
      </c>
      <c r="B2" s="34" t="str">
        <f>IFERROR(__xludf.DUMMYFUNCTION("""COMPUTED_VALUE"""),"count ")</f>
        <v>count </v>
      </c>
      <c r="C2" s="34"/>
      <c r="D2" s="34"/>
      <c r="E2" s="34" t="str">
        <f>IFERROR(__xludf.DUMMYFUNCTION("QUERY({'S23 (secondary)'!C2:C1000;'S23 (secondary)'!D2:D1000;'S23 (secondary)'!E2:E1000;'S23 (secondary)'!F2:F1000;'S23 (secondary)'!G2:G1000;'S23 (secondary)'!H2:H1000;'S23 (secondary)'!I2:I1000;'S23 (secondary)'!J2:J1000;'S23 (secondary)'!K2:K1000}, ""s"&amp;"elect Col1, count(Col1) where Col1 is not null and not Col1 contains '-&gt;' group by Col1 order by count(Col1) desc"")"),"")</f>
        <v/>
      </c>
      <c r="F2" s="34" t="str">
        <f>IFERROR(__xludf.DUMMYFUNCTION("""COMPUTED_VALUE"""),"count ")</f>
        <v>count </v>
      </c>
    </row>
    <row r="3">
      <c r="G3" s="44"/>
    </row>
    <row r="4">
      <c r="G4" s="44"/>
    </row>
    <row r="5">
      <c r="G5" s="44"/>
    </row>
    <row r="6">
      <c r="G6" s="44"/>
    </row>
    <row r="7">
      <c r="G7" s="44"/>
    </row>
    <row r="8">
      <c r="G8" s="44"/>
    </row>
    <row r="9">
      <c r="G9" s="44"/>
    </row>
    <row r="10">
      <c r="G10" s="44"/>
    </row>
    <row r="11">
      <c r="G11" s="44"/>
    </row>
    <row r="12">
      <c r="G12" s="44"/>
    </row>
    <row r="13">
      <c r="G13" s="44"/>
    </row>
    <row r="14">
      <c r="G14" s="44"/>
    </row>
    <row r="15">
      <c r="G15" s="44"/>
    </row>
    <row r="16">
      <c r="G16" s="44"/>
    </row>
    <row r="17">
      <c r="G17" s="44"/>
    </row>
    <row r="18">
      <c r="G18" s="44"/>
    </row>
  </sheetData>
  <drawing r:id="rId1"/>
</worksheet>
</file>