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Dashboard" sheetId="1" r:id="rId4"/>
    <sheet state="visible" name="Internal Reporting Form" sheetId="2" r:id="rId5"/>
    <sheet state="visible" name="Helper Lists" sheetId="3" r:id="rId6"/>
    <sheet state="visible" name="External Feedback" sheetId="4" r:id="rId7"/>
  </sheets>
  <definedNames>
    <definedName hidden="1" localSheetId="1" name="_xlnm._FilterDatabase">'Internal Reporting Form'!$A$1:$AC$86</definedName>
  </definedNames>
  <calcPr/>
</workbook>
</file>

<file path=xl/sharedStrings.xml><?xml version="1.0" encoding="utf-8"?>
<sst xmlns="http://schemas.openxmlformats.org/spreadsheetml/2006/main" count="1589" uniqueCount="506">
  <si>
    <t>LiTS 2023</t>
  </si>
  <si>
    <t>Total current:</t>
  </si>
  <si>
    <t>Timestamp</t>
  </si>
  <si>
    <t>Email Address</t>
  </si>
  <si>
    <t>Individual name (first name and surname)</t>
  </si>
  <si>
    <t>Organisation name (if it was an individual, write "N/A")</t>
  </si>
  <si>
    <t>Sectors that the organisation works in (Mark all that apply, and then mark "Other" to provide more details if applicable.)</t>
  </si>
  <si>
    <t>Type of organisation</t>
  </si>
  <si>
    <t>Organisation's Scope of Work</t>
  </si>
  <si>
    <t xml:space="preserve">Country/Region that the organisation or individual is primarily based in </t>
  </si>
  <si>
    <t>LiTS TER Lead</t>
  </si>
  <si>
    <t>LiTS TER Support</t>
  </si>
  <si>
    <t>How did the LiTS happen? Check all that apply</t>
  </si>
  <si>
    <t xml:space="preserve">When did the LiTS occur? </t>
  </si>
  <si>
    <t>During which phase of the project did we primarily provide support?</t>
  </si>
  <si>
    <t>What type of output (format) did you give them? Check all that apply</t>
  </si>
  <si>
    <t>What type of information did you provide? Check all that apply</t>
  </si>
  <si>
    <t>Level of Support</t>
  </si>
  <si>
    <t>In your own words, briefly describe the problem they are trying to solve or challenge that they are facing.</t>
  </si>
  <si>
    <t>Did the organisation or individual provide you with feedback on the LiTS process or how they used your advice?</t>
  </si>
  <si>
    <t>If you selected "Yes" please share the feedback from the partner.</t>
  </si>
  <si>
    <t>Is the LiTS closed or ongoing?</t>
  </si>
  <si>
    <t>Please briefly describe the conversation</t>
  </si>
  <si>
    <t>Were there any conclusions or takeaways from the conversation</t>
  </si>
  <si>
    <t>Next Steps</t>
  </si>
  <si>
    <t>lesedi@theengineroom.org</t>
  </si>
  <si>
    <t>Casper Staat</t>
  </si>
  <si>
    <t>Peace Tech Lab</t>
  </si>
  <si>
    <t>Civic Tech</t>
  </si>
  <si>
    <t>NGO - International</t>
  </si>
  <si>
    <t>International</t>
  </si>
  <si>
    <t>Netherlands</t>
  </si>
  <si>
    <t>Barbara</t>
  </si>
  <si>
    <t>Lesedi</t>
  </si>
  <si>
    <t>A colleague or friend referred them to me/us.</t>
  </si>
  <si>
    <t>January 2023</t>
  </si>
  <si>
    <t>Implementation (Connect them to intensive support?)</t>
  </si>
  <si>
    <t>Brief follow up email with resources and recommendations</t>
  </si>
  <si>
    <t>General information about The Engine Room, Partnership - Connections to peers or experts</t>
  </si>
  <si>
    <t>2 - medium (you did all of the "light" activities, plus pro-bono work including research, spending time making connections, or providing inputs to a document)</t>
  </si>
  <si>
    <t>Partos are looking for experts and organisations on topics to share at various session they are organising for their partner. They were curious to see if we could speak to certain topics around data and visualization. They were also looking for connections to other experts.</t>
  </si>
  <si>
    <t>No</t>
  </si>
  <si>
    <t>Closed</t>
  </si>
  <si>
    <t>Eloisa Artuso</t>
  </si>
  <si>
    <t>Fashion Revolution</t>
  </si>
  <si>
    <t>Transparency and accountability / open government</t>
  </si>
  <si>
    <t>United Kingdom</t>
  </si>
  <si>
    <t>They applied for support with ER previously (e.g.Matchbox)</t>
  </si>
  <si>
    <t>Growth (Fundraising or matchmaking support? Sounding board? Support on a proposal?)</t>
  </si>
  <si>
    <t>Phone call  or conversation only</t>
  </si>
  <si>
    <t>General information about The Engine Room, Project - Help with project design or implementation</t>
  </si>
  <si>
    <t>1 - light (you spent some time talking about an issue, and provided suggestions or connections)</t>
  </si>
  <si>
    <t xml:space="preserve">Read everything we previously shared and changed the approach with the project, was going for an european grant (erasmus +) and now decided to take another direction, CISCO systems grants. Need help to build up the idea, focused on technology but don't really know that much about tech. Want support to build their proposal. </t>
  </si>
  <si>
    <t>Yes</t>
  </si>
  <si>
    <t>Ongoing</t>
  </si>
  <si>
    <t>James Gondwe</t>
  </si>
  <si>
    <t>Center For Youth and Development</t>
  </si>
  <si>
    <t>Transparency and accountability / open government, Human rights / humanitarian</t>
  </si>
  <si>
    <t>NGO - National, Subnational</t>
  </si>
  <si>
    <t>National</t>
  </si>
  <si>
    <t>Malawi</t>
  </si>
  <si>
    <t>Project Design (Advise them on what-ifs? think through different scenarios? technical guidance? plan and design help?)</t>
  </si>
  <si>
    <t>Technical - Feedback and recommendations on a platform/website</t>
  </si>
  <si>
    <t xml:space="preserve">They started working on an idea called HESPO. Which a health services provider platform
They used the user personas, thinking about target audience. They are looking at areas to improve user experience and usability of the platform. 
</t>
  </si>
  <si>
    <t>Molly Kleinmann</t>
  </si>
  <si>
    <t>University of Michigan</t>
  </si>
  <si>
    <t>University</t>
  </si>
  <si>
    <t>United States</t>
  </si>
  <si>
    <t>Laura</t>
  </si>
  <si>
    <t>They applied through the website</t>
  </si>
  <si>
    <t>Ideation (Listen to their ideas? offer tips or resources?)</t>
  </si>
  <si>
    <t>General information about The Engine Room, Technical - Resources, Learnings or Guidelines</t>
  </si>
  <si>
    <t>Research centre at the school of public policy at UMich. They are interested in policy/societal impact etc, so go to the programme. Research bucket on emerging technologies, where there is likely to be social implications for social justice, rooted in producing just and equitable tech. Were worried about how trendy community engagement is in academia, don't want to be overly extractive with communities. Did a short policy paper on shot spotter, city of Detroit which wanted to use pandemic relief funds to expand shot spotter programme. Local org used their policy brief to communicate with policy makers and advocate. Have about 8 partners</t>
  </si>
  <si>
    <t>Lindora Diawara</t>
  </si>
  <si>
    <t>Business For Peace</t>
  </si>
  <si>
    <t>Human rights / humanitarian</t>
  </si>
  <si>
    <t>Liberia</t>
  </si>
  <si>
    <t>February 2023</t>
  </si>
  <si>
    <t>Iteration</t>
  </si>
  <si>
    <t>Project - Help with project design or implementation</t>
  </si>
  <si>
    <t>They have recently implemented a CRM at the organizational level. They are now trying to figure out ways to get the rest of the team engaged and change their behaviour to utilize the CRM. There are also resource challenges around folks who struggle with access to internet and can't access the platform online</t>
  </si>
  <si>
    <t>Rabia Gungor</t>
  </si>
  <si>
    <t>Girl Effect</t>
  </si>
  <si>
    <t>Turkey</t>
  </si>
  <si>
    <t>General information about The Engine Room, Responsible Data - Resources and Learnings</t>
  </si>
  <si>
    <t>They are interested in learning more about data ethics and handling data in a responsible way. They would like to read and learn more and are looking for resources where they can increase their knowledge and awareness on the topic</t>
  </si>
  <si>
    <t>Lucy Walton</t>
  </si>
  <si>
    <t>Amera International</t>
  </si>
  <si>
    <t>Sara, Olivia</t>
  </si>
  <si>
    <t>Phone call  or conversation only, Brief follow up email with resources and recommendations</t>
  </si>
  <si>
    <t>General information about The Engine Room, Technical - Resources, Learnings or Guidelines, Responsible Data - Resources and Learnings, Project - Mapping of comparable projects or provision of lateral insipring examples</t>
  </si>
  <si>
    <t xml:space="preserve">They are interested in implementing a survey for refugees in the UK, they would like to know more about what tools are relevant and what would be feasible in terms of tool selection and implementation of a self reporting survey. </t>
  </si>
  <si>
    <t>Thank you so much for sending this, it looks very helpful!
We will be in touch once we have reviewed and discussed your suggestions. 
Best wishes,</t>
  </si>
  <si>
    <t>Aadit Narula Gupta</t>
  </si>
  <si>
    <t>N/A</t>
  </si>
  <si>
    <t>Health</t>
  </si>
  <si>
    <t>Informal - network, group, or community</t>
  </si>
  <si>
    <t>Nthabi</t>
  </si>
  <si>
    <t>We met them through the RD LiST</t>
  </si>
  <si>
    <t>General information about The Engine Room, Technical - Resources, Learnings or Guidelines, Responsible Data - Resources and Learnings, Health Data Practices</t>
  </si>
  <si>
    <t>They are interesting in implementing a project where data on refugess is collected around health outcomes. They are interested to know what best practises are across borders and what our experiences are</t>
  </si>
  <si>
    <t>sbaker@theengineroom.org</t>
  </si>
  <si>
    <t>Melissa Ditmore</t>
  </si>
  <si>
    <t>Nawara Women's Network for the Middle East and North Africa</t>
  </si>
  <si>
    <t>Human rights / humanitarian, Sex worker rights, gender-based violence</t>
  </si>
  <si>
    <t>NGO - Regional</t>
  </si>
  <si>
    <t>Regional</t>
  </si>
  <si>
    <t>North America</t>
  </si>
  <si>
    <t>Sara</t>
  </si>
  <si>
    <t>They reached out to me in response to the peer learning cohort call on the feminist internet mailing list.</t>
  </si>
  <si>
    <t>March 2023</t>
  </si>
  <si>
    <t>Technical - Feedback and recommendations on a platform/website, Technical - Resources, Learnings or Guidelines, Responsible Data - Resources and Learnings, OrgSec - Guidance or Feedback on Policies</t>
  </si>
  <si>
    <t>They want to develop a secure website for sex workers in the MENA region to report gender-based violence, resulting in service referral and evidence building.</t>
  </si>
  <si>
    <t xml:space="preserve">They are turning an app prototype into a website for reporting gender-based violence against sex workers, with the starting location in Morocco. The website would direct them to local services and document their experiences. This is a highly vulnerable population that needs access to services, and evidence of the problem is necessary to advocate for their rights. Protecting their data is of the utmost importance. The researchers worry about governments getting hold of the data. Additionally, the people working on this are not all using the most secure tools for communicating with each other despite how much the murder of a Palestinian reporter has shaken them. They don't seem to understand that governments are likely surveilling them through their phones and are using WhatsApp to communicate.
</t>
  </si>
  <si>
    <t>They need a strong RD policy and protocols from beginning to end, especially in terms of informed consent, and they are trying to figure out the most secure but accessible platform.</t>
  </si>
  <si>
    <t>Yusuf Suleiman</t>
  </si>
  <si>
    <t>Nigeria</t>
  </si>
  <si>
    <t>They were an applicant to the cohort learning group</t>
  </si>
  <si>
    <t>General information about The Engine Room, Responsible Data - Resources and Learnings, Data Management practices</t>
  </si>
  <si>
    <t>They are interested in learning more about Responsible Data Practices and increasing their knowledge on principles and how this could apply to their work</t>
  </si>
  <si>
    <t>Julius Amoako</t>
  </si>
  <si>
    <t>LGBT+ Rights Ghana</t>
  </si>
  <si>
    <t>Ghana</t>
  </si>
  <si>
    <t>Nthabi, Olivia</t>
  </si>
  <si>
    <t>They were a cohort learning applicant</t>
  </si>
  <si>
    <t>General information about The Engine Room, Technical - Resources, Learnings or Guidelines, Responsible Data - Resources and Learnings, Data Management Practices</t>
  </si>
  <si>
    <t xml:space="preserve">They have a concern about how they are managing their data safely. They would like to implement good practises to protect the communities they work with. They want to learn more about responsible data practices as well. </t>
  </si>
  <si>
    <t>Rola Yasmine</t>
  </si>
  <si>
    <t>The A project</t>
  </si>
  <si>
    <t>Sexuality and reproductive justice</t>
  </si>
  <si>
    <t>Lebanon</t>
  </si>
  <si>
    <t>Technical - Resources, Learnings or Guidelines, Responsible Data - Resources and Learnings,</t>
  </si>
  <si>
    <t xml:space="preserve">They are looking for ways to process and use their data more effectively. They have a particular interest in data visualization and storytelling. </t>
  </si>
  <si>
    <t>Marc Faddoul</t>
  </si>
  <si>
    <t>AI Forensics</t>
  </si>
  <si>
    <t>Europe</t>
  </si>
  <si>
    <t>They are a previous LiTS partner</t>
  </si>
  <si>
    <t>General information about The Engine Room</t>
  </si>
  <si>
    <t xml:space="preserve">They are a partner we have previously supported. They wanted to follow up with us to find out what we are up to and get some thoughts on the work they do around AI and opening up black boxes. They also offered some expertise and mentioned they would be happy to take referals for organizations looking for Ai expertise. They are also working on policies and governance in the Ai sector. </t>
  </si>
  <si>
    <t>They would be interesting to follow up with in the future if we have a referal or maybe projects or expertise in the sector</t>
  </si>
  <si>
    <t>Follow up with the partner at a later stage</t>
  </si>
  <si>
    <t>Yame Katholo</t>
  </si>
  <si>
    <t>Digital Security</t>
  </si>
  <si>
    <t>Botswana</t>
  </si>
  <si>
    <t>Yame is a student who is interested to learn about our work particularly responsible data and digital security. He is also interested in connecting to comparable organizations supporting CSOs in the region. We shared some resources on AI ethics and surveillance. We also offered to see if we could build connections with orgs doing similar work in the region</t>
  </si>
  <si>
    <t>Caleb Orozco</t>
  </si>
  <si>
    <t>United Belize Advocacy Movement</t>
  </si>
  <si>
    <t>Belize</t>
  </si>
  <si>
    <t>Gillian</t>
  </si>
  <si>
    <t>They are a cohort learning applicant</t>
  </si>
  <si>
    <t>General information about The Engine Room, Project - Help with project design or implementation, Technical - Resources, Learnings or Guidelines</t>
  </si>
  <si>
    <t xml:space="preserve">They collect alot of data but don't know what to do with it. Caleb works alone and is looking for ways to visualize and tell stories with their data. Managing their data is also an important component of how they would like to work better. </t>
  </si>
  <si>
    <t>quito@theengineroom.org</t>
  </si>
  <si>
    <t>Cami Rincon</t>
  </si>
  <si>
    <t>The Turing Institute</t>
  </si>
  <si>
    <t>Transparency and accountability / open government, Philanthropy</t>
  </si>
  <si>
    <t>Quito</t>
  </si>
  <si>
    <t>We met at an event</t>
  </si>
  <si>
    <t>April 2023</t>
  </si>
  <si>
    <t>General information about The Engine Room, Project - Mapping of comparable projects or provision of lateral insipring examples</t>
  </si>
  <si>
    <t>Talking about IDDR project and other ways of thinking through the data and digital rights, and social justice intersection.</t>
  </si>
  <si>
    <t>There is lots of overlap with our work!</t>
  </si>
  <si>
    <t>Claudia Fischer</t>
  </si>
  <si>
    <t>General information about The Engine Room, Project - Mapping of comparable projects or provision of lateral insipring examples, Policy &amp; Advocacy - Feedback on contextual analysis or political economy</t>
  </si>
  <si>
    <t>Talking about how ethics and projects on the ethics of technology can further develop beyond just application to new tech.</t>
  </si>
  <si>
    <t>Julian Ponton Viñuela</t>
  </si>
  <si>
    <t>WIngu</t>
  </si>
  <si>
    <t>Argentina</t>
  </si>
  <si>
    <t>Laura, Nthabi</t>
  </si>
  <si>
    <t>Detailed feedback including a document/email with research and recommendations</t>
  </si>
  <si>
    <t>Project - Mapping of comparable projects or provision of lateral insipring examples, Technical - Resources, Learnings or Guidelines, Responsible Data - Resources and Learnings</t>
  </si>
  <si>
    <t>They are working on project with a hospital with a vulnerable community in the north of argentina
They are building a tool that will allow the community to book appointments with doctors with a web app instead of having to stand in line for hours, early, outside
Working with the foundation, the hospital itself (they’re the ones who applied for the funding)</t>
  </si>
  <si>
    <t xml:space="preserve">
</t>
  </si>
  <si>
    <t>Syar Alia</t>
  </si>
  <si>
    <t>Numun</t>
  </si>
  <si>
    <t>Malaysia</t>
  </si>
  <si>
    <t>OrgSec - Guidance or Feedback on Policies</t>
  </si>
  <si>
    <t xml:space="preserve">They have recently developed onboarding policies and an internal security protocol for their staff. They want to know if they are following the right path and if anything needs to be adjusted. </t>
  </si>
  <si>
    <t>Zainab Ibrahim</t>
  </si>
  <si>
    <t>Delete Nothing</t>
  </si>
  <si>
    <t>Sri Lanka</t>
  </si>
  <si>
    <t>Project - Operations (advice them on core operations? Ideas on working with partners?)</t>
  </si>
  <si>
    <t>Technical - Resources, Learnings or Guidelines, Responsible Data - Resources and Learnings, Data Management</t>
  </si>
  <si>
    <t>They manage alot of data and would like to know more about staying safe online and handling data responsibly</t>
  </si>
  <si>
    <t>Benjamin Clair</t>
  </si>
  <si>
    <t>DataStake</t>
  </si>
  <si>
    <t>Congo [DRC]</t>
  </si>
  <si>
    <t>Project - Mapping of comparable projects or provision of lateral insipring examples, Open Data Community Mapping</t>
  </si>
  <si>
    <t>They are interested in learning more about projects working on transparency and accountability in the extractives sector</t>
  </si>
  <si>
    <t>Twongirwe Ireen</t>
  </si>
  <si>
    <t>Women for Green Economy Movement Uganda</t>
  </si>
  <si>
    <t>Uganda</t>
  </si>
  <si>
    <t>Responsible Data - Resources and Learnings, OrgSec - Resources, Learnings or Tools</t>
  </si>
  <si>
    <t>They are interested in learning about orgsec and responsible data practises</t>
  </si>
  <si>
    <t>paola@theengineroom.org</t>
  </si>
  <si>
    <t>Haydeki</t>
  </si>
  <si>
    <t>Socialtic</t>
  </si>
  <si>
    <t>Human rights / humanitarian, Organisational security</t>
  </si>
  <si>
    <t>Mexico</t>
  </si>
  <si>
    <t>Paola M</t>
  </si>
  <si>
    <t>I've known them for a while and we recently met at the Digital Resilience Network event</t>
  </si>
  <si>
    <t>Project - Help with project design or implementation, Technical - Resources, Learnings or Guidelines</t>
  </si>
  <si>
    <t>She's planning on developing an internal report and have had a hard time getting team knowledge documentation, so she asked information, resources and experience about how we've conducted book sprints and method sprints. I shared some of our blogposts and my experience working in the methods sprint for investigating power networks</t>
  </si>
  <si>
    <t>Stinicah Kemunto</t>
  </si>
  <si>
    <t>Threshold for Hope Africa</t>
  </si>
  <si>
    <t>Mental Health Services and Support</t>
  </si>
  <si>
    <t>Kenya</t>
  </si>
  <si>
    <t>May 2023</t>
  </si>
  <si>
    <t>General information about The Engine Room, Project - Mapping of comparable projects or provision of lateral insipring examples, Responsible Data - Resources and Learnings, User Testing</t>
  </si>
  <si>
    <t xml:space="preserve">They are interested in developing an app to support mental health patients in KISII region in Kenya. They are at the beat phase before rollout and would like feedback and advice on the direction of the app. </t>
  </si>
  <si>
    <t>Bwogi Omusajja Wa Wansi</t>
  </si>
  <si>
    <t>National Front for Reconcilliation</t>
  </si>
  <si>
    <t>Online engagement and outreach strategy</t>
  </si>
  <si>
    <t>3 - heavy (you spent up to one full day of work or more; if more, select "Other" and type in the number of days you spent)</t>
  </si>
  <si>
    <t xml:space="preserve">This is part of the Medium Intensity (MiTS) that we are working on with them. We completed module one which was focused on online engagement and outreach strategy. We provide strategic advice and recommendations in this area. </t>
  </si>
  <si>
    <t>Susi Bascon</t>
  </si>
  <si>
    <t>Roots2Justice</t>
  </si>
  <si>
    <t>Legal Empowerment</t>
  </si>
  <si>
    <t>Cathy</t>
  </si>
  <si>
    <t>Previous LiTS partner</t>
  </si>
  <si>
    <t>Project - Help with project design or implementation, Project - Mapping of comparable projects or provision of lateral insipring examples, Technical - Resources, Learnings or Guidelines, Community Building Strategy</t>
  </si>
  <si>
    <t xml:space="preserve">They are interested in developing a community for legal empowerment called Roots2Justice. This community will allow users to connect with experts and also access course content. </t>
  </si>
  <si>
    <t>Joseph Mbokani</t>
  </si>
  <si>
    <t>General information about The Engine Room, OrgSec - Resources, Learnings or Tools, OrgSec - Connections with Support and / or Expertise</t>
  </si>
  <si>
    <t xml:space="preserve">They are working at a human rights org in DRC and support human rights defenders to advocate for transparency and accountability. They have been threatened and monitored by the government. They are looking for org sec learnings and support to help them mitigate risks and increase awareness of good practices within their staff. </t>
  </si>
  <si>
    <t>Diana Kurth</t>
  </si>
  <si>
    <t>I.R.I</t>
  </si>
  <si>
    <t>Democracy and Governance</t>
  </si>
  <si>
    <t>General information about The Engine Room, Project - Help with project design or implementation, Project - Mapping of comparable projects or provision of lateral insipring examples, Technical - Resources, Learnings or Guidelines</t>
  </si>
  <si>
    <t>We participated in a monthly community call that they host. We presented the work that we do. Following the presentation, we had an AMA where we answered questions from folks in the global south that they support around their use of data and tech. We shared advice and recommendations as well to some of the relevant questions</t>
  </si>
  <si>
    <t>Marc Guirand</t>
  </si>
  <si>
    <t>Data Haiti</t>
  </si>
  <si>
    <t>Haiti</t>
  </si>
  <si>
    <t>General information about The Engine Room, Project - Mapping of comparable projects or provision of lateral insipring examples, Technical - Resources, Learnings or Guidelines</t>
  </si>
  <si>
    <t xml:space="preserve">They are looking to develop a platform to open up data in Haiti to increase transparency and accountability. They are also looking for experts who can help them with the design and implementation of the platform. </t>
  </si>
  <si>
    <t>Roseanna Dias</t>
  </si>
  <si>
    <t>Promising Trouble</t>
  </si>
  <si>
    <t>Civic tech</t>
  </si>
  <si>
    <t>N/A see in the comments for non-formal LiTS</t>
  </si>
  <si>
    <t xml:space="preserve">They reached out to us to gauge if we would be interested in joining a community they would like to build focused on connection grassroots org with experts around the use of data and tech. Learning and knowledge sharing is also a focus of the community. Currently all of the orgs will be UK based. </t>
  </si>
  <si>
    <t xml:space="preserve">We mentioned that we would be interested to introduce ourselves and offer advice and support to orgs who have questions around data and tech. </t>
  </si>
  <si>
    <t>Vanessa Chisakula</t>
  </si>
  <si>
    <t xml:space="preserve"> Word Smash Poetry</t>
  </si>
  <si>
    <t>Zambia</t>
  </si>
  <si>
    <t>Joshua</t>
  </si>
  <si>
    <t>Responsible Data - Resources and Learnings</t>
  </si>
  <si>
    <t>Vanessa shared that she would like some further support specifically around how to facilitate a conversation about RD in her org</t>
  </si>
  <si>
    <t>barbara@theengineroom.org</t>
  </si>
  <si>
    <t>Andréa Soares</t>
  </si>
  <si>
    <t>Individual</t>
  </si>
  <si>
    <t>Health / Access to Information</t>
  </si>
  <si>
    <t>Brazil</t>
  </si>
  <si>
    <t>Steffania</t>
  </si>
  <si>
    <t>They applied through the website, proactive offer of support to Black feminist orgs</t>
  </si>
  <si>
    <t>June 2023</t>
  </si>
  <si>
    <t>Phone call  or conversation only, Brief follow up email with resources and recommendations, Detailed feedback including a document/email with research and recommendations</t>
  </si>
  <si>
    <t>General information about The Engine Room, Partnership - Connections to peers or experts, Project - Help with project design or implementation, Policy &amp; Advocacy - Feedback on advocacy strategy or projects, Responsible Data - Resources and Learnings</t>
  </si>
  <si>
    <t xml:space="preserve">Andréa collects a lot of data from members of her community. She has done a survey with over 1500 people (!!!) on google forms and isn't quite sure what to do with the data now. She also wants to expand this survey, and needs support with knowing which data to collect, how to craft a research question / survey questions. Security: while talking, it was clear that there could be stronger security measures. The website doesn't have https, for instance. We reviewed the survey responses that Andréa has collected and suggested improvements/ideas on how to make the next iteration survey stronger with clearer/more nuanced questions, made suggestions for how she could leverage the data she already has, pointed out a couple of gaps in the data (i.e. not having gender disaggregated data etc). We also shared Responsible Data resources and connected her to an org in Brasil doing a lot of right to info + right to health work. </t>
  </si>
  <si>
    <t>"I loved your comments and suggestions! Thank you very much, as it will lead to continuous improvement for the new edition of the survey."</t>
  </si>
  <si>
    <t>Andréa had a rare illness in Brazil and struggled with finding the information she needed in the public health system. So she created an informal network of people with rare illnesses to share information. The initiative eventually grew into a platform and she has done a survey of their information needs. With over 1500 respondents, the survey points out which information needs persons with rare illnesses have. Andréa reached out because she wanted support with next steps when it came to what to do with all the info she has.</t>
  </si>
  <si>
    <t xml:space="preserve">Andréa has a rare illness and, based on her experiences navigating the health sector and lack of access to information, she created a community with hundreds of people who have rare illnesses in Brasil. they share info with each other, support each other as they navigate the complexities of having rare illnesses etc. Andréa created a platform designed to share information about rare illnesses with people affected by them. other than being a place where people can find info, it also act as a place where people can connect with each other. </t>
  </si>
  <si>
    <t>Jész Ipólito</t>
  </si>
  <si>
    <t>Coletivo Creuza Oliveira</t>
  </si>
  <si>
    <t>Domestic workers rights</t>
  </si>
  <si>
    <t>Subnational (state, municipality, city)</t>
  </si>
  <si>
    <t>They applied through the website, proactive offer of support to black feminist orgs</t>
  </si>
  <si>
    <t>General information about The Engine Room, Partnership - Connections to peers or experts, Project - Help with project design or implementation, OrgSec - Resources, Learnings or Tools, OrgSec - Connections with Support and / or Expertise</t>
  </si>
  <si>
    <t xml:space="preserve">they had many ideas and suggestions for things they needed support on, including: 1) strenghtening some form of digital archiving/more documentation practices, 2) support with becoming a formal NGO in Brasil, and 3) deepening technical intuition/digital care practices. since our first call with them on June 12, Steff and Bárbara have: shared contacts of institutions/people steff and i know in Brasil that can help with becoming a formal NGO in Brasil (since this is not really our speacialty, we thought it made most sense to share useful contacts). when it comes to digital care practices, in our conversation, they made it clear that they need live workshops/live sessions and not only reading materials. so steff created a proposal for a session called "intro to digital care". they loved it! we're still working out a date when this could happen.  </t>
  </si>
  <si>
    <t>coletivo creuza de oliveira is an association of mostly Black domestic workers in Salvador, Bahia. they're aged 15 to 85, many of the members are part of the LGBTQIA+ community, including trans women and men. they do A LOT of things: political awareness raising, literacy classes, tutoring classes for children, there are embroidery and painting classes, lectures and thematic conversation circles.</t>
  </si>
  <si>
    <t>Leonora and Marry</t>
  </si>
  <si>
    <t>Kilomba Collective</t>
  </si>
  <si>
    <t>racial justice, migration justice, gender</t>
  </si>
  <si>
    <t>General information about The Engine Room, Project - Help with project design or implementation, Technical - Feedback and recommendations on a platform/website, Technical - Resources, Learnings or Guidelines, Responsible Data - Resources and Learnings</t>
  </si>
  <si>
    <t>They've done a survey of their network, which includes hundreds of Black Brazilian women who are migrants in the US. They want to do a second iteration of the survey, so that they're able to do advocacy and raise awareness of the lived experiences of their community in the US. We're providing feedback and resources to support them in survey design and eventually with coming up with a strategy for how to share the data they gather. Another area that is really important to them is how to do this work while implementing responsible data practices.</t>
  </si>
  <si>
    <t xml:space="preserve">Kilomba Collective is the first collective of black brazilian women in the US. Their website: https://www.kilomba.org/about. They heard about us via the proactive offer of support to Black feminist orgs and Leonora Souza Paula messaged Bárbara on LinkedIn before scheduling a call with us. We talked about their work and identified many areas of potential collaboration, the main being: support with their upcoming data collection (doing research on the lived experiences of Black Brazilian women in the US) and documentation/archival practices. </t>
  </si>
  <si>
    <t>Ongoing LiTS: we're still providing feedback and support for a few weeks.</t>
  </si>
  <si>
    <t>Amarilis Costa</t>
  </si>
  <si>
    <t>Rede Liberdade</t>
  </si>
  <si>
    <t>Partnership - Connections to peers or experts, OrgSec - Connections with Support and / or Expertise</t>
  </si>
  <si>
    <t>They need to hire a new person to take care of their tech infrastructure and don't know where to start. Based on our conversation, Steffania came up with a list of key questions that we shared with the partner, to help them get more clarity on what requirements/desired skills they're looking for.</t>
  </si>
  <si>
    <t>Amarilis is the executive director of Rede Liberdade, a social law firm in Brazil. They do strategic litigation in emblematic cases. The team currently has 22 people in more than 5 states. They are working on major cases in Brazil, mainly on issues of racial injustice, climate justice and human rights defenders. They are also working on the case of Smart Sampa (facial recognition in São Paulo) and cases of work in situations analogous to slavery. The organization had an employee dedicated to the area of technological infrastructure, including site maintenance, digital security, choice of tools and security protocol, etc. The person is leaving the organization and Amarilis was looking for people to support the hiring of a new person responsible for the tech infrastructure area.</t>
  </si>
  <si>
    <t>Share information about the partner/project for internal discussion</t>
  </si>
  <si>
    <t>James Odhiambo and Sam Vaghar</t>
  </si>
  <si>
    <t xml:space="preserve"> Millennium Campus Network (MCN)</t>
  </si>
  <si>
    <t xml:space="preserve">Human rights / humanitarian, </t>
  </si>
  <si>
    <t>They wrote us an email asking to meet.</t>
  </si>
  <si>
    <t>General information about The Engine Room, Partnership - Connections to peers or experts, Project - Mapping of comparable projects or provision of lateral insipring examples, Responsible Data - Resources and Learnings</t>
  </si>
  <si>
    <t>They wanted useful resources for their network of fellows to learn more about the intersection of tech and social impact. We shared many relevant resources/links from The Engine Room's part research and support work. They also invited us to be guest speakers on a webinar later this year.</t>
  </si>
  <si>
    <t xml:space="preserve">Millennium Campus Network (MCN) is a Boston-based non-profit training the next generation of social impact leaders. They're organising a new programme for emerging technologists and want us to be speakers in one of the sessions and virtually share our work with Millennium Fellows for an hour this fall. They also wanted us to share research/case studies on how tech is leveraged for impact. </t>
  </si>
  <si>
    <t>-</t>
  </si>
  <si>
    <t>Centro de Mujeres Afrocostarricenses</t>
  </si>
  <si>
    <t>Human rights / humanitarian, Racial Justice</t>
  </si>
  <si>
    <t>Costa Rica</t>
  </si>
  <si>
    <t>General information about The Engine Room, Project - Help with project design or implementation, Project - Mapping of comparable projects or provision of lateral insipring examples</t>
  </si>
  <si>
    <t xml:space="preserve">This organization is doing super relevant work in racial justice and gender justice, but they current aren't able to communicate all they do to their audiences, work with the data they already have, select tools that maximize their impact etc. The first call was introductory/get to know each other. We've scheduled a follow up call to dive deeper into potential ways we could support their work. </t>
  </si>
  <si>
    <t>Centro de Mujeres Afrocostarricenses contributes to the recognition, respect, and full exercise and protection of the Human Rights of the Afro-Costa Rican population, particularly women. They promote actions to denounce and support the different types of discrimination, especially racial discrimination that occur in CR, in order to guarantee the full enjoyment of people's human rights. Cathy met with them to talk about potential avenues for support, including: improving data collection/data sharing, thinking about comms/archival practices, and ideas for a new platform they're building.</t>
  </si>
  <si>
    <t xml:space="preserve">This is part of the Medium Intensity (MiTS) that we are working on with them. We completed module two on digital security and responsible data. We provide strategic advice and recommendations in this area. </t>
  </si>
  <si>
    <t>Peter Kayula</t>
  </si>
  <si>
    <t>Environmental Justice</t>
  </si>
  <si>
    <t>They are interested in learning more about practices and relevant projects for environmental and climate justice in East Africa. They were also interested in potential funding opportunities in the area to expand their project work</t>
  </si>
  <si>
    <t>Pinno Ivan Louis</t>
  </si>
  <si>
    <t>DIgital Women Uganda</t>
  </si>
  <si>
    <t>General information about The Engine Room, Feedback on a proposal or application, OrgSec - Resources, Learnings or Tools</t>
  </si>
  <si>
    <t>They are interested in doing digital security training to increase the digital literacy and safety of women and girls in Uganda, particularly those belonging to vulnerable groups. The aim of building a community of trained SAFETAG auditors is innovative and strategically aligned with the broader mission of Digital Woman Uganda (DWU).</t>
  </si>
  <si>
    <t>Stephanie Wong</t>
  </si>
  <si>
    <t>Common Knowledge and Act Build Change</t>
  </si>
  <si>
    <t>Barbara, Lesedi</t>
  </si>
  <si>
    <t>General information about The Engine Room, Technical - Resources, Learnings or Guidelines, OrgSec - Resources, Learnings or Tools</t>
  </si>
  <si>
    <t xml:space="preserve">They were interested in us participating in a session with their common on digital security training. We presented trends and relevant use cases and also tips and recommendations on best practices. </t>
  </si>
  <si>
    <t>Kathleen Azali</t>
  </si>
  <si>
    <t>Numun Fund</t>
  </si>
  <si>
    <t>Stephanie Kimou</t>
  </si>
  <si>
    <t>Pop Works Africa</t>
  </si>
  <si>
    <t>Cathy, Olivia</t>
  </si>
  <si>
    <t>They applied through the website, proactive support offer to black feminist orgs</t>
  </si>
  <si>
    <t>They are working on a project called "Black doula project" and need our input on the idea. They want to make the case that doulas would be helpful for Black women/Black maternal health, so it would be useful to think about guiding research questions for what data to collect to make that case. They are about to go away for the month, so we will follow up in August.</t>
  </si>
  <si>
    <t>They are a consulting firm called Popworks art Africa - high net worth individuals and family foundations.</t>
  </si>
  <si>
    <t>Taina Santos</t>
  </si>
  <si>
    <t>Casa Sueli Carneiro</t>
  </si>
  <si>
    <t>They applied through the website, proactive support to Black feminist orgs</t>
  </si>
  <si>
    <t>July 2023</t>
  </si>
  <si>
    <t xml:space="preserve">They want to prevent some risks and vulnerabilities on their platform, which is a huge archive of Black brazilian activism, and also more broadly develop their own framework for justice-based tech. </t>
  </si>
  <si>
    <t>Casa Sueli Carneiro is a "space for memory, training and black activism based on the activist and intellectual legacy of Sueli Carneiro." They have a bunch of questions about platforms/tool selection. they use some proprietary software, but also some that they developed themselves/with partners. they want to know 'what they should be considering when selecting these tools'. from video-conferencing to internal drives etc.
relatedly, they're looking into having their own servers (more detail is needed) and want to know what they should be considering when diving into this work with their partners
they were super interested in our approach to selecting justice-based tech tools.</t>
  </si>
  <si>
    <t>we followed up to share a few resources that we already have (some more practical like previous recommendations about video conferencing tools, our blog post about videoconferencing tools, and some more 'reflective' like our blog posts on making tech decisions based in values, etc). 
later in August, we'll have a follow up call to talk a bit more, to imagine what themes/challenges could be an initial medium-LiTS topic, what are the main challenges/concerns they have in the short term and also identify areas for a potential MB partnership if that makes sense etc.</t>
  </si>
  <si>
    <t>Débora Silva</t>
  </si>
  <si>
    <t>Sim Eu Sou do Meio</t>
  </si>
  <si>
    <t>Phone call  or conversation only, Detailed feedback including a document/email with research and recommendations</t>
  </si>
  <si>
    <t>General information about The Engine Room, Project - Help with project design or implementation, OrgSec - Resources, Learnings or Tools, OrgSec - Connections with Support and / or Expertise</t>
  </si>
  <si>
    <t>They are interested in exploring possible projects that help to disseminate data and information about Belford Roxo and also mentioned interest in learning more about digital care and digital security. 
We put together a document covering: 1. Initial tips and recommendations on responsible data use, 2. Questions to reflect on and consider for our next conversation, when we can go deeper into the topics discussed, and 3. Resources on digital care and digital security, including contacts of people who can support them locally.</t>
  </si>
  <si>
    <t>“I couldn't believe that you would contact me. I thought I was going to sign up and you wouldn't even get in touch!! This conversation was already so helpful”</t>
  </si>
  <si>
    <t xml:space="preserve">This is an org founded by Débora to transform the lives of residents of Belford Roxo, in Rio. This was once considered the "most dangerous" neighborhood of "Baixada Fluminense". They had two main areas of concern:
- improving their communications and use of data on their website
 - mitigating risks and vulnerabilities related to digital security. </t>
  </si>
  <si>
    <t xml:space="preserve">Beatriz </t>
  </si>
  <si>
    <t>Mulheres Negras Decidem</t>
  </si>
  <si>
    <t>Human rights / humanitarian, proactive offer of support to black feminist orgs</t>
  </si>
  <si>
    <t>They applied through the website, proactive support black feminist orgs</t>
  </si>
  <si>
    <t>They have 3 main areas where they want our support. They are willing to pay for it, so this could turn into a fee-for-service. 
1. Digital care: they want to develop an internal protocal of digital care, something that they could share with women from their network / new people who join the team.  
2. They don’t have a policy on data collection, and collect a lot of info: pics, address, etc. from the network members. Many of them are politically exposed persons, might have been targets of violence in the past. So they want support developing this policy.
3. They are interested in updating research on political/electoral data that they have. They don’t have a lot of team members to generate/collect that data. Want to support politicians/elected officials with datasets.</t>
  </si>
  <si>
    <t xml:space="preserve">We’ve interacted with them a few years ago: they were interviewed for the IDDR research by Bárbara and Laura. They have done some research and work on issues related to our work: transparency in elections, digital care, and more. Bárbara has been a part of their network of Black Brazilian women since shortly after the org was founded and shared the proactive support in their WhatsApp group. Beatriz messaged Bárbara privately and booked a call. </t>
  </si>
  <si>
    <t xml:space="preserve">They have a lot of data from members of their network of Black politicians and Black activists in Brazil and they want to figure out how to take better care of it. They're interested in learning about RD and implementing it in their org. 
</t>
  </si>
  <si>
    <t>Ronda Železný-Green</t>
  </si>
  <si>
    <t>Data.org</t>
  </si>
  <si>
    <t>Helen</t>
  </si>
  <si>
    <t xml:space="preserve">This actually turned into a bizdev opportunity. We're waiting for them to share more information to prepare a proposal. </t>
  </si>
  <si>
    <t xml:space="preserve">They want to host a course for their partners/clients and want us to develop the content. </t>
  </si>
  <si>
    <t>Safe World Management</t>
  </si>
  <si>
    <t>Environmental justice</t>
  </si>
  <si>
    <t>General information about The Engine Room, Technical - Feedback and recommendations on a platform/website</t>
  </si>
  <si>
    <t xml:space="preserve">They are interested in learning more about practices and relevant environmental and climate justice projects in East Africa. We had a follow-up call with them and they shared a brief proposal with ideas around collecting data on environmental impacts which we shared feedback on. </t>
  </si>
  <si>
    <t>Technical - Feedback and recommendations on a platform/website, Technical - Feedback on Designs / Mockups / Wireframes</t>
  </si>
  <si>
    <t>They are interested in developing an app to support mental health patients in KISII region in Kenya. We had a follow up conversation and they shared a presentation and mockup of the app that they would like to develop and we shared feedback on the workflow and potential UX/UI factors that they should consider when building the app</t>
  </si>
  <si>
    <t>Civic Tech/Community Tech</t>
  </si>
  <si>
    <t>General information about The Engine Room, Community call</t>
  </si>
  <si>
    <t xml:space="preserve">We joined a monthly community call which was convened by Promising Trouble. The group is mainly non-profits and charities based in the UK. These folks are thinking about community-based tech. During the session, we introduced ourselves and then provided a couple of prompts to the group around civic tech for participants to think about. The group shared thoughts and we were able to have a great discussion within a new community that is thinking about civic tech. This could be also an opportunity to grow networks and get to know other relevant folks. </t>
  </si>
  <si>
    <t>Sapni G</t>
  </si>
  <si>
    <t xml:space="preserve">Youth ki Awaaz </t>
  </si>
  <si>
    <t>Environmental justice, Communications</t>
  </si>
  <si>
    <t>India</t>
  </si>
  <si>
    <t>August 2023</t>
  </si>
  <si>
    <t xml:space="preserve">They wanted to start a project on the intersection of tech, digital rights and climate in India, bringing together experts from these fields as well as young activists/communicators. They wanted our input in terms of how to host this in a way that was productice + useful to propel their idea. </t>
  </si>
  <si>
    <t>"Hi Bárbara and Quito,
Thank you so much for speaking with me, and sharing these specific pieces of work. It is super helpful."
and 
"Our registrations have gotten great response so far, with over 160 registrations. We are looking forward to having a larger turnout and we are hoping that both the stewarded community conversation in the breakout rooms and the collective takeaways exercise can facilitate maximum participation from the attendees. (...) Thank you so much for nudging me to contact Madhuri, who very graciously accepted to be a part of the workshop. Our conversation was super helpful to me in figuring out many details about the design. I am hoping that the workshop brings us great insights and an open space for our community to critically think about the intersection of climate justice and digital rights."</t>
  </si>
  <si>
    <t xml:space="preserve">Bárbara knows Sapni, who recently started a job as Policy Programs Manager at Youth ki Awaaz in India with a climate focus. As part of their role, they "put together workshops and public engagement efforts to bring young voices to the table and empower them on various challenges in the sphere of social justice". They recently read our EJxDR research and want our support in organising a workshop. For this workshop, they want to "put a couple of experts in these spaces in India" + young people and "brainstorm together to build up a repository of what Climate Justice x Digital Rights means in the Indian context". </t>
  </si>
  <si>
    <t>We offered feedback on their ideas for the workshop and put them in touch with Madhuri (research consultant that worked with us on the EJXDR project), who joined the workshop. Here's the link to the workshop: https://twitter.com/YouthKiAwaaz/status/1696864290308030738</t>
  </si>
  <si>
    <t>Refer the partner to another expert or partner</t>
  </si>
  <si>
    <t>Enrica Duncan</t>
  </si>
  <si>
    <t>Mapa do Acolhimento</t>
  </si>
  <si>
    <t xml:space="preserve">Human rights / humanitarian, Support to victims of gender based violence </t>
  </si>
  <si>
    <t>Olivia</t>
  </si>
  <si>
    <t>They applied through the website, They applied for support with ER previously (e.g.Matchbox)</t>
  </si>
  <si>
    <t>Project - Help with project design or implementation, Technical - Feedback and recommendations on a platform/website</t>
  </si>
  <si>
    <t>We shared learnings from our research about designing chatbots, offering some notes on potential challenges they could encounter as well as other ideas for how to create the bot in a way that is thoughtful to their volunteers.</t>
  </si>
  <si>
    <t>At the end of the call they thanked us and said that "they really appreciate our idea on creating a bot for volunteers to have quick access to information about the services they can use".</t>
  </si>
  <si>
    <t>Bárbara received an email from Enrica Duncan, who used to lead NOSSAS (an org in Brazil that supports activists/collectives with tools for organising). We interviewed her a few years ago for our research on equity in funding for the tech and human rights ecosystem. Enrica is now ED at another org, 'Mapa do Acolhimento', which connects women who suffered gender based violence to volunteer psychologists and lawyers who can support them. Their volunteers go through training and they have a new project to "optimize" this training "using AI". They saw Olivia's blog (the one on 5 considerations for building chatbots) and reached out to ask for a call with us! The project is still in its early stages, they're still designing it and based on her email I'm assuming it would include some type of bot.</t>
  </si>
  <si>
    <t>Andreza Alves</t>
  </si>
  <si>
    <t>n/a</t>
  </si>
  <si>
    <t>student</t>
  </si>
  <si>
    <t>They're interested in learning more about tech + social justice as well as using data for social justice. We shared resources and links to help them get started!</t>
  </si>
  <si>
    <t>Andreza is a student and activist in Brazil and was interested in learning more about using tech for social impact. She didn't have a specific project she was working on, but wanted to learn more general information about The Engine and Responsible Data.</t>
  </si>
  <si>
    <t>share resources</t>
  </si>
  <si>
    <t>Shyaka Emmanuel</t>
  </si>
  <si>
    <t>Rwanda</t>
  </si>
  <si>
    <t>MCN Partner network</t>
  </si>
  <si>
    <t xml:space="preserve">They are a small group looking to get their project launched to support communities with Mental Health Issues in Rwanda. They are looking for ideas on how to launch the project and gather support. </t>
  </si>
  <si>
    <t>Grace Nwakor</t>
  </si>
  <si>
    <t>Holistic innovation for the development of the next climate action</t>
  </si>
  <si>
    <t>MCN Partners Network</t>
  </si>
  <si>
    <t>General information about The Engine Room, Feedback on a proposal or application, Project - Mapping of comparable projects or provision of lateral insipring examples</t>
  </si>
  <si>
    <t>They are currently looking for ways they can apply for funding for their project and were interested in getting our feedback on a proposal they were developing. The project is focused on environmental justice in the Niger River Delta</t>
  </si>
  <si>
    <t>Amongi Brenda</t>
  </si>
  <si>
    <t>Community Development Shield Uganda</t>
  </si>
  <si>
    <t>Health Rights</t>
  </si>
  <si>
    <t>MCN Partner Network</t>
  </si>
  <si>
    <t>They are currently looking for ways they can apply for funding for their project and were interested in getting our feedback on a proposal they were developing. The project is focused on providing SRHR services to communities in Rural Uganda</t>
  </si>
  <si>
    <t>Sabir Abdurahman</t>
  </si>
  <si>
    <t>South Sudan</t>
  </si>
  <si>
    <t>He Has an idea to create an organization that would provide refugees with technical skills and opportunities. What he has seen is that fellow refugees dont have access technology and higher education and would like to teach students technical skills and how to find opportunities online</t>
  </si>
  <si>
    <t>Ukwuoma Ukairo</t>
  </si>
  <si>
    <t>Center For Third World Organizing</t>
  </si>
  <si>
    <t>General information about The Engine Room, Technical - Resources, Learnings or Guidelines, Responsible Data - Resources and Learnings, OrgSec - Resources, Learnings or Tools</t>
  </si>
  <si>
    <t>They are currently figuring out how to bring tech into their work at the speed of trust. They would like to learn more about really good digital resilience practices in their work. They want to learn more ways to implement tech in their team as a whole. They just transitioned to 1Password because of LastPass data breaches</t>
  </si>
  <si>
    <t>Vincent Lordi</t>
  </si>
  <si>
    <t>Community Art</t>
  </si>
  <si>
    <t>General information about The Engine Room, Project - Mapping of comparable projects or provision of lateral insipring examples, Technical - Resources, Learnings or Guidelines, Community Building and Engagement</t>
  </si>
  <si>
    <t>They intend to support youths in selling their art pieces. He has been doing it physically but does not reach the wide range of people. Providing youths with basic steps after coming from a mental illness or they are trying to come out. providing a market for them to establish themselves. Trying to design a website which has been hard for him to be able to create a ready market for members.</t>
  </si>
  <si>
    <t>Communities Will Connect</t>
  </si>
  <si>
    <t>Working with an organization to break the cycle of inaccess of technology especially women and girls. Help students with coding and programming skills. So far they have been able to impact over 200 people Connecting them with opportunities around the countries and continent</t>
  </si>
  <si>
    <t>Shawn Kim</t>
  </si>
  <si>
    <t>PRAIS</t>
  </si>
  <si>
    <t>Promoting Racial Awareness in Schools (PRAIS) is an organization dedicated to combating discrimination by empowering schools to create more equitable communities. We work with schools using a two-step process: (1) assessment and (2) collaboration. With this method, we seek to gain a holistic understanding of schools’ racial climate so that we can best support their students.</t>
  </si>
  <si>
    <t>SSERWANGA JOSHUA</t>
  </si>
  <si>
    <t>General information about The Engine Room, Responsible Data - Resources and Learnings, Community Building and Engagement</t>
  </si>
  <si>
    <t>The fight against HIV/AIDs and the associated factors and how to address social justice through management of HIV/AIDS.
The problems faced include limited resources to reach out to larger communities and regions and lack of modern data management system for the cases involved
Solving the stigma and discrimination associated with the people living with HIV/AIDS.
 Approaches to HIV/AIDS aim at reducing stigma and discrimination. Social responsibility involves addressing stigma associated with HIV/AIDS. By promoting understanding and empathy, we can create a more inclusive society where people living with HIV are not marginalized or discriminated against.
 Difficulty in harnessing the social media platforms where I it becomes difficult for me to pass on my education talks related to HIV using the internet.
Lack of consistent data management system where to keep the information related to the HIV cases I get around communities.</t>
  </si>
  <si>
    <t>Kal Demissie</t>
  </si>
  <si>
    <t>Ethiopia</t>
  </si>
  <si>
    <t>General information about The Engine Room, Responsible Data - Resources and Learnings, OrgSec - Resources, Learnings or Tools</t>
  </si>
  <si>
    <t>Work on an Underground organization in Ethiopia to advocate for LGBTQI right It is illegal to work on these issues in Ethiopia. How can they promote digital security. There is a heavy anti-LGBTQI rhetoric in the regions. Laws and policies against these groups. They are trying to find ways to protect themselves. They have received some digi sec training . They do implement some of these practices were very basic. General security practices. Would like to create specific protocol for their organizations are interested in Matchbox support</t>
  </si>
  <si>
    <t>Brenda Amongi</t>
  </si>
  <si>
    <t>A colleague or friend referred them to me/us., MCN Partner Network</t>
  </si>
  <si>
    <t>September 2023</t>
  </si>
  <si>
    <t>Feedback on a proposal or application</t>
  </si>
  <si>
    <t xml:space="preserve">They are still interested in looking for support and funding ideas for their project. </t>
  </si>
  <si>
    <t>Bhavik</t>
  </si>
  <si>
    <t>MeltWater.org</t>
  </si>
  <si>
    <t>General information about The Engine Room, Partnership - Connections to peers or experts, Responsible Data - Resources and Learnings, Learnings from our Research</t>
  </si>
  <si>
    <t xml:space="preserve">They are leading a piece of research on emerging technologies such as AI, Web3 (blockchain), XR, and gaming and its potential to create jobs, wealth, and value in West Africa. They are approaching this work holistically looking at the entire value chain from skilling to policy.
They have always followed the work the org has been doing at the intersection of technology, advocacy, rights, and ethics and thought it would be a good opportunity to learn more about what Engine Room has experienced and learned not just from working across Africa, but globally. They are particularly interested in capturing the perspective of ethics and policy
</t>
  </si>
  <si>
    <t>Disha Arora</t>
  </si>
  <si>
    <t>Comms Hub</t>
  </si>
  <si>
    <t>Comms and Advocacy</t>
  </si>
  <si>
    <t>They are looking for ways to collaborate with us potentially in the future. They are also interested in learning about our RD program and how this could be relevant for other partners that they support.</t>
  </si>
  <si>
    <t>MCN Partners</t>
  </si>
  <si>
    <t>Cathy, Lesedi</t>
  </si>
  <si>
    <t>General information about The Engine Room, Technical - Resources, Learnings or Guidelines, Responsible Data - Resources and Learnings</t>
  </si>
  <si>
    <t xml:space="preserve">We did a presentation on a specific project (CELS) that we had previously done to showcase how technology can be used for social justice. Following the presentation, we answered various questions about tech and data in the social justice sector from participants. </t>
  </si>
  <si>
    <t>David Nyabiri</t>
  </si>
  <si>
    <t>National Front for Reconciliation</t>
  </si>
  <si>
    <t>Barbara, Paola M</t>
  </si>
  <si>
    <t xml:space="preserve">We had a conversation with them around connecting with peers and experts as part of their community building efforts. We shared research on relevant folks working on similar issues that they could connect with and potential include in their network. </t>
  </si>
  <si>
    <t>Mbokani Joseph</t>
  </si>
  <si>
    <t>OrgSec - Guidance or Feedback on Policies, OrgSec - Resources, Learnings or Tools</t>
  </si>
  <si>
    <t>They continue to face surveillance and threats of violence from their operations in Eastern DRC. They want to know if there are experts who can assist them with training and development of a security protocol</t>
  </si>
  <si>
    <t>October 2023</t>
  </si>
  <si>
    <t>They were interested in training courses and resources for funding and financing for non-profits</t>
  </si>
  <si>
    <t>Trans Queer Fund</t>
  </si>
  <si>
    <t xml:space="preserve">They are a collective group that works on Trans and Queer Rights in Kenya
All of the work they have done is online and they are concerned about digital safety and security as they grow their community online. They would like to learn more about training and capacity building for digital security for themselves and their partners. 
</t>
  </si>
  <si>
    <t xml:space="preserve">They continue to face surveillance and threats of violence from their operations in Eastern DRC. They want to know if there are experts who can assist them with training and development of a security protocol. They have asked if we could also partner with them and provide training for practitioners within their networks. </t>
  </si>
  <si>
    <t>Open Data</t>
  </si>
  <si>
    <t>Partnership - Connections to peers or experts, Project - Help with project design or implementation</t>
  </si>
  <si>
    <t xml:space="preserve">They are looking to develop a platform to open up data in Haiti to increase transparency and accountability. They are still looking for experts who can help them with the design and implementation of the platform. They are currently in the process of building up a network of partners and implementers. They asked for our feedback on their concept note and pitch for the platform. We also invited them to the LatAm community call as an opportunity to get to connect with likeminded folks in the region. </t>
  </si>
  <si>
    <t>Razan</t>
  </si>
  <si>
    <t>November 2023</t>
  </si>
  <si>
    <t>They are interested in pursuing social justice projects personally and wanted to learn more about how we support organizations. They were also curious to know how we do technical research and advise organizations on topics like tool selection and Responsible data.</t>
  </si>
  <si>
    <t>Evans Makanda</t>
  </si>
  <si>
    <t>Brian</t>
  </si>
  <si>
    <t>General information about The Engine Room, Partnership - Connections to peers or experts, OrgSec - Resources, Learnings or Tools</t>
  </si>
  <si>
    <t>They work to improve digital and implement skills for their community. They want to teach people how to use the internet in order to empower them and increase their opportunities for work, business and support for social projects. They are interested in also training local community members around safe digital security practices and also a curriculum for digital skills development.</t>
  </si>
  <si>
    <t>Stuart Fulton</t>
  </si>
  <si>
    <t>PescaData</t>
  </si>
  <si>
    <t>General information about The Engine Room, Responsible Data - Resources and Learnings, Responsible Data - Guidance or Feedback on RD policies</t>
  </si>
  <si>
    <t>PescaData, an emerging startup, is in the process of developing an innovative app specifically designed for small-scale fisheries and fisher-people. The primary focus of this app is to facilitate better decision-making among small-scale fishing organizations. It emphasizes the importance of knowledge exchange and peer-to-peer learning to address common challenges faced in the industry. Recently, PescaData achieved a significant milestone by winning a small seed fund from the Ocean Innovation Challenge, which will aid in the app's development. The app will primarily cater to the Spanish-speaking community, with a strong emphasis on data sovereignty, a concept that is central to their mission. This is particularly relevant considering there are approximately one million small-scale fishers in Latin America. As part of their strategy, PescaData is also incorporating a responsible data toolkit and adhering to principled data management practices. Looking forward, they are keen on exploring more about data sovereignty related to fishers, specifically focusing on what data to collect, what to avoid sharing, and how to manage this data responsibly.</t>
  </si>
  <si>
    <t>mwara Gichanga</t>
  </si>
  <si>
    <t>myDataRights Africa</t>
  </si>
  <si>
    <t>General information about The Engine Room, Responsible Data - Resources and Learnings, Responsible Data - Guidance or Feedback on RD policies, Community Call Guidelines</t>
  </si>
  <si>
    <t>MyDataRights Africa is currently at a phase where strengthening project design and implementation is vital for sustainability and maximizing impact. Their work includes creating data resources, advocacy toolkits, and digital archives, all grounded in responsible data practices and a feminist framework. These tools are designed to empower feminist groups, enabling them to effectively manage the digital landscape while protecting data rights and furthering their missions. They are keen on collaborating, specifically in areas like community call and project design, to broaden the impact of their initiatives in the realm of data rights and digital technology from an African feminist perspective.</t>
  </si>
  <si>
    <t>Candice Johnson</t>
  </si>
  <si>
    <t>PILnet</t>
  </si>
  <si>
    <t>Access to Justice</t>
  </si>
  <si>
    <t xml:space="preserve">PILnet, is currently seeking guidance to enhance its cybersecurity and general IT infrastructure. They aim to hire an external consultant specializing in these areas but face challenges in determining the starting point for such a venture. With only a basic understanding of their cybersecurity needs, PILnet finds itself uncertain about the specific qualifications and workload to expect from a potential consultant. This lack of detailed knowledge extends to the intricacies of cybersecurity, including password management, device security, and the development of comprehensive security policies. Key areas of concern include establishing clear travel protocols, managing access privileges, and ensuring proper security documentation. Currently, Candince, who is working on communications, highlights the organization's primary challenge: a limited understanding of their cybersecurity requirements and how to effectively address them. </t>
  </si>
  <si>
    <t>Gillian Katungi</t>
  </si>
  <si>
    <t>KinFolk Network</t>
  </si>
  <si>
    <t>December 2023</t>
  </si>
  <si>
    <t xml:space="preserve">They are trying to find a platform or methodology that would consolidate their contacts and make their comms with their network more efficient. They are considering implementing a CRM but would like to know what would be the best approach and options considering the fact that they are a small team with limited tech project experience. </t>
  </si>
  <si>
    <t>babra masters</t>
  </si>
  <si>
    <t>General information about The Engine Room, Open Data Sources</t>
  </si>
  <si>
    <t xml:space="preserve">They are a legal/legal justice entity and would like to find good sources of open/accessible data to track donations to various Politically Exposed People. They would like to be able to integrate these kind of open data sources to their regular reporting on financing and donations within the political space. </t>
  </si>
  <si>
    <t>Abass Hamsa</t>
  </si>
  <si>
    <t>HACEP Ghana</t>
  </si>
  <si>
    <t>Technical - Feedback and recommendations on a platform/website, OrgSec - Resources, Learnings or Tools</t>
  </si>
  <si>
    <t xml:space="preserve">They are interested in learning more about digital security to protect themselves and their team from harrassment. They are also in the process of thinking about developing an app for referrals to health services and destigmatization within their communities. They will share the concept for this specific in the next week or so. </t>
  </si>
  <si>
    <t>Rosanna Marzan</t>
  </si>
  <si>
    <t>Diversidad Dominicana</t>
  </si>
  <si>
    <t>Dominican Republic</t>
  </si>
  <si>
    <t>They are a non-governmental organization that is working for and promoting the rights of Lesbian, Gay, Bisexual, Trans, and Intersex (LGBTI) people in the Dominican Republic. They reached out because they wanted to learn more about digital security, including topics such as device protection, safe browsing on networks, secure communication on networks with email and mobile phones, protection of passwords, protection against malware and the use of VPNs.</t>
  </si>
  <si>
    <t>We shared introductory resources with their staff.</t>
  </si>
  <si>
    <t>Anita Breuer</t>
  </si>
  <si>
    <t>German Institute of Sustainability and Development (IDOS)</t>
  </si>
  <si>
    <t>Academic</t>
  </si>
  <si>
    <t>Germany</t>
  </si>
  <si>
    <t>Anita Breuer is senior researcher at the German Institute of Sustainability and Development (IDOS) – a research institutions and think tanks for global sustainable development. She is currently researching "digitalisation and disinformation". She reached out looking to learn more about our project about information ecosystems in Latin America (OSF Latam) and wanted to be put in contact with experts working on the topic in Brazil, where she is doing research. Bárbara shared a list of resources and experts who could be useful to Anita Breuer. https://docs.google.com/document/d/18yhCOKjb6Ui5mja_zFQ-vv2B-7TMoj4jClAnmbd1ZWs/edit</t>
  </si>
  <si>
    <t xml:space="preserve">Anita Breuer is senior researcher at the German Institute of Sustainability and Development (IDOS) – a research institutions and think tanks for global sustainable development. She is currently researching "digitalisation and disinformation". She reached out looking to learn more about our project about information ecosystems in Latin America (OSF Latam) and wanted to be put in contact with experts working on the topic in Brazil, where she is doing research. </t>
  </si>
  <si>
    <t>Bárbara shared a list of resources and experts who could be useful to Anita Breuer.</t>
  </si>
  <si>
    <t>Carolina Amaya</t>
  </si>
  <si>
    <t>Malayerba</t>
  </si>
  <si>
    <t>El Salvador</t>
  </si>
  <si>
    <t xml:space="preserve">During an interview for the OSF Latam project, they shared that they were facing digital security threats that posed a threat to their research and investigative journalism project. Due to the urgency of the situation, we put them in touch with Access Now Helpline. </t>
  </si>
  <si>
    <t>We shared contacts that could help them get immediate support.</t>
  </si>
  <si>
    <t>Countries</t>
  </si>
  <si>
    <t># LiTS</t>
  </si>
  <si>
    <t>Totals</t>
  </si>
  <si>
    <t>#</t>
  </si>
  <si>
    <t>LiTS type</t>
  </si>
  <si>
    <t>Month</t>
  </si>
  <si>
    <t>LiTS lead</t>
  </si>
  <si>
    <t>Organization</t>
  </si>
  <si>
    <t># of LiTS</t>
  </si>
  <si>
    <t>Current total</t>
  </si>
  <si>
    <t>Light</t>
  </si>
  <si>
    <t>Medium</t>
  </si>
  <si>
    <t>High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</si>
</sst>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mmm yyyy"/>
  </numFmts>
  <fonts count="13">
    <font>
      <sz val="10.0"/>
      <color rgb="FF000000"/>
      <name val="Arial"/>
      <scheme val="minor"/>
    </font>
    <font>
      <b/>
      <sz val="18.0"/>
      <color theme="1"/>
      <name val="Arial"/>
    </font>
    <font>
      <b/>
      <sz val="14.0"/>
      <color rgb="FFFFFFFF"/>
      <name val="Arial"/>
    </font>
    <font>
      <b/>
      <sz val="24.0"/>
      <color theme="0"/>
      <name val="Inconsolata"/>
    </font>
    <font>
      <color theme="1"/>
      <name val="Arial"/>
      <scheme val="minor"/>
    </font>
    <font>
      <u/>
      <color rgb="FF0000FF"/>
    </font>
    <font>
      <b/>
      <color theme="1"/>
      <name val="Arial"/>
      <scheme val="minor"/>
    </font>
    <font>
      <b/>
      <color theme="1"/>
      <name val="Arial"/>
    </font>
    <font>
      <b/>
      <sz val="11.0"/>
      <color theme="1"/>
      <name val="Inconsolata"/>
    </font>
    <font>
      <sz val="11.0"/>
      <color rgb="FF000000"/>
      <name val="Inconsolata"/>
    </font>
    <font>
      <color theme="1"/>
      <name val="Arial"/>
    </font>
    <font>
      <sz val="11.0"/>
      <color theme="1"/>
      <name val="Inconsolata"/>
    </font>
    <font>
      <u/>
      <color rgb="FF0000FF"/>
    </font>
  </fonts>
  <fills count="7">
    <fill>
      <patternFill patternType="none"/>
    </fill>
    <fill>
      <patternFill patternType="lightGray"/>
    </fill>
    <fill>
      <patternFill patternType="solid">
        <fgColor rgb="FFFFFFFF"/>
        <bgColor rgb="FFFFFFFF"/>
      </patternFill>
    </fill>
    <fill>
      <patternFill patternType="solid">
        <fgColor rgb="FFEA9999"/>
        <bgColor rgb="FFEA9999"/>
      </patternFill>
    </fill>
    <fill>
      <patternFill patternType="solid">
        <fgColor rgb="FFEFEFEF"/>
        <bgColor rgb="FFEFEFEF"/>
      </patternFill>
    </fill>
    <fill>
      <patternFill patternType="solid">
        <fgColor rgb="FFF3F3F3"/>
        <bgColor rgb="FFF3F3F3"/>
      </patternFill>
    </fill>
    <fill>
      <patternFill patternType="solid">
        <fgColor rgb="FFD9D9D9"/>
        <bgColor rgb="FFD9D9D9"/>
      </patternFill>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2" numFmtId="0" xfId="0" applyAlignment="1" applyFill="1" applyFont="1">
      <alignment horizontal="center" shrinkToFit="0" wrapText="1"/>
    </xf>
    <xf borderId="0" fillId="3" fontId="3" numFmtId="0" xfId="0" applyAlignment="1" applyFont="1">
      <alignment horizontal="center"/>
    </xf>
    <xf borderId="0" fillId="0" fontId="4" numFmtId="0" xfId="0" applyFont="1"/>
    <xf borderId="0" fillId="0" fontId="4" numFmtId="0" xfId="0" applyAlignment="1" applyFont="1">
      <alignment readingOrder="0"/>
    </xf>
    <xf borderId="0" fillId="0" fontId="4" numFmtId="164" xfId="0" applyAlignment="1" applyFont="1" applyNumberFormat="1">
      <alignment readingOrder="0"/>
    </xf>
    <xf borderId="0" fillId="0" fontId="4" numFmtId="0" xfId="0" applyAlignment="1" applyFont="1">
      <alignment readingOrder="0"/>
    </xf>
    <xf quotePrefix="1" borderId="0" fillId="0" fontId="4" numFmtId="0" xfId="0" applyAlignment="1" applyFont="1">
      <alignment readingOrder="0"/>
    </xf>
    <xf borderId="0" fillId="0" fontId="4" numFmtId="0" xfId="0" applyAlignment="1" applyFont="1">
      <alignment readingOrder="0"/>
    </xf>
    <xf borderId="0" fillId="4" fontId="4" numFmtId="164" xfId="0" applyAlignment="1" applyFill="1" applyFont="1" applyNumberFormat="1">
      <alignment readingOrder="0"/>
    </xf>
    <xf borderId="0" fillId="4" fontId="4" numFmtId="0" xfId="0" applyAlignment="1" applyFont="1">
      <alignment readingOrder="0"/>
    </xf>
    <xf quotePrefix="1" borderId="0" fillId="4" fontId="4" numFmtId="0" xfId="0" applyAlignment="1" applyFont="1">
      <alignment readingOrder="0"/>
    </xf>
    <xf borderId="0" fillId="4" fontId="4" numFmtId="0" xfId="0" applyFont="1"/>
    <xf borderId="0" fillId="4" fontId="4" numFmtId="0" xfId="0" applyAlignment="1" applyFont="1">
      <alignment readingOrder="0"/>
    </xf>
    <xf borderId="0" fillId="4" fontId="4" numFmtId="164" xfId="0" applyAlignment="1" applyFont="1" applyNumberFormat="1">
      <alignment readingOrder="0" shrinkToFit="0" wrapText="0"/>
    </xf>
    <xf borderId="0" fillId="4" fontId="4" numFmtId="0" xfId="0" applyAlignment="1" applyFont="1">
      <alignment readingOrder="0" shrinkToFit="0" wrapText="0"/>
    </xf>
    <xf quotePrefix="1" borderId="0" fillId="4" fontId="4" numFmtId="0" xfId="0" applyAlignment="1" applyFont="1">
      <alignment readingOrder="0" shrinkToFit="0" wrapText="0"/>
    </xf>
    <xf borderId="0" fillId="4" fontId="4" numFmtId="0" xfId="0" applyAlignment="1" applyFont="1">
      <alignment shrinkToFit="0" wrapText="0"/>
    </xf>
    <xf borderId="0" fillId="5" fontId="4" numFmtId="164" xfId="0" applyAlignment="1" applyFill="1" applyFont="1" applyNumberFormat="1">
      <alignment readingOrder="0"/>
    </xf>
    <xf borderId="0" fillId="5" fontId="4" numFmtId="0" xfId="0" applyAlignment="1" applyFont="1">
      <alignment readingOrder="0"/>
    </xf>
    <xf quotePrefix="1" borderId="0" fillId="5" fontId="4" numFmtId="0" xfId="0" applyAlignment="1" applyFont="1">
      <alignment readingOrder="0"/>
    </xf>
    <xf borderId="0" fillId="5" fontId="4" numFmtId="0" xfId="0" applyFont="1"/>
    <xf borderId="0" fillId="0" fontId="5" numFmtId="0" xfId="0" applyAlignment="1" applyFont="1">
      <alignment readingOrder="0"/>
    </xf>
    <xf borderId="0" fillId="0" fontId="4" numFmtId="0" xfId="0" applyAlignment="1" applyFont="1">
      <alignment readingOrder="0" shrinkToFit="0" wrapText="0"/>
    </xf>
    <xf borderId="0" fillId="0" fontId="6" numFmtId="0" xfId="0" applyAlignment="1" applyFont="1">
      <alignment readingOrder="0"/>
    </xf>
    <xf borderId="0" fillId="0" fontId="6" numFmtId="0" xfId="0" applyAlignment="1" applyFont="1">
      <alignment horizontal="center" readingOrder="0"/>
    </xf>
    <xf borderId="0" fillId="6" fontId="4" numFmtId="0" xfId="0" applyFill="1" applyFont="1"/>
    <xf borderId="0" fillId="0" fontId="7" numFmtId="0" xfId="0" applyAlignment="1" applyFont="1">
      <alignment vertical="bottom"/>
    </xf>
    <xf borderId="0" fillId="0" fontId="7" numFmtId="0" xfId="0" applyAlignment="1" applyFont="1">
      <alignment horizontal="center" vertical="bottom"/>
    </xf>
    <xf borderId="0" fillId="0" fontId="7" numFmtId="0" xfId="0" applyAlignment="1" applyFont="1">
      <alignment horizontal="left" vertical="bottom"/>
    </xf>
    <xf borderId="0" fillId="2" fontId="8" numFmtId="0" xfId="0" applyAlignment="1" applyFont="1">
      <alignment vertical="bottom"/>
    </xf>
    <xf borderId="0" fillId="0" fontId="7" numFmtId="0" xfId="0" applyAlignment="1" applyFont="1">
      <alignment horizontal="center" vertical="bottom"/>
    </xf>
    <xf borderId="0" fillId="2" fontId="8" numFmtId="0" xfId="0" applyAlignment="1" applyFont="1">
      <alignment shrinkToFit="0" vertical="bottom" wrapText="1"/>
    </xf>
    <xf borderId="0" fillId="2" fontId="9" numFmtId="0" xfId="0" applyFont="1"/>
    <xf borderId="0" fillId="2" fontId="9" numFmtId="0" xfId="0" applyAlignment="1" applyFont="1">
      <alignment horizontal="center"/>
    </xf>
    <xf borderId="0" fillId="0" fontId="10" numFmtId="0" xfId="0" applyAlignment="1" applyFont="1">
      <alignment vertical="bottom"/>
    </xf>
    <xf borderId="0" fillId="0" fontId="10" numFmtId="0" xfId="0" applyAlignment="1" applyFont="1">
      <alignment horizontal="center" vertical="bottom"/>
    </xf>
    <xf borderId="0" fillId="0" fontId="10" numFmtId="165" xfId="0" applyAlignment="1" applyFont="1" applyNumberFormat="1">
      <alignment horizontal="left" readingOrder="0" vertical="bottom"/>
    </xf>
    <xf borderId="0" fillId="0" fontId="10" numFmtId="0" xfId="0" applyAlignment="1" applyFont="1">
      <alignment vertical="bottom"/>
    </xf>
    <xf borderId="0" fillId="2" fontId="11" numFmtId="0" xfId="0" applyAlignment="1" applyFont="1">
      <alignment horizontal="center" vertical="bottom"/>
    </xf>
    <xf borderId="0" fillId="0" fontId="10" numFmtId="0" xfId="0" applyAlignment="1" applyFont="1">
      <alignment horizontal="center" vertical="bottom"/>
    </xf>
    <xf borderId="0" fillId="0" fontId="10" numFmtId="0" xfId="0" applyAlignment="1" applyFont="1">
      <alignment shrinkToFit="0" vertical="bottom" wrapText="1"/>
    </xf>
    <xf borderId="0" fillId="0" fontId="4" numFmtId="0" xfId="0" applyFont="1"/>
    <xf borderId="0" fillId="0"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LiTS Per Month</a:t>
            </a:r>
          </a:p>
        </c:rich>
      </c:tx>
      <c:overlay val="0"/>
    </c:title>
    <c:plotArea>
      <c:layout/>
      <c:barChart>
        <c:barDir val="col"/>
        <c:ser>
          <c:idx val="0"/>
          <c:order val="0"/>
          <c:tx>
            <c:strRef>
              <c:f>'Helper Lists'!$K$1</c:f>
            </c:strRef>
          </c:tx>
          <c:spPr>
            <a:solidFill>
              <a:schemeClr val="accent1"/>
            </a:solidFill>
            <a:ln cmpd="sng">
              <a:solidFill>
                <a:srgbClr val="000000"/>
              </a:solidFill>
            </a:ln>
          </c:spPr>
          <c:cat>
            <c:strRef>
              <c:f>'Helper Lists'!$J$2:$J$13</c:f>
            </c:strRef>
          </c:cat>
          <c:val>
            <c:numRef>
              <c:f>'Helper Lists'!$K$2:$K$13</c:f>
              <c:numCache/>
            </c:numRef>
          </c:val>
        </c:ser>
        <c:axId val="1115597366"/>
        <c:axId val="1718260351"/>
      </c:barChart>
      <c:catAx>
        <c:axId val="11155973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18260351"/>
      </c:catAx>
      <c:valAx>
        <c:axId val="17182603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559736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Sectors that the organization works in</a:t>
            </a:r>
          </a:p>
        </c:rich>
      </c:tx>
      <c:overlay val="0"/>
    </c:title>
    <c:plotArea>
      <c:layout/>
      <c:barChart>
        <c:barDir val="bar"/>
        <c:ser>
          <c:idx val="0"/>
          <c:order val="0"/>
          <c:tx>
            <c:strRef>
              <c:f>'Helper Lists'!$Q$1</c:f>
            </c:strRef>
          </c:tx>
          <c:spPr>
            <a:solidFill>
              <a:schemeClr val="accent1"/>
            </a:solidFill>
            <a:ln cmpd="sng">
              <a:solidFill>
                <a:srgbClr val="000000"/>
              </a:solidFill>
            </a:ln>
          </c:spPr>
          <c:cat>
            <c:strRef>
              <c:f>'Helper Lists'!$P$2:$P$8</c:f>
            </c:strRef>
          </c:cat>
          <c:val>
            <c:numRef>
              <c:f>'Helper Lists'!$Q$2:$Q$8</c:f>
              <c:numCache/>
            </c:numRef>
          </c:val>
        </c:ser>
        <c:axId val="182947777"/>
        <c:axId val="844195304"/>
      </c:barChart>
      <c:catAx>
        <c:axId val="18294777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44195304"/>
      </c:catAx>
      <c:valAx>
        <c:axId val="84419530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947777"/>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LiTS lead</a:t>
            </a:r>
          </a:p>
        </c:rich>
      </c:tx>
      <c:overlay val="0"/>
    </c:title>
    <c:plotArea>
      <c:layout/>
      <c:barChart>
        <c:barDir val="bar"/>
        <c:ser>
          <c:idx val="0"/>
          <c:order val="0"/>
          <c:tx>
            <c:strRef>
              <c:f>'Helper Lists'!$N$1</c:f>
            </c:strRef>
          </c:tx>
          <c:spPr>
            <a:solidFill>
              <a:schemeClr val="accent1"/>
            </a:solidFill>
            <a:ln cmpd="sng">
              <a:solidFill>
                <a:srgbClr val="000000"/>
              </a:solidFill>
            </a:ln>
          </c:spPr>
          <c:cat>
            <c:strRef>
              <c:f>'Helper Lists'!$M$2:$M$14</c:f>
            </c:strRef>
          </c:cat>
          <c:val>
            <c:numRef>
              <c:f>'Helper Lists'!$N$2:$N$14</c:f>
              <c:numCache/>
            </c:numRef>
          </c:val>
        </c:ser>
        <c:axId val="467429865"/>
        <c:axId val="2127886451"/>
      </c:barChart>
      <c:catAx>
        <c:axId val="46742986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LiTS lead</a:t>
                </a:r>
              </a:p>
            </c:rich>
          </c:tx>
          <c:overlay val="0"/>
        </c:title>
        <c:numFmt formatCode="General" sourceLinked="1"/>
        <c:majorTickMark val="none"/>
        <c:minorTickMark val="none"/>
        <c:spPr/>
        <c:txPr>
          <a:bodyPr/>
          <a:lstStyle/>
          <a:p>
            <a:pPr lvl="0">
              <a:defRPr b="0">
                <a:solidFill>
                  <a:srgbClr val="000000"/>
                </a:solidFill>
                <a:latin typeface="+mn-lt"/>
              </a:defRPr>
            </a:pPr>
          </a:p>
        </c:txPr>
        <c:crossAx val="2127886451"/>
      </c:catAx>
      <c:valAx>
        <c:axId val="212788645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67429865"/>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Support outputs</a:t>
            </a:r>
          </a:p>
        </c:rich>
      </c:tx>
      <c:overlay val="0"/>
    </c:title>
    <c:plotArea>
      <c:layout/>
      <c:barChart>
        <c:barDir val="bar"/>
        <c:ser>
          <c:idx val="0"/>
          <c:order val="0"/>
          <c:tx>
            <c:strRef>
              <c:f>'Helper Lists'!$Z$1</c:f>
            </c:strRef>
          </c:tx>
          <c:spPr>
            <a:solidFill>
              <a:schemeClr val="accent1"/>
            </a:solidFill>
            <a:ln cmpd="sng">
              <a:solidFill>
                <a:srgbClr val="000000"/>
              </a:solidFill>
            </a:ln>
          </c:spPr>
          <c:cat>
            <c:strRef>
              <c:f>'Helper Lists'!$Y$2:$Y$11</c:f>
            </c:strRef>
          </c:cat>
          <c:val>
            <c:numRef>
              <c:f>'Helper Lists'!$Z$2:$Z$11</c:f>
              <c:numCache/>
            </c:numRef>
          </c:val>
        </c:ser>
        <c:axId val="471924972"/>
        <c:axId val="1444238641"/>
      </c:barChart>
      <c:catAx>
        <c:axId val="47192497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44238641"/>
      </c:catAx>
      <c:valAx>
        <c:axId val="144423864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1924972"/>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104775</xdr:colOff>
      <xdr:row>3</xdr:row>
      <xdr:rowOff>19050</xdr:rowOff>
    </xdr:from>
    <xdr:ext cx="6096000" cy="3733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23</xdr:row>
      <xdr:rowOff>180975</xdr:rowOff>
    </xdr:from>
    <xdr:ext cx="6096000" cy="3733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923925</xdr:colOff>
      <xdr:row>23</xdr:row>
      <xdr:rowOff>142875</xdr:rowOff>
    </xdr:from>
    <xdr:ext cx="6048375" cy="37338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104775</xdr:colOff>
      <xdr:row>45</xdr:row>
      <xdr:rowOff>180975</xdr:rowOff>
    </xdr:from>
    <xdr:ext cx="11410950" cy="37719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org" TargetMode="External"/><Relationship Id="rId2" Type="http://schemas.openxmlformats.org/officeDocument/2006/relationships/hyperlink" Target="http://meltwater.or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org" TargetMode="External"/><Relationship Id="rId2" Type="http://schemas.openxmlformats.org/officeDocument/2006/relationships/hyperlink" Target="http://meltwater.org"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C1" s="2" t="s">
        <v>1</v>
      </c>
      <c r="D1" s="3">
        <f>'Helper Lists'!E2</f>
        <v>85</v>
      </c>
    </row>
  </sheetData>
  <mergeCells count="1">
    <mergeCell ref="A1:B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9" width="18.88"/>
  </cols>
  <sheetData>
    <row r="1">
      <c r="A1" s="4" t="s">
        <v>2</v>
      </c>
      <c r="B1" s="4" t="s">
        <v>3</v>
      </c>
      <c r="C1" s="4" t="s">
        <v>4</v>
      </c>
      <c r="D1" s="4" t="s">
        <v>5</v>
      </c>
      <c r="E1" s="4" t="s">
        <v>6</v>
      </c>
      <c r="F1" s="4" t="s">
        <v>7</v>
      </c>
      <c r="G1" s="4" t="s">
        <v>8</v>
      </c>
      <c r="H1" s="4" t="s">
        <v>9</v>
      </c>
      <c r="I1" s="4" t="s">
        <v>10</v>
      </c>
      <c r="J1" s="4" t="s">
        <v>11</v>
      </c>
      <c r="K1" s="4" t="s">
        <v>12</v>
      </c>
      <c r="L1" s="4" t="s">
        <v>13</v>
      </c>
      <c r="M1" s="4" t="s">
        <v>14</v>
      </c>
      <c r="N1" s="4" t="s">
        <v>15</v>
      </c>
      <c r="O1" s="4" t="s">
        <v>16</v>
      </c>
      <c r="P1" s="4" t="s">
        <v>17</v>
      </c>
      <c r="Q1" s="4" t="s">
        <v>18</v>
      </c>
      <c r="R1" s="4" t="s">
        <v>19</v>
      </c>
      <c r="S1" s="4" t="s">
        <v>20</v>
      </c>
      <c r="T1" s="4" t="s">
        <v>21</v>
      </c>
      <c r="U1" s="5" t="s">
        <v>22</v>
      </c>
      <c r="V1" s="5" t="s">
        <v>23</v>
      </c>
      <c r="W1" s="5" t="s">
        <v>24</v>
      </c>
    </row>
    <row r="2">
      <c r="A2" s="6">
        <v>44966.67630019676</v>
      </c>
      <c r="B2" s="7" t="s">
        <v>25</v>
      </c>
      <c r="C2" s="7" t="s">
        <v>26</v>
      </c>
      <c r="D2" s="7" t="s">
        <v>27</v>
      </c>
      <c r="E2" s="7" t="s">
        <v>28</v>
      </c>
      <c r="F2" s="7" t="s">
        <v>29</v>
      </c>
      <c r="G2" s="7" t="s">
        <v>30</v>
      </c>
      <c r="H2" s="7" t="s">
        <v>31</v>
      </c>
      <c r="I2" s="7" t="s">
        <v>32</v>
      </c>
      <c r="J2" s="7" t="s">
        <v>33</v>
      </c>
      <c r="K2" s="7" t="s">
        <v>34</v>
      </c>
      <c r="L2" s="8" t="s">
        <v>35</v>
      </c>
      <c r="M2" s="7" t="s">
        <v>36</v>
      </c>
      <c r="N2" s="7" t="s">
        <v>37</v>
      </c>
      <c r="O2" s="7" t="s">
        <v>38</v>
      </c>
      <c r="P2" s="7" t="s">
        <v>39</v>
      </c>
      <c r="Q2" s="7" t="s">
        <v>40</v>
      </c>
      <c r="R2" s="7" t="s">
        <v>41</v>
      </c>
      <c r="T2" s="7" t="s">
        <v>42</v>
      </c>
      <c r="U2" s="9"/>
      <c r="V2" s="9"/>
      <c r="W2" s="9"/>
    </row>
    <row r="3">
      <c r="A3" s="6">
        <v>44966.67926528935</v>
      </c>
      <c r="B3" s="7" t="s">
        <v>25</v>
      </c>
      <c r="C3" s="7" t="s">
        <v>43</v>
      </c>
      <c r="D3" s="7" t="s">
        <v>44</v>
      </c>
      <c r="E3" s="7" t="s">
        <v>45</v>
      </c>
      <c r="F3" s="7" t="s">
        <v>29</v>
      </c>
      <c r="G3" s="7" t="s">
        <v>30</v>
      </c>
      <c r="H3" s="7" t="s">
        <v>46</v>
      </c>
      <c r="I3" s="7" t="s">
        <v>32</v>
      </c>
      <c r="J3" s="7" t="s">
        <v>33</v>
      </c>
      <c r="K3" s="7" t="s">
        <v>47</v>
      </c>
      <c r="L3" s="8" t="s">
        <v>35</v>
      </c>
      <c r="M3" s="7" t="s">
        <v>48</v>
      </c>
      <c r="N3" s="7" t="s">
        <v>49</v>
      </c>
      <c r="O3" s="7" t="s">
        <v>50</v>
      </c>
      <c r="P3" s="7" t="s">
        <v>51</v>
      </c>
      <c r="Q3" s="7" t="s">
        <v>52</v>
      </c>
      <c r="R3" s="7" t="s">
        <v>53</v>
      </c>
      <c r="T3" s="7" t="s">
        <v>54</v>
      </c>
      <c r="U3" s="9"/>
      <c r="V3" s="9"/>
      <c r="W3" s="9"/>
    </row>
    <row r="4">
      <c r="A4" s="6">
        <v>44966.681623240744</v>
      </c>
      <c r="B4" s="7" t="s">
        <v>25</v>
      </c>
      <c r="C4" s="7" t="s">
        <v>55</v>
      </c>
      <c r="D4" s="7" t="s">
        <v>56</v>
      </c>
      <c r="E4" s="7" t="s">
        <v>57</v>
      </c>
      <c r="F4" s="7" t="s">
        <v>58</v>
      </c>
      <c r="G4" s="7" t="s">
        <v>59</v>
      </c>
      <c r="H4" s="7" t="s">
        <v>60</v>
      </c>
      <c r="I4" s="7" t="s">
        <v>33</v>
      </c>
      <c r="K4" s="7" t="s">
        <v>47</v>
      </c>
      <c r="L4" s="8" t="s">
        <v>35</v>
      </c>
      <c r="M4" s="7" t="s">
        <v>61</v>
      </c>
      <c r="N4" s="7" t="s">
        <v>49</v>
      </c>
      <c r="O4" s="7" t="s">
        <v>62</v>
      </c>
      <c r="P4" s="7" t="s">
        <v>51</v>
      </c>
      <c r="Q4" s="7" t="s">
        <v>63</v>
      </c>
      <c r="R4" s="7" t="s">
        <v>53</v>
      </c>
      <c r="T4" s="7" t="s">
        <v>54</v>
      </c>
      <c r="U4" s="9"/>
      <c r="V4" s="9"/>
      <c r="W4" s="9"/>
    </row>
    <row r="5">
      <c r="A5" s="6">
        <v>44966.68492431713</v>
      </c>
      <c r="B5" s="7" t="s">
        <v>25</v>
      </c>
      <c r="C5" s="7" t="s">
        <v>64</v>
      </c>
      <c r="D5" s="7" t="s">
        <v>65</v>
      </c>
      <c r="E5" s="7" t="s">
        <v>28</v>
      </c>
      <c r="F5" s="7" t="s">
        <v>66</v>
      </c>
      <c r="G5" s="7" t="s">
        <v>59</v>
      </c>
      <c r="H5" s="7" t="s">
        <v>67</v>
      </c>
      <c r="I5" s="7" t="s">
        <v>32</v>
      </c>
      <c r="J5" s="7" t="s">
        <v>68</v>
      </c>
      <c r="K5" s="7" t="s">
        <v>69</v>
      </c>
      <c r="L5" s="8" t="s">
        <v>35</v>
      </c>
      <c r="M5" s="7" t="s">
        <v>70</v>
      </c>
      <c r="N5" s="7" t="s">
        <v>37</v>
      </c>
      <c r="O5" s="7" t="s">
        <v>71</v>
      </c>
      <c r="P5" s="7" t="s">
        <v>39</v>
      </c>
      <c r="Q5" s="7" t="s">
        <v>72</v>
      </c>
      <c r="R5" s="7" t="s">
        <v>41</v>
      </c>
      <c r="T5" s="7" t="s">
        <v>42</v>
      </c>
      <c r="U5" s="9"/>
      <c r="V5" s="9"/>
      <c r="W5" s="9"/>
    </row>
    <row r="6">
      <c r="A6" s="10">
        <v>44986.476156018514</v>
      </c>
      <c r="B6" s="11" t="s">
        <v>25</v>
      </c>
      <c r="C6" s="11" t="s">
        <v>73</v>
      </c>
      <c r="D6" s="11" t="s">
        <v>74</v>
      </c>
      <c r="E6" s="11" t="s">
        <v>75</v>
      </c>
      <c r="F6" s="11" t="s">
        <v>58</v>
      </c>
      <c r="G6" s="11" t="s">
        <v>30</v>
      </c>
      <c r="H6" s="11" t="s">
        <v>76</v>
      </c>
      <c r="I6" s="11" t="s">
        <v>33</v>
      </c>
      <c r="J6" s="11" t="s">
        <v>32</v>
      </c>
      <c r="K6" s="11" t="s">
        <v>47</v>
      </c>
      <c r="L6" s="12" t="s">
        <v>77</v>
      </c>
      <c r="M6" s="11" t="s">
        <v>78</v>
      </c>
      <c r="N6" s="11" t="s">
        <v>49</v>
      </c>
      <c r="O6" s="11" t="s">
        <v>79</v>
      </c>
      <c r="P6" s="11" t="s">
        <v>51</v>
      </c>
      <c r="Q6" s="11" t="s">
        <v>80</v>
      </c>
      <c r="R6" s="11" t="s">
        <v>41</v>
      </c>
      <c r="S6" s="13"/>
      <c r="T6" s="11" t="s">
        <v>54</v>
      </c>
      <c r="U6" s="14"/>
      <c r="V6" s="14"/>
      <c r="W6" s="14"/>
      <c r="X6" s="13"/>
      <c r="Y6" s="13"/>
      <c r="Z6" s="13"/>
      <c r="AA6" s="13"/>
      <c r="AB6" s="13"/>
      <c r="AC6" s="13"/>
    </row>
    <row r="7">
      <c r="A7" s="10">
        <v>44986.477727314814</v>
      </c>
      <c r="B7" s="11" t="s">
        <v>25</v>
      </c>
      <c r="C7" s="11" t="s">
        <v>81</v>
      </c>
      <c r="D7" s="11" t="s">
        <v>82</v>
      </c>
      <c r="E7" s="11" t="s">
        <v>75</v>
      </c>
      <c r="F7" s="11" t="s">
        <v>29</v>
      </c>
      <c r="G7" s="11" t="s">
        <v>30</v>
      </c>
      <c r="H7" s="11" t="s">
        <v>83</v>
      </c>
      <c r="I7" s="11" t="s">
        <v>33</v>
      </c>
      <c r="J7" s="13"/>
      <c r="K7" s="11" t="s">
        <v>34</v>
      </c>
      <c r="L7" s="12" t="s">
        <v>77</v>
      </c>
      <c r="M7" s="11" t="s">
        <v>70</v>
      </c>
      <c r="N7" s="11" t="s">
        <v>49</v>
      </c>
      <c r="O7" s="11" t="s">
        <v>84</v>
      </c>
      <c r="P7" s="11" t="s">
        <v>51</v>
      </c>
      <c r="Q7" s="11" t="s">
        <v>85</v>
      </c>
      <c r="R7" s="11" t="s">
        <v>41</v>
      </c>
      <c r="S7" s="13"/>
      <c r="T7" s="11" t="s">
        <v>54</v>
      </c>
      <c r="U7" s="14"/>
      <c r="V7" s="14"/>
      <c r="W7" s="14"/>
      <c r="X7" s="13"/>
      <c r="Y7" s="13"/>
      <c r="Z7" s="13"/>
      <c r="AA7" s="13"/>
      <c r="AB7" s="13"/>
      <c r="AC7" s="13"/>
    </row>
    <row r="8">
      <c r="A8" s="10">
        <v>44986.48092320602</v>
      </c>
      <c r="B8" s="11" t="s">
        <v>25</v>
      </c>
      <c r="C8" s="11" t="s">
        <v>86</v>
      </c>
      <c r="D8" s="11" t="s">
        <v>87</v>
      </c>
      <c r="E8" s="11" t="s">
        <v>75</v>
      </c>
      <c r="F8" s="11" t="s">
        <v>58</v>
      </c>
      <c r="G8" s="11" t="s">
        <v>30</v>
      </c>
      <c r="H8" s="11" t="s">
        <v>46</v>
      </c>
      <c r="I8" s="11" t="s">
        <v>33</v>
      </c>
      <c r="J8" s="11" t="s">
        <v>88</v>
      </c>
      <c r="K8" s="11" t="s">
        <v>34</v>
      </c>
      <c r="L8" s="12" t="s">
        <v>77</v>
      </c>
      <c r="M8" s="11" t="s">
        <v>70</v>
      </c>
      <c r="N8" s="11" t="s">
        <v>89</v>
      </c>
      <c r="O8" s="11" t="s">
        <v>90</v>
      </c>
      <c r="P8" s="11" t="s">
        <v>39</v>
      </c>
      <c r="Q8" s="11" t="s">
        <v>91</v>
      </c>
      <c r="R8" s="11" t="s">
        <v>53</v>
      </c>
      <c r="S8" s="11" t="s">
        <v>92</v>
      </c>
      <c r="T8" s="11" t="s">
        <v>42</v>
      </c>
      <c r="U8" s="14"/>
      <c r="V8" s="14"/>
      <c r="W8" s="14"/>
      <c r="X8" s="13"/>
      <c r="Y8" s="13"/>
      <c r="Z8" s="13"/>
      <c r="AA8" s="13"/>
      <c r="AB8" s="13"/>
      <c r="AC8" s="13"/>
    </row>
    <row r="9">
      <c r="A9" s="10">
        <v>44986.48334795139</v>
      </c>
      <c r="B9" s="11" t="s">
        <v>25</v>
      </c>
      <c r="C9" s="11" t="s">
        <v>93</v>
      </c>
      <c r="D9" s="11" t="s">
        <v>94</v>
      </c>
      <c r="E9" s="11" t="s">
        <v>95</v>
      </c>
      <c r="F9" s="11" t="s">
        <v>96</v>
      </c>
      <c r="G9" s="11" t="s">
        <v>59</v>
      </c>
      <c r="H9" s="11" t="s">
        <v>67</v>
      </c>
      <c r="I9" s="11" t="s">
        <v>97</v>
      </c>
      <c r="J9" s="11" t="s">
        <v>33</v>
      </c>
      <c r="K9" s="11" t="s">
        <v>98</v>
      </c>
      <c r="L9" s="12" t="s">
        <v>77</v>
      </c>
      <c r="M9" s="11" t="s">
        <v>70</v>
      </c>
      <c r="N9" s="11" t="s">
        <v>49</v>
      </c>
      <c r="O9" s="11" t="s">
        <v>99</v>
      </c>
      <c r="P9" s="11" t="s">
        <v>51</v>
      </c>
      <c r="Q9" s="11" t="s">
        <v>100</v>
      </c>
      <c r="R9" s="11" t="s">
        <v>41</v>
      </c>
      <c r="S9" s="13"/>
      <c r="T9" s="11" t="s">
        <v>42</v>
      </c>
      <c r="U9" s="14"/>
      <c r="V9" s="14"/>
      <c r="W9" s="14"/>
      <c r="X9" s="13"/>
      <c r="Y9" s="13"/>
      <c r="Z9" s="13"/>
      <c r="AA9" s="13"/>
      <c r="AB9" s="13"/>
      <c r="AC9" s="13"/>
    </row>
    <row r="10">
      <c r="A10" s="6">
        <v>45013.936798738425</v>
      </c>
      <c r="B10" s="7" t="s">
        <v>101</v>
      </c>
      <c r="C10" s="7" t="s">
        <v>102</v>
      </c>
      <c r="D10" s="7" t="s">
        <v>103</v>
      </c>
      <c r="E10" s="7" t="s">
        <v>104</v>
      </c>
      <c r="F10" s="7" t="s">
        <v>105</v>
      </c>
      <c r="G10" s="7" t="s">
        <v>106</v>
      </c>
      <c r="H10" s="7" t="s">
        <v>107</v>
      </c>
      <c r="I10" s="7" t="s">
        <v>108</v>
      </c>
      <c r="K10" s="7" t="s">
        <v>109</v>
      </c>
      <c r="L10" s="8" t="s">
        <v>110</v>
      </c>
      <c r="M10" s="7" t="s">
        <v>70</v>
      </c>
      <c r="N10" s="7" t="s">
        <v>89</v>
      </c>
      <c r="O10" s="7" t="s">
        <v>111</v>
      </c>
      <c r="P10" s="7" t="s">
        <v>39</v>
      </c>
      <c r="Q10" s="7" t="s">
        <v>112</v>
      </c>
      <c r="R10" s="7" t="s">
        <v>41</v>
      </c>
      <c r="T10" s="7" t="s">
        <v>42</v>
      </c>
      <c r="U10" s="7" t="s">
        <v>113</v>
      </c>
      <c r="V10" s="7" t="s">
        <v>114</v>
      </c>
    </row>
    <row r="11">
      <c r="A11" s="6">
        <v>45027.559197083334</v>
      </c>
      <c r="B11" s="7" t="s">
        <v>25</v>
      </c>
      <c r="C11" s="7" t="s">
        <v>115</v>
      </c>
      <c r="D11" s="7" t="s">
        <v>94</v>
      </c>
      <c r="E11" s="7" t="s">
        <v>28</v>
      </c>
      <c r="F11" s="7" t="s">
        <v>29</v>
      </c>
      <c r="G11" s="7" t="s">
        <v>30</v>
      </c>
      <c r="H11" s="7" t="s">
        <v>116</v>
      </c>
      <c r="I11" s="7" t="s">
        <v>33</v>
      </c>
      <c r="J11" s="7" t="s">
        <v>32</v>
      </c>
      <c r="K11" s="7" t="s">
        <v>117</v>
      </c>
      <c r="L11" s="8" t="s">
        <v>110</v>
      </c>
      <c r="M11" s="7" t="s">
        <v>70</v>
      </c>
      <c r="N11" s="7" t="s">
        <v>37</v>
      </c>
      <c r="O11" s="7" t="s">
        <v>118</v>
      </c>
      <c r="P11" s="7" t="s">
        <v>39</v>
      </c>
      <c r="Q11" s="7" t="s">
        <v>119</v>
      </c>
      <c r="R11" s="7" t="s">
        <v>41</v>
      </c>
      <c r="T11" s="7" t="s">
        <v>42</v>
      </c>
    </row>
    <row r="12">
      <c r="A12" s="6">
        <v>45027.56337751157</v>
      </c>
      <c r="B12" s="7" t="s">
        <v>25</v>
      </c>
      <c r="C12" s="7" t="s">
        <v>120</v>
      </c>
      <c r="D12" s="7" t="s">
        <v>121</v>
      </c>
      <c r="E12" s="7" t="s">
        <v>75</v>
      </c>
      <c r="F12" s="7" t="s">
        <v>58</v>
      </c>
      <c r="G12" s="7" t="s">
        <v>59</v>
      </c>
      <c r="H12" s="7" t="s">
        <v>122</v>
      </c>
      <c r="I12" s="7" t="s">
        <v>33</v>
      </c>
      <c r="J12" s="7" t="s">
        <v>123</v>
      </c>
      <c r="K12" s="7" t="s">
        <v>124</v>
      </c>
      <c r="L12" s="8" t="s">
        <v>110</v>
      </c>
      <c r="M12" s="7" t="s">
        <v>78</v>
      </c>
      <c r="N12" s="7" t="s">
        <v>37</v>
      </c>
      <c r="O12" s="7" t="s">
        <v>125</v>
      </c>
      <c r="P12" s="7" t="s">
        <v>39</v>
      </c>
      <c r="Q12" s="7" t="s">
        <v>126</v>
      </c>
      <c r="R12" s="7" t="s">
        <v>41</v>
      </c>
      <c r="T12" s="7" t="s">
        <v>42</v>
      </c>
    </row>
    <row r="13">
      <c r="A13" s="6">
        <v>45027.567468078705</v>
      </c>
      <c r="B13" s="7" t="s">
        <v>25</v>
      </c>
      <c r="C13" s="7" t="s">
        <v>127</v>
      </c>
      <c r="D13" s="7" t="s">
        <v>128</v>
      </c>
      <c r="E13" s="7" t="s">
        <v>129</v>
      </c>
      <c r="F13" s="7" t="s">
        <v>29</v>
      </c>
      <c r="G13" s="7" t="s">
        <v>30</v>
      </c>
      <c r="H13" s="7" t="s">
        <v>130</v>
      </c>
      <c r="I13" s="7" t="s">
        <v>32</v>
      </c>
      <c r="J13" s="7" t="s">
        <v>33</v>
      </c>
      <c r="K13" s="7" t="s">
        <v>34</v>
      </c>
      <c r="L13" s="8" t="s">
        <v>110</v>
      </c>
      <c r="M13" s="7" t="s">
        <v>70</v>
      </c>
      <c r="N13" s="7" t="s">
        <v>37</v>
      </c>
      <c r="O13" s="7" t="s">
        <v>131</v>
      </c>
      <c r="P13" s="7" t="s">
        <v>39</v>
      </c>
      <c r="Q13" s="7" t="s">
        <v>132</v>
      </c>
      <c r="R13" s="7" t="s">
        <v>41</v>
      </c>
      <c r="T13" s="7" t="s">
        <v>42</v>
      </c>
    </row>
    <row r="14">
      <c r="A14" s="6">
        <v>45027.57431524305</v>
      </c>
      <c r="B14" s="7" t="s">
        <v>25</v>
      </c>
      <c r="C14" s="7" t="s">
        <v>133</v>
      </c>
      <c r="D14" s="7" t="s">
        <v>134</v>
      </c>
      <c r="E14" s="7" t="s">
        <v>28</v>
      </c>
      <c r="F14" s="7" t="s">
        <v>29</v>
      </c>
      <c r="G14" s="7" t="s">
        <v>30</v>
      </c>
      <c r="H14" s="7" t="s">
        <v>135</v>
      </c>
      <c r="I14" s="7" t="s">
        <v>33</v>
      </c>
      <c r="K14" s="7" t="s">
        <v>136</v>
      </c>
      <c r="L14" s="8" t="s">
        <v>110</v>
      </c>
      <c r="M14" s="7" t="s">
        <v>78</v>
      </c>
      <c r="N14" s="7" t="s">
        <v>49</v>
      </c>
      <c r="O14" s="7" t="s">
        <v>137</v>
      </c>
      <c r="P14" s="7" t="s">
        <v>51</v>
      </c>
      <c r="T14" s="7" t="s">
        <v>54</v>
      </c>
      <c r="U14" s="7" t="s">
        <v>138</v>
      </c>
      <c r="V14" s="7" t="s">
        <v>139</v>
      </c>
      <c r="W14" s="7" t="s">
        <v>140</v>
      </c>
    </row>
    <row r="15">
      <c r="A15" s="6">
        <v>45027.58131129629</v>
      </c>
      <c r="B15" s="7" t="s">
        <v>25</v>
      </c>
      <c r="C15" s="7" t="s">
        <v>141</v>
      </c>
      <c r="D15" s="7" t="s">
        <v>94</v>
      </c>
      <c r="E15" s="7" t="s">
        <v>142</v>
      </c>
      <c r="F15" s="7" t="s">
        <v>58</v>
      </c>
      <c r="G15" s="7" t="s">
        <v>59</v>
      </c>
      <c r="H15" s="7" t="s">
        <v>143</v>
      </c>
      <c r="I15" s="7" t="s">
        <v>33</v>
      </c>
      <c r="K15" s="7" t="s">
        <v>69</v>
      </c>
      <c r="L15" s="8" t="s">
        <v>110</v>
      </c>
      <c r="M15" s="7" t="s">
        <v>70</v>
      </c>
      <c r="N15" s="7" t="s">
        <v>89</v>
      </c>
      <c r="O15" s="7" t="s">
        <v>71</v>
      </c>
      <c r="P15" s="7" t="s">
        <v>51</v>
      </c>
      <c r="Q15" s="7" t="s">
        <v>144</v>
      </c>
      <c r="R15" s="7" t="s">
        <v>53</v>
      </c>
      <c r="T15" s="7" t="s">
        <v>54</v>
      </c>
    </row>
    <row r="16">
      <c r="A16" s="6">
        <v>45027.58707314815</v>
      </c>
      <c r="B16" s="7" t="s">
        <v>25</v>
      </c>
      <c r="C16" s="7" t="s">
        <v>145</v>
      </c>
      <c r="D16" s="7" t="s">
        <v>146</v>
      </c>
      <c r="E16" s="7" t="s">
        <v>75</v>
      </c>
      <c r="F16" s="7" t="s">
        <v>58</v>
      </c>
      <c r="G16" s="7" t="s">
        <v>59</v>
      </c>
      <c r="H16" s="7" t="s">
        <v>147</v>
      </c>
      <c r="I16" s="7" t="s">
        <v>33</v>
      </c>
      <c r="J16" s="7" t="s">
        <v>148</v>
      </c>
      <c r="K16" s="7" t="s">
        <v>149</v>
      </c>
      <c r="L16" s="8" t="s">
        <v>110</v>
      </c>
      <c r="M16" s="7" t="s">
        <v>78</v>
      </c>
      <c r="N16" s="7" t="s">
        <v>37</v>
      </c>
      <c r="O16" s="7" t="s">
        <v>150</v>
      </c>
      <c r="P16" s="7" t="s">
        <v>39</v>
      </c>
      <c r="Q16" s="7" t="s">
        <v>151</v>
      </c>
      <c r="R16" s="7" t="s">
        <v>41</v>
      </c>
      <c r="T16" s="7" t="s">
        <v>54</v>
      </c>
    </row>
    <row r="17">
      <c r="A17" s="10">
        <v>45047.49862585648</v>
      </c>
      <c r="B17" s="11" t="s">
        <v>152</v>
      </c>
      <c r="C17" s="11" t="s">
        <v>153</v>
      </c>
      <c r="D17" s="11" t="s">
        <v>154</v>
      </c>
      <c r="E17" s="11" t="s">
        <v>155</v>
      </c>
      <c r="F17" s="11" t="s">
        <v>29</v>
      </c>
      <c r="G17" s="11" t="s">
        <v>30</v>
      </c>
      <c r="H17" s="11" t="s">
        <v>46</v>
      </c>
      <c r="I17" s="11" t="s">
        <v>156</v>
      </c>
      <c r="J17" s="13"/>
      <c r="K17" s="11" t="s">
        <v>157</v>
      </c>
      <c r="L17" s="12" t="s">
        <v>158</v>
      </c>
      <c r="M17" s="11" t="s">
        <v>70</v>
      </c>
      <c r="N17" s="11" t="s">
        <v>49</v>
      </c>
      <c r="O17" s="11" t="s">
        <v>159</v>
      </c>
      <c r="P17" s="11" t="s">
        <v>51</v>
      </c>
      <c r="Q17" s="13"/>
      <c r="R17" s="13"/>
      <c r="S17" s="13"/>
      <c r="T17" s="11" t="s">
        <v>42</v>
      </c>
      <c r="U17" s="11" t="s">
        <v>160</v>
      </c>
      <c r="V17" s="11" t="s">
        <v>161</v>
      </c>
      <c r="W17" s="13"/>
      <c r="X17" s="13"/>
      <c r="Y17" s="13"/>
      <c r="Z17" s="13"/>
      <c r="AA17" s="13"/>
      <c r="AB17" s="13"/>
      <c r="AC17" s="13"/>
    </row>
    <row r="18">
      <c r="A18" s="10">
        <v>45047.50068591435</v>
      </c>
      <c r="B18" s="11" t="s">
        <v>152</v>
      </c>
      <c r="C18" s="11" t="s">
        <v>162</v>
      </c>
      <c r="D18" s="11" t="s">
        <v>154</v>
      </c>
      <c r="E18" s="11" t="s">
        <v>155</v>
      </c>
      <c r="F18" s="11" t="s">
        <v>29</v>
      </c>
      <c r="G18" s="11" t="s">
        <v>30</v>
      </c>
      <c r="H18" s="11" t="s">
        <v>46</v>
      </c>
      <c r="I18" s="11" t="s">
        <v>156</v>
      </c>
      <c r="J18" s="13"/>
      <c r="K18" s="11" t="s">
        <v>157</v>
      </c>
      <c r="L18" s="12" t="s">
        <v>158</v>
      </c>
      <c r="M18" s="11" t="s">
        <v>78</v>
      </c>
      <c r="N18" s="11" t="s">
        <v>49</v>
      </c>
      <c r="O18" s="11" t="s">
        <v>163</v>
      </c>
      <c r="P18" s="11" t="s">
        <v>51</v>
      </c>
      <c r="Q18" s="13"/>
      <c r="R18" s="13"/>
      <c r="S18" s="13"/>
      <c r="T18" s="11" t="s">
        <v>42</v>
      </c>
      <c r="U18" s="11" t="s">
        <v>164</v>
      </c>
      <c r="V18" s="13"/>
      <c r="W18" s="13"/>
      <c r="X18" s="13"/>
      <c r="Y18" s="13"/>
      <c r="Z18" s="13"/>
      <c r="AA18" s="13"/>
      <c r="AB18" s="13"/>
      <c r="AC18" s="13"/>
    </row>
    <row r="19">
      <c r="A19" s="10">
        <v>45050.537829050925</v>
      </c>
      <c r="B19" s="11" t="s">
        <v>25</v>
      </c>
      <c r="C19" s="11" t="s">
        <v>165</v>
      </c>
      <c r="D19" s="11" t="s">
        <v>166</v>
      </c>
      <c r="E19" s="11" t="s">
        <v>28</v>
      </c>
      <c r="F19" s="11" t="s">
        <v>29</v>
      </c>
      <c r="G19" s="11" t="s">
        <v>106</v>
      </c>
      <c r="H19" s="11" t="s">
        <v>167</v>
      </c>
      <c r="I19" s="11" t="s">
        <v>33</v>
      </c>
      <c r="J19" s="11" t="s">
        <v>168</v>
      </c>
      <c r="K19" s="11" t="s">
        <v>34</v>
      </c>
      <c r="L19" s="12" t="s">
        <v>158</v>
      </c>
      <c r="M19" s="11" t="s">
        <v>70</v>
      </c>
      <c r="N19" s="11" t="s">
        <v>169</v>
      </c>
      <c r="O19" s="11" t="s">
        <v>170</v>
      </c>
      <c r="P19" s="11" t="s">
        <v>39</v>
      </c>
      <c r="Q19" s="11" t="s">
        <v>171</v>
      </c>
      <c r="R19" s="11" t="s">
        <v>53</v>
      </c>
      <c r="S19" s="13"/>
      <c r="T19" s="11" t="s">
        <v>54</v>
      </c>
      <c r="U19" s="11" t="s">
        <v>172</v>
      </c>
      <c r="V19" s="13"/>
      <c r="W19" s="13"/>
      <c r="X19" s="13"/>
      <c r="Y19" s="13"/>
      <c r="Z19" s="13"/>
      <c r="AA19" s="13"/>
      <c r="AB19" s="13"/>
      <c r="AC19" s="13"/>
    </row>
    <row r="20">
      <c r="A20" s="10">
        <v>45050.55023576389</v>
      </c>
      <c r="B20" s="11" t="s">
        <v>25</v>
      </c>
      <c r="C20" s="11" t="s">
        <v>173</v>
      </c>
      <c r="D20" s="11" t="s">
        <v>174</v>
      </c>
      <c r="E20" s="11" t="s">
        <v>75</v>
      </c>
      <c r="F20" s="11" t="s">
        <v>29</v>
      </c>
      <c r="G20" s="11" t="s">
        <v>30</v>
      </c>
      <c r="H20" s="11" t="s">
        <v>175</v>
      </c>
      <c r="I20" s="11" t="s">
        <v>33</v>
      </c>
      <c r="J20" s="11" t="s">
        <v>97</v>
      </c>
      <c r="K20" s="11" t="s">
        <v>34</v>
      </c>
      <c r="L20" s="12" t="s">
        <v>158</v>
      </c>
      <c r="M20" s="11" t="s">
        <v>61</v>
      </c>
      <c r="N20" s="11" t="s">
        <v>49</v>
      </c>
      <c r="O20" s="11" t="s">
        <v>176</v>
      </c>
      <c r="P20" s="11" t="s">
        <v>51</v>
      </c>
      <c r="Q20" s="11" t="s">
        <v>177</v>
      </c>
      <c r="R20" s="11" t="s">
        <v>41</v>
      </c>
      <c r="S20" s="13"/>
      <c r="T20" s="11" t="s">
        <v>54</v>
      </c>
      <c r="U20" s="13"/>
      <c r="V20" s="13"/>
      <c r="W20" s="13"/>
      <c r="X20" s="13"/>
      <c r="Y20" s="13"/>
      <c r="Z20" s="13"/>
      <c r="AA20" s="13"/>
      <c r="AB20" s="13"/>
      <c r="AC20" s="13"/>
    </row>
    <row r="21">
      <c r="A21" s="10">
        <v>45050.55284887731</v>
      </c>
      <c r="B21" s="11" t="s">
        <v>25</v>
      </c>
      <c r="C21" s="11" t="s">
        <v>178</v>
      </c>
      <c r="D21" s="11" t="s">
        <v>179</v>
      </c>
      <c r="E21" s="11" t="s">
        <v>75</v>
      </c>
      <c r="F21" s="11" t="s">
        <v>29</v>
      </c>
      <c r="G21" s="11" t="s">
        <v>30</v>
      </c>
      <c r="H21" s="11" t="s">
        <v>180</v>
      </c>
      <c r="I21" s="11" t="s">
        <v>33</v>
      </c>
      <c r="J21" s="13"/>
      <c r="K21" s="11" t="s">
        <v>47</v>
      </c>
      <c r="L21" s="12" t="s">
        <v>158</v>
      </c>
      <c r="M21" s="11" t="s">
        <v>181</v>
      </c>
      <c r="N21" s="11" t="s">
        <v>169</v>
      </c>
      <c r="O21" s="11" t="s">
        <v>182</v>
      </c>
      <c r="P21" s="11" t="s">
        <v>39</v>
      </c>
      <c r="Q21" s="11" t="s">
        <v>183</v>
      </c>
      <c r="R21" s="11" t="s">
        <v>53</v>
      </c>
      <c r="S21" s="13"/>
      <c r="T21" s="11" t="s">
        <v>54</v>
      </c>
      <c r="U21" s="13"/>
      <c r="V21" s="13"/>
      <c r="W21" s="13"/>
      <c r="X21" s="13"/>
      <c r="Y21" s="13"/>
      <c r="Z21" s="13"/>
      <c r="AA21" s="13"/>
      <c r="AB21" s="13"/>
      <c r="AC21" s="13"/>
    </row>
    <row r="22">
      <c r="A22" s="10">
        <v>45050.55526226852</v>
      </c>
      <c r="B22" s="11" t="s">
        <v>25</v>
      </c>
      <c r="C22" s="11" t="s">
        <v>184</v>
      </c>
      <c r="D22" s="11" t="s">
        <v>185</v>
      </c>
      <c r="E22" s="11" t="s">
        <v>45</v>
      </c>
      <c r="F22" s="11" t="s">
        <v>29</v>
      </c>
      <c r="G22" s="11" t="s">
        <v>30</v>
      </c>
      <c r="H22" s="11" t="s">
        <v>186</v>
      </c>
      <c r="I22" s="11" t="s">
        <v>33</v>
      </c>
      <c r="J22" s="11" t="s">
        <v>32</v>
      </c>
      <c r="K22" s="11" t="s">
        <v>69</v>
      </c>
      <c r="L22" s="12" t="s">
        <v>158</v>
      </c>
      <c r="M22" s="11" t="s">
        <v>70</v>
      </c>
      <c r="N22" s="11" t="s">
        <v>169</v>
      </c>
      <c r="O22" s="11" t="s">
        <v>187</v>
      </c>
      <c r="P22" s="11" t="s">
        <v>39</v>
      </c>
      <c r="Q22" s="11" t="s">
        <v>188</v>
      </c>
      <c r="R22" s="11" t="s">
        <v>41</v>
      </c>
      <c r="S22" s="13"/>
      <c r="T22" s="11" t="s">
        <v>42</v>
      </c>
      <c r="U22" s="13"/>
      <c r="V22" s="13"/>
      <c r="W22" s="13"/>
      <c r="X22" s="13"/>
      <c r="Y22" s="13"/>
      <c r="Z22" s="13"/>
      <c r="AA22" s="13"/>
      <c r="AB22" s="13"/>
      <c r="AC22" s="13"/>
    </row>
    <row r="23">
      <c r="A23" s="10">
        <v>45050.55778135417</v>
      </c>
      <c r="B23" s="11" t="s">
        <v>25</v>
      </c>
      <c r="C23" s="11" t="s">
        <v>189</v>
      </c>
      <c r="D23" s="11" t="s">
        <v>190</v>
      </c>
      <c r="E23" s="11" t="s">
        <v>75</v>
      </c>
      <c r="F23" s="11" t="s">
        <v>29</v>
      </c>
      <c r="G23" s="11" t="s">
        <v>59</v>
      </c>
      <c r="H23" s="11" t="s">
        <v>191</v>
      </c>
      <c r="I23" s="11" t="s">
        <v>33</v>
      </c>
      <c r="J23" s="13"/>
      <c r="K23" s="11" t="s">
        <v>47</v>
      </c>
      <c r="L23" s="12" t="s">
        <v>158</v>
      </c>
      <c r="M23" s="11" t="s">
        <v>70</v>
      </c>
      <c r="N23" s="11" t="s">
        <v>169</v>
      </c>
      <c r="O23" s="11" t="s">
        <v>192</v>
      </c>
      <c r="P23" s="11" t="s">
        <v>39</v>
      </c>
      <c r="Q23" s="11" t="s">
        <v>193</v>
      </c>
      <c r="R23" s="11" t="s">
        <v>41</v>
      </c>
      <c r="S23" s="13"/>
      <c r="T23" s="11" t="s">
        <v>42</v>
      </c>
      <c r="U23" s="13"/>
      <c r="V23" s="13"/>
      <c r="W23" s="13"/>
      <c r="X23" s="13"/>
      <c r="Y23" s="13"/>
      <c r="Z23" s="13"/>
      <c r="AA23" s="13"/>
      <c r="AB23" s="13"/>
      <c r="AC23" s="13"/>
    </row>
    <row r="24">
      <c r="A24" s="10">
        <v>45024.105990613425</v>
      </c>
      <c r="B24" s="11" t="s">
        <v>194</v>
      </c>
      <c r="C24" s="11" t="s">
        <v>195</v>
      </c>
      <c r="D24" s="11" t="s">
        <v>196</v>
      </c>
      <c r="E24" s="11" t="s">
        <v>197</v>
      </c>
      <c r="F24" s="11" t="s">
        <v>58</v>
      </c>
      <c r="G24" s="11" t="s">
        <v>59</v>
      </c>
      <c r="H24" s="11" t="s">
        <v>198</v>
      </c>
      <c r="I24" s="11" t="s">
        <v>199</v>
      </c>
      <c r="J24" s="13"/>
      <c r="K24" s="11" t="s">
        <v>200</v>
      </c>
      <c r="L24" s="12" t="s">
        <v>158</v>
      </c>
      <c r="M24" s="11" t="s">
        <v>70</v>
      </c>
      <c r="N24" s="11" t="s">
        <v>37</v>
      </c>
      <c r="O24" s="11" t="s">
        <v>201</v>
      </c>
      <c r="P24" s="11" t="s">
        <v>51</v>
      </c>
      <c r="Q24" s="13"/>
      <c r="R24" s="11" t="s">
        <v>41</v>
      </c>
      <c r="S24" s="13"/>
      <c r="T24" s="11" t="s">
        <v>42</v>
      </c>
      <c r="U24" s="11" t="s">
        <v>202</v>
      </c>
      <c r="V24" s="13"/>
      <c r="W24" s="11" t="s">
        <v>140</v>
      </c>
      <c r="X24" s="13"/>
      <c r="Y24" s="13"/>
      <c r="Z24" s="13"/>
      <c r="AA24" s="13"/>
      <c r="AB24" s="13"/>
      <c r="AC24" s="13"/>
    </row>
    <row r="25">
      <c r="A25" s="6">
        <v>45082.72392055555</v>
      </c>
      <c r="B25" s="7" t="s">
        <v>25</v>
      </c>
      <c r="C25" s="7" t="s">
        <v>203</v>
      </c>
      <c r="D25" s="7" t="s">
        <v>204</v>
      </c>
      <c r="E25" s="7" t="s">
        <v>205</v>
      </c>
      <c r="F25" s="7" t="s">
        <v>58</v>
      </c>
      <c r="G25" s="7" t="s">
        <v>59</v>
      </c>
      <c r="H25" s="7" t="s">
        <v>206</v>
      </c>
      <c r="I25" s="7" t="s">
        <v>33</v>
      </c>
      <c r="K25" s="7" t="s">
        <v>69</v>
      </c>
      <c r="L25" s="8" t="s">
        <v>207</v>
      </c>
      <c r="M25" s="7" t="s">
        <v>61</v>
      </c>
      <c r="N25" s="7" t="s">
        <v>169</v>
      </c>
      <c r="O25" s="7" t="s">
        <v>208</v>
      </c>
      <c r="P25" s="7" t="s">
        <v>39</v>
      </c>
      <c r="Q25" s="7" t="s">
        <v>209</v>
      </c>
      <c r="R25" s="7" t="s">
        <v>41</v>
      </c>
      <c r="T25" s="7" t="s">
        <v>54</v>
      </c>
    </row>
    <row r="26">
      <c r="A26" s="6">
        <v>45082.72878340278</v>
      </c>
      <c r="B26" s="7" t="s">
        <v>25</v>
      </c>
      <c r="C26" s="7" t="s">
        <v>210</v>
      </c>
      <c r="D26" s="7" t="s">
        <v>211</v>
      </c>
      <c r="E26" s="7" t="s">
        <v>45</v>
      </c>
      <c r="F26" s="7" t="s">
        <v>96</v>
      </c>
      <c r="G26" s="7" t="s">
        <v>59</v>
      </c>
      <c r="H26" s="7" t="s">
        <v>191</v>
      </c>
      <c r="I26" s="7" t="s">
        <v>33</v>
      </c>
      <c r="J26" s="7" t="s">
        <v>32</v>
      </c>
      <c r="K26" s="7" t="s">
        <v>47</v>
      </c>
      <c r="L26" s="8" t="s">
        <v>207</v>
      </c>
      <c r="M26" s="7" t="s">
        <v>78</v>
      </c>
      <c r="N26" s="7" t="s">
        <v>169</v>
      </c>
      <c r="O26" s="7" t="s">
        <v>212</v>
      </c>
      <c r="P26" s="7" t="s">
        <v>213</v>
      </c>
      <c r="Q26" s="7" t="s">
        <v>214</v>
      </c>
      <c r="R26" s="7" t="s">
        <v>53</v>
      </c>
      <c r="T26" s="7" t="s">
        <v>54</v>
      </c>
    </row>
    <row r="27">
      <c r="A27" s="6">
        <v>45082.75418636574</v>
      </c>
      <c r="B27" s="7" t="s">
        <v>25</v>
      </c>
      <c r="C27" s="7" t="s">
        <v>215</v>
      </c>
      <c r="D27" s="7" t="s">
        <v>216</v>
      </c>
      <c r="E27" s="7" t="s">
        <v>217</v>
      </c>
      <c r="F27" s="7" t="s">
        <v>29</v>
      </c>
      <c r="G27" s="7" t="s">
        <v>30</v>
      </c>
      <c r="H27" s="7" t="s">
        <v>46</v>
      </c>
      <c r="I27" s="7" t="s">
        <v>33</v>
      </c>
      <c r="J27" s="7" t="s">
        <v>218</v>
      </c>
      <c r="K27" s="7" t="s">
        <v>219</v>
      </c>
      <c r="L27" s="8" t="s">
        <v>207</v>
      </c>
      <c r="M27" s="7" t="s">
        <v>70</v>
      </c>
      <c r="N27" s="7" t="s">
        <v>169</v>
      </c>
      <c r="O27" s="7" t="s">
        <v>220</v>
      </c>
      <c r="P27" s="7" t="s">
        <v>39</v>
      </c>
      <c r="Q27" s="7" t="s">
        <v>221</v>
      </c>
      <c r="R27" s="7" t="s">
        <v>53</v>
      </c>
      <c r="T27" s="7" t="s">
        <v>42</v>
      </c>
    </row>
    <row r="28">
      <c r="A28" s="6">
        <v>45082.7581909375</v>
      </c>
      <c r="B28" s="7" t="s">
        <v>25</v>
      </c>
      <c r="C28" s="7" t="s">
        <v>222</v>
      </c>
      <c r="D28" s="7" t="s">
        <v>94</v>
      </c>
      <c r="E28" s="7" t="s">
        <v>75</v>
      </c>
      <c r="F28" s="7" t="s">
        <v>58</v>
      </c>
      <c r="G28" s="7" t="s">
        <v>59</v>
      </c>
      <c r="H28" s="7" t="s">
        <v>186</v>
      </c>
      <c r="I28" s="7" t="s">
        <v>33</v>
      </c>
      <c r="K28" s="7" t="s">
        <v>69</v>
      </c>
      <c r="L28" s="8" t="s">
        <v>207</v>
      </c>
      <c r="M28" s="7" t="s">
        <v>36</v>
      </c>
      <c r="N28" s="7" t="s">
        <v>169</v>
      </c>
      <c r="O28" s="7" t="s">
        <v>223</v>
      </c>
      <c r="P28" s="7" t="s">
        <v>39</v>
      </c>
      <c r="Q28" s="7" t="s">
        <v>224</v>
      </c>
      <c r="R28" s="7" t="s">
        <v>53</v>
      </c>
      <c r="T28" s="7" t="s">
        <v>42</v>
      </c>
    </row>
    <row r="29">
      <c r="A29" s="6">
        <v>45082.763682997684</v>
      </c>
      <c r="B29" s="7" t="s">
        <v>25</v>
      </c>
      <c r="C29" s="7" t="s">
        <v>225</v>
      </c>
      <c r="D29" s="7" t="s">
        <v>226</v>
      </c>
      <c r="E29" s="7" t="s">
        <v>227</v>
      </c>
      <c r="F29" s="7" t="s">
        <v>29</v>
      </c>
      <c r="G29" s="7" t="s">
        <v>30</v>
      </c>
      <c r="H29" s="7" t="s">
        <v>67</v>
      </c>
      <c r="I29" s="7" t="s">
        <v>33</v>
      </c>
      <c r="J29" s="7" t="s">
        <v>68</v>
      </c>
      <c r="K29" s="7" t="s">
        <v>219</v>
      </c>
      <c r="L29" s="8" t="s">
        <v>207</v>
      </c>
      <c r="M29" s="7" t="s">
        <v>61</v>
      </c>
      <c r="N29" s="7" t="s">
        <v>49</v>
      </c>
      <c r="O29" s="7" t="s">
        <v>228</v>
      </c>
      <c r="P29" s="7" t="s">
        <v>51</v>
      </c>
      <c r="Q29" s="7" t="s">
        <v>229</v>
      </c>
      <c r="R29" s="7" t="s">
        <v>53</v>
      </c>
      <c r="T29" s="7" t="s">
        <v>42</v>
      </c>
    </row>
    <row r="30">
      <c r="A30" s="6">
        <v>45082.76838729167</v>
      </c>
      <c r="B30" s="7" t="s">
        <v>25</v>
      </c>
      <c r="C30" s="7" t="s">
        <v>230</v>
      </c>
      <c r="D30" s="7" t="s">
        <v>231</v>
      </c>
      <c r="E30" s="7" t="s">
        <v>45</v>
      </c>
      <c r="F30" s="7" t="s">
        <v>58</v>
      </c>
      <c r="G30" s="7" t="s">
        <v>59</v>
      </c>
      <c r="H30" s="7" t="s">
        <v>232</v>
      </c>
      <c r="I30" s="7" t="s">
        <v>33</v>
      </c>
      <c r="J30" s="7" t="s">
        <v>32</v>
      </c>
      <c r="K30" s="7" t="s">
        <v>69</v>
      </c>
      <c r="L30" s="8" t="s">
        <v>207</v>
      </c>
      <c r="M30" s="7" t="s">
        <v>70</v>
      </c>
      <c r="N30" s="7" t="s">
        <v>169</v>
      </c>
      <c r="O30" s="7" t="s">
        <v>233</v>
      </c>
      <c r="P30" s="7" t="s">
        <v>39</v>
      </c>
      <c r="Q30" s="7" t="s">
        <v>234</v>
      </c>
      <c r="R30" s="7" t="s">
        <v>53</v>
      </c>
      <c r="T30" s="7" t="s">
        <v>42</v>
      </c>
    </row>
    <row r="31">
      <c r="A31" s="6">
        <v>45082.77170861111</v>
      </c>
      <c r="B31" s="7" t="s">
        <v>25</v>
      </c>
      <c r="C31" s="7" t="s">
        <v>235</v>
      </c>
      <c r="D31" s="7" t="s">
        <v>236</v>
      </c>
      <c r="E31" s="7" t="s">
        <v>237</v>
      </c>
      <c r="F31" s="7" t="s">
        <v>58</v>
      </c>
      <c r="G31" s="7" t="s">
        <v>59</v>
      </c>
      <c r="H31" s="7" t="s">
        <v>46</v>
      </c>
      <c r="I31" s="7" t="s">
        <v>33</v>
      </c>
      <c r="J31" s="7" t="s">
        <v>32</v>
      </c>
      <c r="K31" s="7" t="s">
        <v>34</v>
      </c>
      <c r="L31" s="8" t="s">
        <v>207</v>
      </c>
      <c r="M31" s="7" t="s">
        <v>70</v>
      </c>
      <c r="N31" s="7" t="s">
        <v>49</v>
      </c>
      <c r="O31" s="7" t="s">
        <v>38</v>
      </c>
      <c r="P31" s="7" t="s">
        <v>51</v>
      </c>
      <c r="Q31" s="7" t="s">
        <v>238</v>
      </c>
      <c r="R31" s="7" t="s">
        <v>41</v>
      </c>
      <c r="T31" s="7" t="s">
        <v>54</v>
      </c>
      <c r="U31" s="7" t="s">
        <v>239</v>
      </c>
      <c r="V31" s="7" t="s">
        <v>240</v>
      </c>
      <c r="W31" s="7" t="s">
        <v>140</v>
      </c>
    </row>
    <row r="32">
      <c r="A32" s="6">
        <v>45082.77505600694</v>
      </c>
      <c r="B32" s="7" t="s">
        <v>25</v>
      </c>
      <c r="C32" s="7" t="s">
        <v>241</v>
      </c>
      <c r="D32" s="7" t="s">
        <v>242</v>
      </c>
      <c r="E32" s="7" t="s">
        <v>75</v>
      </c>
      <c r="F32" s="7" t="s">
        <v>58</v>
      </c>
      <c r="G32" s="7" t="s">
        <v>59</v>
      </c>
      <c r="H32" s="7" t="s">
        <v>243</v>
      </c>
      <c r="I32" s="7" t="s">
        <v>32</v>
      </c>
      <c r="J32" s="7" t="s">
        <v>244</v>
      </c>
      <c r="K32" s="7" t="s">
        <v>47</v>
      </c>
      <c r="L32" s="8" t="s">
        <v>207</v>
      </c>
      <c r="M32" s="7" t="s">
        <v>70</v>
      </c>
      <c r="N32" s="7" t="s">
        <v>37</v>
      </c>
      <c r="O32" s="7" t="s">
        <v>245</v>
      </c>
      <c r="P32" s="7" t="s">
        <v>39</v>
      </c>
      <c r="Q32" s="7" t="s">
        <v>246</v>
      </c>
      <c r="R32" s="7" t="s">
        <v>53</v>
      </c>
      <c r="T32" s="7" t="s">
        <v>54</v>
      </c>
    </row>
    <row r="33">
      <c r="A33" s="15">
        <v>45107.35053898148</v>
      </c>
      <c r="B33" s="16" t="s">
        <v>247</v>
      </c>
      <c r="C33" s="16" t="s">
        <v>248</v>
      </c>
      <c r="D33" s="16" t="s">
        <v>249</v>
      </c>
      <c r="E33" s="16" t="s">
        <v>250</v>
      </c>
      <c r="F33" s="16" t="s">
        <v>96</v>
      </c>
      <c r="G33" s="16" t="s">
        <v>59</v>
      </c>
      <c r="H33" s="16" t="s">
        <v>251</v>
      </c>
      <c r="I33" s="16" t="s">
        <v>32</v>
      </c>
      <c r="J33" s="16" t="s">
        <v>252</v>
      </c>
      <c r="K33" s="16" t="s">
        <v>253</v>
      </c>
      <c r="L33" s="17" t="s">
        <v>254</v>
      </c>
      <c r="M33" s="16" t="s">
        <v>61</v>
      </c>
      <c r="N33" s="16" t="s">
        <v>255</v>
      </c>
      <c r="O33" s="16" t="s">
        <v>256</v>
      </c>
      <c r="P33" s="16" t="s">
        <v>39</v>
      </c>
      <c r="Q33" s="16" t="s">
        <v>257</v>
      </c>
      <c r="R33" s="16" t="s">
        <v>53</v>
      </c>
      <c r="S33" s="16" t="s">
        <v>258</v>
      </c>
      <c r="T33" s="16" t="s">
        <v>42</v>
      </c>
      <c r="U33" s="16" t="s">
        <v>259</v>
      </c>
      <c r="V33" s="16" t="s">
        <v>260</v>
      </c>
      <c r="W33" s="16" t="s">
        <v>140</v>
      </c>
      <c r="X33" s="18"/>
      <c r="Y33" s="18"/>
      <c r="Z33" s="18"/>
      <c r="AA33" s="18"/>
      <c r="AB33" s="18"/>
      <c r="AC33" s="18"/>
    </row>
    <row r="34">
      <c r="A34" s="15">
        <v>45107.35723649306</v>
      </c>
      <c r="B34" s="16" t="s">
        <v>247</v>
      </c>
      <c r="C34" s="16" t="s">
        <v>261</v>
      </c>
      <c r="D34" s="16" t="s">
        <v>262</v>
      </c>
      <c r="E34" s="16" t="s">
        <v>263</v>
      </c>
      <c r="F34" s="16" t="s">
        <v>96</v>
      </c>
      <c r="G34" s="16" t="s">
        <v>264</v>
      </c>
      <c r="H34" s="16" t="s">
        <v>251</v>
      </c>
      <c r="I34" s="16" t="s">
        <v>32</v>
      </c>
      <c r="J34" s="16" t="s">
        <v>252</v>
      </c>
      <c r="K34" s="16" t="s">
        <v>265</v>
      </c>
      <c r="L34" s="17" t="s">
        <v>254</v>
      </c>
      <c r="M34" s="16" t="s">
        <v>78</v>
      </c>
      <c r="N34" s="16" t="s">
        <v>89</v>
      </c>
      <c r="O34" s="16" t="s">
        <v>266</v>
      </c>
      <c r="P34" s="16" t="s">
        <v>39</v>
      </c>
      <c r="Q34" s="16" t="s">
        <v>267</v>
      </c>
      <c r="R34" s="16" t="s">
        <v>41</v>
      </c>
      <c r="S34" s="18"/>
      <c r="T34" s="16" t="s">
        <v>54</v>
      </c>
      <c r="U34" s="16" t="s">
        <v>268</v>
      </c>
      <c r="V34" s="18"/>
      <c r="W34" s="18"/>
      <c r="X34" s="18"/>
      <c r="Y34" s="18"/>
      <c r="Z34" s="18"/>
      <c r="AA34" s="18"/>
      <c r="AB34" s="18"/>
      <c r="AC34" s="18"/>
    </row>
    <row r="35">
      <c r="A35" s="15">
        <v>45107.36924490741</v>
      </c>
      <c r="B35" s="16" t="s">
        <v>247</v>
      </c>
      <c r="C35" s="16" t="s">
        <v>269</v>
      </c>
      <c r="D35" s="16" t="s">
        <v>270</v>
      </c>
      <c r="E35" s="16" t="s">
        <v>271</v>
      </c>
      <c r="F35" s="16" t="s">
        <v>96</v>
      </c>
      <c r="G35" s="16" t="s">
        <v>59</v>
      </c>
      <c r="H35" s="16" t="s">
        <v>67</v>
      </c>
      <c r="I35" s="16" t="s">
        <v>32</v>
      </c>
      <c r="J35" s="16" t="s">
        <v>218</v>
      </c>
      <c r="K35" s="16" t="s">
        <v>265</v>
      </c>
      <c r="L35" s="17" t="s">
        <v>254</v>
      </c>
      <c r="M35" s="16" t="s">
        <v>61</v>
      </c>
      <c r="N35" s="16" t="s">
        <v>255</v>
      </c>
      <c r="O35" s="16" t="s">
        <v>272</v>
      </c>
      <c r="P35" s="16" t="s">
        <v>39</v>
      </c>
      <c r="Q35" s="16" t="s">
        <v>273</v>
      </c>
      <c r="R35" s="16" t="s">
        <v>41</v>
      </c>
      <c r="S35" s="18"/>
      <c r="T35" s="16" t="s">
        <v>54</v>
      </c>
      <c r="U35" s="16" t="s">
        <v>274</v>
      </c>
      <c r="V35" s="18"/>
      <c r="W35" s="16" t="s">
        <v>275</v>
      </c>
      <c r="X35" s="18"/>
      <c r="Y35" s="18"/>
      <c r="Z35" s="18"/>
      <c r="AA35" s="18"/>
      <c r="AB35" s="18"/>
      <c r="AC35" s="18"/>
    </row>
    <row r="36">
      <c r="A36" s="15">
        <v>45110.678192430554</v>
      </c>
      <c r="B36" s="16" t="s">
        <v>247</v>
      </c>
      <c r="C36" s="16" t="s">
        <v>276</v>
      </c>
      <c r="D36" s="16" t="s">
        <v>277</v>
      </c>
      <c r="E36" s="16" t="s">
        <v>75</v>
      </c>
      <c r="F36" s="16" t="s">
        <v>58</v>
      </c>
      <c r="G36" s="16" t="s">
        <v>59</v>
      </c>
      <c r="H36" s="16" t="s">
        <v>251</v>
      </c>
      <c r="I36" s="16" t="s">
        <v>32</v>
      </c>
      <c r="J36" s="16" t="s">
        <v>252</v>
      </c>
      <c r="K36" s="16" t="s">
        <v>69</v>
      </c>
      <c r="L36" s="17" t="s">
        <v>254</v>
      </c>
      <c r="M36" s="16" t="s">
        <v>70</v>
      </c>
      <c r="N36" s="16" t="s">
        <v>89</v>
      </c>
      <c r="O36" s="16" t="s">
        <v>278</v>
      </c>
      <c r="P36" s="16" t="s">
        <v>51</v>
      </c>
      <c r="Q36" s="16" t="s">
        <v>279</v>
      </c>
      <c r="R36" s="16" t="s">
        <v>41</v>
      </c>
      <c r="S36" s="18"/>
      <c r="T36" s="16" t="s">
        <v>42</v>
      </c>
      <c r="U36" s="16" t="s">
        <v>280</v>
      </c>
      <c r="V36" s="18"/>
      <c r="W36" s="16" t="s">
        <v>281</v>
      </c>
      <c r="X36" s="18"/>
      <c r="Y36" s="18"/>
      <c r="Z36" s="18"/>
      <c r="AA36" s="18"/>
      <c r="AB36" s="18"/>
      <c r="AC36" s="18"/>
    </row>
    <row r="37">
      <c r="A37" s="15">
        <v>45110.686024826384</v>
      </c>
      <c r="B37" s="16" t="s">
        <v>247</v>
      </c>
      <c r="C37" s="16" t="s">
        <v>282</v>
      </c>
      <c r="D37" s="16" t="s">
        <v>283</v>
      </c>
      <c r="E37" s="16" t="s">
        <v>284</v>
      </c>
      <c r="F37" s="16" t="s">
        <v>29</v>
      </c>
      <c r="G37" s="16" t="s">
        <v>30</v>
      </c>
      <c r="H37" s="16" t="s">
        <v>67</v>
      </c>
      <c r="I37" s="16" t="s">
        <v>32</v>
      </c>
      <c r="J37" s="16" t="s">
        <v>252</v>
      </c>
      <c r="K37" s="16" t="s">
        <v>285</v>
      </c>
      <c r="L37" s="17" t="s">
        <v>254</v>
      </c>
      <c r="M37" s="16" t="s">
        <v>70</v>
      </c>
      <c r="N37" s="16" t="s">
        <v>89</v>
      </c>
      <c r="O37" s="16" t="s">
        <v>286</v>
      </c>
      <c r="P37" s="16" t="s">
        <v>51</v>
      </c>
      <c r="Q37" s="16" t="s">
        <v>287</v>
      </c>
      <c r="R37" s="16" t="s">
        <v>41</v>
      </c>
      <c r="S37" s="18"/>
      <c r="T37" s="16" t="s">
        <v>42</v>
      </c>
      <c r="U37" s="16" t="s">
        <v>288</v>
      </c>
      <c r="V37" s="18"/>
      <c r="W37" s="16" t="s">
        <v>140</v>
      </c>
      <c r="X37" s="18"/>
      <c r="Y37" s="18"/>
      <c r="Z37" s="18"/>
      <c r="AA37" s="18"/>
      <c r="AB37" s="18"/>
      <c r="AC37" s="18"/>
    </row>
    <row r="38">
      <c r="A38" s="15">
        <v>45110.699816886576</v>
      </c>
      <c r="B38" s="16" t="s">
        <v>247</v>
      </c>
      <c r="C38" s="16" t="s">
        <v>289</v>
      </c>
      <c r="D38" s="16" t="s">
        <v>290</v>
      </c>
      <c r="E38" s="16" t="s">
        <v>291</v>
      </c>
      <c r="F38" s="16" t="s">
        <v>58</v>
      </c>
      <c r="G38" s="16" t="s">
        <v>59</v>
      </c>
      <c r="H38" s="16" t="s">
        <v>292</v>
      </c>
      <c r="I38" s="16" t="s">
        <v>218</v>
      </c>
      <c r="J38" s="16" t="s">
        <v>32</v>
      </c>
      <c r="K38" s="16" t="s">
        <v>265</v>
      </c>
      <c r="L38" s="17" t="s">
        <v>254</v>
      </c>
      <c r="M38" s="16" t="s">
        <v>70</v>
      </c>
      <c r="N38" s="16" t="s">
        <v>49</v>
      </c>
      <c r="O38" s="16" t="s">
        <v>293</v>
      </c>
      <c r="P38" s="16" t="s">
        <v>51</v>
      </c>
      <c r="Q38" s="16" t="s">
        <v>294</v>
      </c>
      <c r="R38" s="16" t="s">
        <v>41</v>
      </c>
      <c r="S38" s="18"/>
      <c r="T38" s="16" t="s">
        <v>54</v>
      </c>
      <c r="U38" s="16" t="s">
        <v>295</v>
      </c>
      <c r="V38" s="18"/>
      <c r="W38" s="16" t="s">
        <v>140</v>
      </c>
      <c r="X38" s="18"/>
      <c r="Y38" s="18"/>
      <c r="Z38" s="18"/>
      <c r="AA38" s="18"/>
      <c r="AB38" s="18"/>
      <c r="AC38" s="18"/>
    </row>
    <row r="39">
      <c r="A39" s="10">
        <v>45112.417831099534</v>
      </c>
      <c r="B39" s="11" t="s">
        <v>25</v>
      </c>
      <c r="C39" s="11" t="s">
        <v>210</v>
      </c>
      <c r="D39" s="11" t="s">
        <v>211</v>
      </c>
      <c r="E39" s="11" t="s">
        <v>57</v>
      </c>
      <c r="F39" s="11" t="s">
        <v>58</v>
      </c>
      <c r="G39" s="11" t="s">
        <v>59</v>
      </c>
      <c r="H39" s="11" t="s">
        <v>191</v>
      </c>
      <c r="I39" s="11" t="s">
        <v>33</v>
      </c>
      <c r="J39" s="13"/>
      <c r="K39" s="11" t="s">
        <v>47</v>
      </c>
      <c r="L39" s="12" t="s">
        <v>254</v>
      </c>
      <c r="M39" s="11" t="s">
        <v>61</v>
      </c>
      <c r="N39" s="11" t="s">
        <v>169</v>
      </c>
      <c r="O39" s="11" t="s">
        <v>192</v>
      </c>
      <c r="P39" s="11" t="s">
        <v>39</v>
      </c>
      <c r="Q39" s="11" t="s">
        <v>296</v>
      </c>
      <c r="R39" s="11" t="s">
        <v>41</v>
      </c>
      <c r="S39" s="13"/>
      <c r="T39" s="11" t="s">
        <v>54</v>
      </c>
      <c r="U39" s="13"/>
      <c r="V39" s="13"/>
      <c r="W39" s="13"/>
      <c r="X39" s="13"/>
      <c r="Y39" s="13"/>
      <c r="Z39" s="13"/>
      <c r="AA39" s="13"/>
      <c r="AB39" s="13"/>
      <c r="AC39" s="13"/>
    </row>
    <row r="40">
      <c r="A40" s="10">
        <v>45112.42061877315</v>
      </c>
      <c r="B40" s="11" t="s">
        <v>25</v>
      </c>
      <c r="C40" s="11" t="s">
        <v>297</v>
      </c>
      <c r="D40" s="11" t="s">
        <v>94</v>
      </c>
      <c r="E40" s="11" t="s">
        <v>298</v>
      </c>
      <c r="F40" s="11" t="s">
        <v>58</v>
      </c>
      <c r="G40" s="11" t="s">
        <v>59</v>
      </c>
      <c r="H40" s="11" t="s">
        <v>191</v>
      </c>
      <c r="I40" s="11" t="s">
        <v>33</v>
      </c>
      <c r="J40" s="13"/>
      <c r="K40" s="11" t="s">
        <v>34</v>
      </c>
      <c r="L40" s="12" t="s">
        <v>254</v>
      </c>
      <c r="M40" s="11" t="s">
        <v>70</v>
      </c>
      <c r="N40" s="11" t="s">
        <v>37</v>
      </c>
      <c r="O40" s="11" t="s">
        <v>71</v>
      </c>
      <c r="P40" s="11" t="s">
        <v>51</v>
      </c>
      <c r="Q40" s="11" t="s">
        <v>299</v>
      </c>
      <c r="R40" s="11" t="s">
        <v>53</v>
      </c>
      <c r="S40" s="13"/>
      <c r="T40" s="11" t="s">
        <v>54</v>
      </c>
      <c r="U40" s="13"/>
      <c r="V40" s="13"/>
      <c r="W40" s="13"/>
      <c r="X40" s="13"/>
      <c r="Y40" s="13"/>
      <c r="Z40" s="13"/>
      <c r="AA40" s="13"/>
      <c r="AB40" s="13"/>
      <c r="AC40" s="13"/>
    </row>
    <row r="41">
      <c r="A41" s="10">
        <v>45112.423490625</v>
      </c>
      <c r="B41" s="11" t="s">
        <v>25</v>
      </c>
      <c r="C41" s="11" t="s">
        <v>300</v>
      </c>
      <c r="D41" s="11" t="s">
        <v>301</v>
      </c>
      <c r="E41" s="11" t="s">
        <v>75</v>
      </c>
      <c r="F41" s="11" t="s">
        <v>58</v>
      </c>
      <c r="G41" s="11" t="s">
        <v>59</v>
      </c>
      <c r="H41" s="11" t="s">
        <v>191</v>
      </c>
      <c r="I41" s="11" t="s">
        <v>33</v>
      </c>
      <c r="J41" s="11" t="s">
        <v>244</v>
      </c>
      <c r="K41" s="11" t="s">
        <v>34</v>
      </c>
      <c r="L41" s="12" t="s">
        <v>254</v>
      </c>
      <c r="M41" s="11" t="s">
        <v>61</v>
      </c>
      <c r="N41" s="11" t="s">
        <v>37</v>
      </c>
      <c r="O41" s="11" t="s">
        <v>302</v>
      </c>
      <c r="P41" s="11" t="s">
        <v>51</v>
      </c>
      <c r="Q41" s="11" t="s">
        <v>303</v>
      </c>
      <c r="R41" s="11" t="s">
        <v>41</v>
      </c>
      <c r="S41" s="13"/>
      <c r="T41" s="11" t="s">
        <v>42</v>
      </c>
      <c r="U41" s="13"/>
      <c r="V41" s="13"/>
      <c r="W41" s="13"/>
      <c r="X41" s="13"/>
      <c r="Y41" s="13"/>
      <c r="Z41" s="13"/>
      <c r="AA41" s="13"/>
      <c r="AB41" s="13"/>
      <c r="AC41" s="13"/>
    </row>
    <row r="42">
      <c r="A42" s="10">
        <v>45112.42541982639</v>
      </c>
      <c r="B42" s="11" t="s">
        <v>25</v>
      </c>
      <c r="C42" s="11" t="s">
        <v>203</v>
      </c>
      <c r="D42" s="11" t="s">
        <v>204</v>
      </c>
      <c r="E42" s="11" t="s">
        <v>205</v>
      </c>
      <c r="F42" s="11" t="s">
        <v>58</v>
      </c>
      <c r="G42" s="11" t="s">
        <v>59</v>
      </c>
      <c r="H42" s="11" t="s">
        <v>206</v>
      </c>
      <c r="I42" s="11" t="s">
        <v>33</v>
      </c>
      <c r="J42" s="13"/>
      <c r="K42" s="11" t="s">
        <v>69</v>
      </c>
      <c r="L42" s="12" t="s">
        <v>254</v>
      </c>
      <c r="M42" s="11" t="s">
        <v>70</v>
      </c>
      <c r="N42" s="11" t="s">
        <v>37</v>
      </c>
      <c r="O42" s="11" t="s">
        <v>62</v>
      </c>
      <c r="P42" s="11" t="s">
        <v>51</v>
      </c>
      <c r="Q42" s="11" t="s">
        <v>209</v>
      </c>
      <c r="R42" s="11" t="s">
        <v>53</v>
      </c>
      <c r="S42" s="13"/>
      <c r="T42" s="11" t="s">
        <v>54</v>
      </c>
      <c r="U42" s="13"/>
      <c r="V42" s="13"/>
      <c r="W42" s="13"/>
      <c r="X42" s="13"/>
      <c r="Y42" s="13"/>
      <c r="Z42" s="13"/>
      <c r="AA42" s="13"/>
      <c r="AB42" s="13"/>
      <c r="AC42" s="13"/>
    </row>
    <row r="43">
      <c r="A43" s="10">
        <v>45112.43003217592</v>
      </c>
      <c r="B43" s="11" t="s">
        <v>25</v>
      </c>
      <c r="C43" s="11" t="s">
        <v>304</v>
      </c>
      <c r="D43" s="11" t="s">
        <v>305</v>
      </c>
      <c r="E43" s="11" t="s">
        <v>45</v>
      </c>
      <c r="F43" s="11" t="s">
        <v>29</v>
      </c>
      <c r="G43" s="11" t="s">
        <v>30</v>
      </c>
      <c r="H43" s="11" t="s">
        <v>46</v>
      </c>
      <c r="I43" s="11" t="s">
        <v>199</v>
      </c>
      <c r="J43" s="11" t="s">
        <v>306</v>
      </c>
      <c r="K43" s="11" t="s">
        <v>34</v>
      </c>
      <c r="L43" s="12" t="s">
        <v>254</v>
      </c>
      <c r="M43" s="11" t="s">
        <v>61</v>
      </c>
      <c r="N43" s="11" t="s">
        <v>169</v>
      </c>
      <c r="O43" s="11" t="s">
        <v>307</v>
      </c>
      <c r="P43" s="11" t="s">
        <v>213</v>
      </c>
      <c r="Q43" s="11" t="s">
        <v>308</v>
      </c>
      <c r="R43" s="11" t="s">
        <v>53</v>
      </c>
      <c r="S43" s="13"/>
      <c r="T43" s="11" t="s">
        <v>42</v>
      </c>
      <c r="U43" s="13"/>
      <c r="V43" s="13"/>
      <c r="W43" s="13"/>
      <c r="X43" s="13"/>
      <c r="Y43" s="13"/>
      <c r="Z43" s="13"/>
      <c r="AA43" s="13"/>
      <c r="AB43" s="13"/>
      <c r="AC43" s="13"/>
    </row>
    <row r="44">
      <c r="A44" s="10">
        <v>45112.43219175926</v>
      </c>
      <c r="B44" s="11" t="s">
        <v>25</v>
      </c>
      <c r="C44" s="11" t="s">
        <v>309</v>
      </c>
      <c r="D44" s="11" t="s">
        <v>310</v>
      </c>
      <c r="E44" s="11" t="s">
        <v>75</v>
      </c>
      <c r="F44" s="11" t="s">
        <v>29</v>
      </c>
      <c r="G44" s="11" t="s">
        <v>30</v>
      </c>
      <c r="H44" s="11" t="s">
        <v>175</v>
      </c>
      <c r="I44" s="11" t="s">
        <v>33</v>
      </c>
      <c r="J44" s="11" t="s">
        <v>244</v>
      </c>
      <c r="K44" s="11" t="s">
        <v>34</v>
      </c>
      <c r="L44" s="12" t="s">
        <v>254</v>
      </c>
      <c r="M44" s="11" t="s">
        <v>61</v>
      </c>
      <c r="N44" s="11" t="s">
        <v>37</v>
      </c>
      <c r="O44" s="11" t="s">
        <v>176</v>
      </c>
      <c r="P44" s="11" t="s">
        <v>39</v>
      </c>
      <c r="Q44" s="11" t="s">
        <v>177</v>
      </c>
      <c r="R44" s="11" t="s">
        <v>53</v>
      </c>
      <c r="S44" s="13"/>
      <c r="T44" s="11" t="s">
        <v>42</v>
      </c>
      <c r="U44" s="13"/>
      <c r="V44" s="13"/>
      <c r="W44" s="13"/>
      <c r="X44" s="13"/>
      <c r="Y44" s="13"/>
      <c r="Z44" s="13"/>
      <c r="AA44" s="13"/>
      <c r="AB44" s="13"/>
      <c r="AC44" s="13"/>
    </row>
    <row r="45">
      <c r="A45" s="19">
        <v>45112.53815033565</v>
      </c>
      <c r="B45" s="20" t="s">
        <v>247</v>
      </c>
      <c r="C45" s="20" t="s">
        <v>311</v>
      </c>
      <c r="D45" s="20" t="s">
        <v>312</v>
      </c>
      <c r="E45" s="20" t="s">
        <v>75</v>
      </c>
      <c r="F45" s="20" t="s">
        <v>58</v>
      </c>
      <c r="G45" s="20" t="s">
        <v>59</v>
      </c>
      <c r="H45" s="20" t="s">
        <v>67</v>
      </c>
      <c r="I45" s="20" t="s">
        <v>33</v>
      </c>
      <c r="J45" s="20" t="s">
        <v>313</v>
      </c>
      <c r="K45" s="20" t="s">
        <v>314</v>
      </c>
      <c r="L45" s="21" t="s">
        <v>254</v>
      </c>
      <c r="M45" s="20" t="s">
        <v>70</v>
      </c>
      <c r="N45" s="20" t="s">
        <v>49</v>
      </c>
      <c r="O45" s="20" t="s">
        <v>137</v>
      </c>
      <c r="P45" s="20" t="s">
        <v>51</v>
      </c>
      <c r="Q45" s="20" t="s">
        <v>315</v>
      </c>
      <c r="R45" s="20" t="s">
        <v>41</v>
      </c>
      <c r="S45" s="22"/>
      <c r="T45" s="20" t="s">
        <v>54</v>
      </c>
      <c r="U45" s="20" t="s">
        <v>316</v>
      </c>
      <c r="V45" s="22"/>
      <c r="W45" s="20" t="s">
        <v>140</v>
      </c>
      <c r="X45" s="22"/>
      <c r="Y45" s="22"/>
      <c r="Z45" s="22"/>
      <c r="AA45" s="22"/>
      <c r="AB45" s="22"/>
      <c r="AC45" s="22"/>
    </row>
    <row r="46">
      <c r="A46" s="6">
        <v>45139.75341178241</v>
      </c>
      <c r="B46" s="7" t="s">
        <v>247</v>
      </c>
      <c r="C46" s="7" t="s">
        <v>317</v>
      </c>
      <c r="D46" s="7" t="s">
        <v>318</v>
      </c>
      <c r="E46" s="7" t="s">
        <v>75</v>
      </c>
      <c r="F46" s="7" t="s">
        <v>58</v>
      </c>
      <c r="G46" s="7" t="s">
        <v>59</v>
      </c>
      <c r="H46" s="7" t="s">
        <v>251</v>
      </c>
      <c r="I46" s="7" t="s">
        <v>32</v>
      </c>
      <c r="K46" s="7" t="s">
        <v>319</v>
      </c>
      <c r="L46" s="8" t="s">
        <v>320</v>
      </c>
      <c r="M46" s="7" t="s">
        <v>70</v>
      </c>
      <c r="N46" s="7" t="s">
        <v>89</v>
      </c>
      <c r="O46" s="7" t="s">
        <v>307</v>
      </c>
      <c r="P46" s="7" t="s">
        <v>51</v>
      </c>
      <c r="Q46" s="7" t="s">
        <v>321</v>
      </c>
      <c r="R46" s="7" t="s">
        <v>41</v>
      </c>
      <c r="T46" s="7" t="s">
        <v>54</v>
      </c>
      <c r="U46" s="7" t="s">
        <v>322</v>
      </c>
      <c r="V46" s="7" t="s">
        <v>323</v>
      </c>
      <c r="W46" s="7" t="s">
        <v>140</v>
      </c>
    </row>
    <row r="47">
      <c r="A47" s="6">
        <v>45139.758065636575</v>
      </c>
      <c r="B47" s="7" t="s">
        <v>247</v>
      </c>
      <c r="C47" s="7" t="s">
        <v>324</v>
      </c>
      <c r="D47" s="7" t="s">
        <v>325</v>
      </c>
      <c r="E47" s="7" t="s">
        <v>75</v>
      </c>
      <c r="F47" s="7" t="s">
        <v>58</v>
      </c>
      <c r="G47" s="7" t="s">
        <v>264</v>
      </c>
      <c r="H47" s="7" t="s">
        <v>251</v>
      </c>
      <c r="I47" s="7" t="s">
        <v>32</v>
      </c>
      <c r="K47" s="7" t="s">
        <v>69</v>
      </c>
      <c r="L47" s="8" t="s">
        <v>320</v>
      </c>
      <c r="M47" s="7" t="s">
        <v>70</v>
      </c>
      <c r="N47" s="7" t="s">
        <v>326</v>
      </c>
      <c r="O47" s="7" t="s">
        <v>327</v>
      </c>
      <c r="P47" s="7" t="s">
        <v>39</v>
      </c>
      <c r="Q47" s="7" t="s">
        <v>328</v>
      </c>
      <c r="R47" s="7" t="s">
        <v>53</v>
      </c>
      <c r="S47" s="7" t="s">
        <v>329</v>
      </c>
      <c r="T47" s="7" t="s">
        <v>54</v>
      </c>
      <c r="U47" s="7" t="s">
        <v>330</v>
      </c>
      <c r="W47" s="7" t="s">
        <v>140</v>
      </c>
    </row>
    <row r="48">
      <c r="A48" s="6">
        <v>45139.78425813657</v>
      </c>
      <c r="B48" s="7" t="s">
        <v>247</v>
      </c>
      <c r="C48" s="7" t="s">
        <v>331</v>
      </c>
      <c r="D48" s="7" t="s">
        <v>332</v>
      </c>
      <c r="E48" s="7" t="s">
        <v>333</v>
      </c>
      <c r="F48" s="7" t="s">
        <v>96</v>
      </c>
      <c r="G48" s="7" t="s">
        <v>59</v>
      </c>
      <c r="H48" s="7" t="s">
        <v>251</v>
      </c>
      <c r="I48" s="7" t="s">
        <v>32</v>
      </c>
      <c r="J48" s="7" t="s">
        <v>68</v>
      </c>
      <c r="K48" s="7" t="s">
        <v>334</v>
      </c>
      <c r="L48" s="8" t="s">
        <v>320</v>
      </c>
      <c r="M48" s="7" t="s">
        <v>70</v>
      </c>
      <c r="N48" s="7" t="s">
        <v>49</v>
      </c>
      <c r="O48" s="7" t="s">
        <v>137</v>
      </c>
      <c r="P48" s="7" t="s">
        <v>51</v>
      </c>
      <c r="Q48" s="7" t="s">
        <v>335</v>
      </c>
      <c r="T48" s="7" t="s">
        <v>54</v>
      </c>
      <c r="U48" s="7" t="s">
        <v>336</v>
      </c>
      <c r="V48" s="7" t="s">
        <v>337</v>
      </c>
      <c r="W48" s="7" t="s">
        <v>140</v>
      </c>
    </row>
    <row r="49">
      <c r="A49" s="6">
        <v>45139.78771398148</v>
      </c>
      <c r="B49" s="7" t="s">
        <v>247</v>
      </c>
      <c r="C49" s="7" t="s">
        <v>338</v>
      </c>
      <c r="D49" s="23" t="s">
        <v>339</v>
      </c>
      <c r="E49" s="7" t="s">
        <v>45</v>
      </c>
      <c r="F49" s="7" t="s">
        <v>29</v>
      </c>
      <c r="G49" s="7" t="s">
        <v>30</v>
      </c>
      <c r="H49" s="7" t="s">
        <v>67</v>
      </c>
      <c r="I49" s="7" t="s">
        <v>32</v>
      </c>
      <c r="J49" s="7" t="s">
        <v>340</v>
      </c>
      <c r="K49" s="7" t="s">
        <v>69</v>
      </c>
      <c r="L49" s="8" t="s">
        <v>320</v>
      </c>
      <c r="M49" s="7" t="s">
        <v>70</v>
      </c>
      <c r="N49" s="7" t="s">
        <v>89</v>
      </c>
      <c r="O49" s="7" t="s">
        <v>84</v>
      </c>
      <c r="P49" s="7" t="s">
        <v>51</v>
      </c>
      <c r="Q49" s="7" t="s">
        <v>341</v>
      </c>
      <c r="R49" s="7" t="s">
        <v>41</v>
      </c>
      <c r="T49" s="7" t="s">
        <v>42</v>
      </c>
      <c r="U49" s="7" t="s">
        <v>342</v>
      </c>
      <c r="V49" s="7" t="s">
        <v>341</v>
      </c>
      <c r="W49" s="7" t="s">
        <v>140</v>
      </c>
    </row>
    <row r="50">
      <c r="A50" s="6">
        <v>45144.69433943287</v>
      </c>
      <c r="B50" s="7" t="s">
        <v>25</v>
      </c>
      <c r="C50" s="7" t="s">
        <v>297</v>
      </c>
      <c r="D50" s="7" t="s">
        <v>343</v>
      </c>
      <c r="E50" s="7" t="s">
        <v>344</v>
      </c>
      <c r="F50" s="7" t="s">
        <v>58</v>
      </c>
      <c r="G50" s="7" t="s">
        <v>106</v>
      </c>
      <c r="H50" s="7" t="s">
        <v>191</v>
      </c>
      <c r="I50" s="7" t="s">
        <v>33</v>
      </c>
      <c r="K50" s="7" t="s">
        <v>34</v>
      </c>
      <c r="L50" s="8" t="s">
        <v>320</v>
      </c>
      <c r="M50" s="7" t="s">
        <v>70</v>
      </c>
      <c r="N50" s="7" t="s">
        <v>49</v>
      </c>
      <c r="O50" s="7" t="s">
        <v>345</v>
      </c>
      <c r="P50" s="7" t="s">
        <v>51</v>
      </c>
      <c r="Q50" s="7" t="s">
        <v>346</v>
      </c>
      <c r="R50" s="7" t="s">
        <v>53</v>
      </c>
      <c r="T50" s="7" t="s">
        <v>54</v>
      </c>
    </row>
    <row r="51">
      <c r="A51" s="6">
        <v>45144.70036796296</v>
      </c>
      <c r="B51" s="7" t="s">
        <v>25</v>
      </c>
      <c r="C51" s="7" t="s">
        <v>203</v>
      </c>
      <c r="D51" s="7" t="s">
        <v>204</v>
      </c>
      <c r="E51" s="7" t="s">
        <v>205</v>
      </c>
      <c r="F51" s="7" t="s">
        <v>58</v>
      </c>
      <c r="G51" s="7" t="s">
        <v>59</v>
      </c>
      <c r="H51" s="7" t="s">
        <v>206</v>
      </c>
      <c r="I51" s="7" t="s">
        <v>33</v>
      </c>
      <c r="K51" s="7" t="s">
        <v>34</v>
      </c>
      <c r="L51" s="8" t="s">
        <v>320</v>
      </c>
      <c r="M51" s="7" t="s">
        <v>61</v>
      </c>
      <c r="N51" s="7" t="s">
        <v>37</v>
      </c>
      <c r="O51" s="7" t="s">
        <v>347</v>
      </c>
      <c r="P51" s="7" t="s">
        <v>39</v>
      </c>
      <c r="Q51" s="7" t="s">
        <v>348</v>
      </c>
      <c r="R51" s="7" t="s">
        <v>53</v>
      </c>
      <c r="T51" s="7" t="s">
        <v>54</v>
      </c>
    </row>
    <row r="52">
      <c r="A52" s="6">
        <v>45144.70455026621</v>
      </c>
      <c r="B52" s="7" t="s">
        <v>25</v>
      </c>
      <c r="C52" s="7" t="s">
        <v>235</v>
      </c>
      <c r="D52" s="7" t="s">
        <v>236</v>
      </c>
      <c r="E52" s="7" t="s">
        <v>349</v>
      </c>
      <c r="F52" s="7" t="s">
        <v>58</v>
      </c>
      <c r="G52" s="7" t="s">
        <v>59</v>
      </c>
      <c r="H52" s="7" t="s">
        <v>46</v>
      </c>
      <c r="I52" s="7" t="s">
        <v>33</v>
      </c>
      <c r="J52" s="7" t="s">
        <v>32</v>
      </c>
      <c r="K52" s="7" t="s">
        <v>34</v>
      </c>
      <c r="L52" s="8" t="s">
        <v>320</v>
      </c>
      <c r="M52" s="7" t="s">
        <v>70</v>
      </c>
      <c r="N52" s="7" t="s">
        <v>49</v>
      </c>
      <c r="O52" s="7" t="s">
        <v>350</v>
      </c>
      <c r="P52" s="7" t="s">
        <v>51</v>
      </c>
      <c r="Q52" s="7" t="s">
        <v>351</v>
      </c>
      <c r="R52" s="7" t="s">
        <v>53</v>
      </c>
      <c r="T52" s="7" t="s">
        <v>42</v>
      </c>
    </row>
    <row r="53">
      <c r="A53" s="10">
        <v>45173.54228216435</v>
      </c>
      <c r="B53" s="11" t="s">
        <v>247</v>
      </c>
      <c r="C53" s="11" t="s">
        <v>352</v>
      </c>
      <c r="D53" s="11" t="s">
        <v>353</v>
      </c>
      <c r="E53" s="11" t="s">
        <v>354</v>
      </c>
      <c r="F53" s="11" t="s">
        <v>58</v>
      </c>
      <c r="G53" s="11" t="s">
        <v>59</v>
      </c>
      <c r="H53" s="11" t="s">
        <v>355</v>
      </c>
      <c r="I53" s="11" t="s">
        <v>156</v>
      </c>
      <c r="J53" s="11" t="s">
        <v>32</v>
      </c>
      <c r="K53" s="11" t="s">
        <v>34</v>
      </c>
      <c r="L53" s="12" t="s">
        <v>356</v>
      </c>
      <c r="M53" s="11" t="s">
        <v>70</v>
      </c>
      <c r="N53" s="11" t="s">
        <v>89</v>
      </c>
      <c r="O53" s="11" t="s">
        <v>79</v>
      </c>
      <c r="P53" s="11" t="s">
        <v>51</v>
      </c>
      <c r="Q53" s="11" t="s">
        <v>357</v>
      </c>
      <c r="R53" s="11" t="s">
        <v>53</v>
      </c>
      <c r="S53" s="11" t="s">
        <v>358</v>
      </c>
      <c r="T53" s="11" t="s">
        <v>42</v>
      </c>
      <c r="U53" s="11" t="s">
        <v>359</v>
      </c>
      <c r="V53" s="11" t="s">
        <v>360</v>
      </c>
      <c r="W53" s="11" t="s">
        <v>361</v>
      </c>
      <c r="X53" s="13"/>
      <c r="Y53" s="13"/>
      <c r="Z53" s="13"/>
      <c r="AA53" s="13"/>
      <c r="AB53" s="13"/>
      <c r="AC53" s="13"/>
    </row>
    <row r="54">
      <c r="A54" s="10">
        <v>45173.54497898148</v>
      </c>
      <c r="B54" s="11" t="s">
        <v>247</v>
      </c>
      <c r="C54" s="11" t="s">
        <v>362</v>
      </c>
      <c r="D54" s="11" t="s">
        <v>363</v>
      </c>
      <c r="E54" s="11" t="s">
        <v>364</v>
      </c>
      <c r="F54" s="11" t="s">
        <v>58</v>
      </c>
      <c r="G54" s="11" t="s">
        <v>59</v>
      </c>
      <c r="H54" s="11" t="s">
        <v>251</v>
      </c>
      <c r="I54" s="11" t="s">
        <v>32</v>
      </c>
      <c r="J54" s="11" t="s">
        <v>365</v>
      </c>
      <c r="K54" s="11" t="s">
        <v>366</v>
      </c>
      <c r="L54" s="12" t="s">
        <v>356</v>
      </c>
      <c r="M54" s="11" t="s">
        <v>61</v>
      </c>
      <c r="N54" s="11" t="s">
        <v>89</v>
      </c>
      <c r="O54" s="11" t="s">
        <v>367</v>
      </c>
      <c r="P54" s="11" t="s">
        <v>51</v>
      </c>
      <c r="Q54" s="11" t="s">
        <v>368</v>
      </c>
      <c r="R54" s="11" t="s">
        <v>53</v>
      </c>
      <c r="S54" s="11" t="s">
        <v>369</v>
      </c>
      <c r="T54" s="11" t="s">
        <v>42</v>
      </c>
      <c r="U54" s="11" t="s">
        <v>370</v>
      </c>
      <c r="V54" s="13"/>
      <c r="W54" s="13"/>
      <c r="X54" s="13"/>
      <c r="Y54" s="13"/>
      <c r="Z54" s="13"/>
      <c r="AA54" s="13"/>
      <c r="AB54" s="13"/>
      <c r="AC54" s="13"/>
    </row>
    <row r="55">
      <c r="A55" s="10">
        <v>45173.54974282408</v>
      </c>
      <c r="B55" s="11" t="s">
        <v>247</v>
      </c>
      <c r="C55" s="11" t="s">
        <v>371</v>
      </c>
      <c r="D55" s="11" t="s">
        <v>372</v>
      </c>
      <c r="E55" s="11" t="s">
        <v>373</v>
      </c>
      <c r="F55" s="11" t="s">
        <v>96</v>
      </c>
      <c r="G55" s="11" t="s">
        <v>59</v>
      </c>
      <c r="H55" s="11" t="s">
        <v>251</v>
      </c>
      <c r="I55" s="11" t="s">
        <v>32</v>
      </c>
      <c r="J55" s="13"/>
      <c r="K55" s="11" t="s">
        <v>69</v>
      </c>
      <c r="L55" s="12" t="s">
        <v>356</v>
      </c>
      <c r="M55" s="11" t="s">
        <v>70</v>
      </c>
      <c r="N55" s="11" t="s">
        <v>89</v>
      </c>
      <c r="O55" s="11" t="s">
        <v>84</v>
      </c>
      <c r="P55" s="11" t="s">
        <v>51</v>
      </c>
      <c r="Q55" s="11" t="s">
        <v>374</v>
      </c>
      <c r="R55" s="11" t="s">
        <v>41</v>
      </c>
      <c r="S55" s="13"/>
      <c r="T55" s="11" t="s">
        <v>42</v>
      </c>
      <c r="U55" s="11" t="s">
        <v>375</v>
      </c>
      <c r="V55" s="13"/>
      <c r="W55" s="11" t="s">
        <v>376</v>
      </c>
      <c r="X55" s="13"/>
      <c r="Y55" s="13"/>
      <c r="Z55" s="13"/>
      <c r="AA55" s="13"/>
      <c r="AB55" s="13"/>
      <c r="AC55" s="13"/>
    </row>
    <row r="56">
      <c r="A56" s="10">
        <v>45174.46774090278</v>
      </c>
      <c r="B56" s="11" t="s">
        <v>25</v>
      </c>
      <c r="C56" s="11" t="s">
        <v>377</v>
      </c>
      <c r="D56" s="11" t="s">
        <v>94</v>
      </c>
      <c r="E56" s="11" t="s">
        <v>75</v>
      </c>
      <c r="F56" s="11" t="s">
        <v>96</v>
      </c>
      <c r="G56" s="11" t="s">
        <v>59</v>
      </c>
      <c r="H56" s="11" t="s">
        <v>378</v>
      </c>
      <c r="I56" s="11" t="s">
        <v>33</v>
      </c>
      <c r="J56" s="13"/>
      <c r="K56" s="11" t="s">
        <v>379</v>
      </c>
      <c r="L56" s="12" t="s">
        <v>356</v>
      </c>
      <c r="M56" s="11" t="s">
        <v>70</v>
      </c>
      <c r="N56" s="11" t="s">
        <v>169</v>
      </c>
      <c r="O56" s="11" t="s">
        <v>50</v>
      </c>
      <c r="P56" s="11" t="s">
        <v>39</v>
      </c>
      <c r="Q56" s="11" t="s">
        <v>380</v>
      </c>
      <c r="R56" s="11" t="s">
        <v>53</v>
      </c>
      <c r="S56" s="13"/>
      <c r="T56" s="11" t="s">
        <v>54</v>
      </c>
      <c r="U56" s="13"/>
      <c r="V56" s="13"/>
      <c r="W56" s="13"/>
      <c r="X56" s="13"/>
      <c r="Y56" s="13"/>
      <c r="Z56" s="13"/>
      <c r="AA56" s="13"/>
      <c r="AB56" s="13"/>
      <c r="AC56" s="13"/>
    </row>
    <row r="57">
      <c r="A57" s="10">
        <v>45174.47145337963</v>
      </c>
      <c r="B57" s="11" t="s">
        <v>25</v>
      </c>
      <c r="C57" s="11" t="s">
        <v>381</v>
      </c>
      <c r="D57" s="11" t="s">
        <v>382</v>
      </c>
      <c r="E57" s="11" t="s">
        <v>344</v>
      </c>
      <c r="F57" s="11" t="s">
        <v>58</v>
      </c>
      <c r="G57" s="11" t="s">
        <v>264</v>
      </c>
      <c r="H57" s="11" t="s">
        <v>116</v>
      </c>
      <c r="I57" s="11" t="s">
        <v>33</v>
      </c>
      <c r="J57" s="13"/>
      <c r="K57" s="11" t="s">
        <v>383</v>
      </c>
      <c r="L57" s="12" t="s">
        <v>356</v>
      </c>
      <c r="M57" s="11" t="s">
        <v>48</v>
      </c>
      <c r="N57" s="11" t="s">
        <v>37</v>
      </c>
      <c r="O57" s="11" t="s">
        <v>384</v>
      </c>
      <c r="P57" s="11" t="s">
        <v>51</v>
      </c>
      <c r="Q57" s="11" t="s">
        <v>385</v>
      </c>
      <c r="R57" s="11" t="s">
        <v>53</v>
      </c>
      <c r="S57" s="13"/>
      <c r="T57" s="11" t="s">
        <v>54</v>
      </c>
      <c r="U57" s="13"/>
      <c r="V57" s="13"/>
      <c r="W57" s="13"/>
      <c r="X57" s="13"/>
      <c r="Y57" s="13"/>
      <c r="Z57" s="13"/>
      <c r="AA57" s="13"/>
      <c r="AB57" s="13"/>
      <c r="AC57" s="13"/>
    </row>
    <row r="58">
      <c r="A58" s="10">
        <v>45174.47434707176</v>
      </c>
      <c r="B58" s="11" t="s">
        <v>25</v>
      </c>
      <c r="C58" s="11" t="s">
        <v>386</v>
      </c>
      <c r="D58" s="11" t="s">
        <v>387</v>
      </c>
      <c r="E58" s="11" t="s">
        <v>388</v>
      </c>
      <c r="F58" s="11" t="s">
        <v>58</v>
      </c>
      <c r="G58" s="11" t="s">
        <v>264</v>
      </c>
      <c r="H58" s="11" t="s">
        <v>191</v>
      </c>
      <c r="I58" s="11" t="s">
        <v>33</v>
      </c>
      <c r="J58" s="11" t="s">
        <v>218</v>
      </c>
      <c r="K58" s="11" t="s">
        <v>389</v>
      </c>
      <c r="L58" s="12" t="s">
        <v>356</v>
      </c>
      <c r="M58" s="11" t="s">
        <v>48</v>
      </c>
      <c r="N58" s="11" t="s">
        <v>169</v>
      </c>
      <c r="O58" s="11" t="s">
        <v>384</v>
      </c>
      <c r="P58" s="11" t="s">
        <v>51</v>
      </c>
      <c r="Q58" s="11" t="s">
        <v>390</v>
      </c>
      <c r="R58" s="11" t="s">
        <v>53</v>
      </c>
      <c r="S58" s="13"/>
      <c r="T58" s="11" t="s">
        <v>54</v>
      </c>
      <c r="U58" s="13"/>
      <c r="V58" s="13"/>
      <c r="W58" s="13"/>
      <c r="X58" s="13"/>
      <c r="Y58" s="13"/>
      <c r="Z58" s="13"/>
      <c r="AA58" s="13"/>
      <c r="AB58" s="13"/>
      <c r="AC58" s="13"/>
    </row>
    <row r="59">
      <c r="A59" s="10">
        <v>45174.765832453704</v>
      </c>
      <c r="B59" s="11" t="s">
        <v>25</v>
      </c>
      <c r="C59" s="11" t="s">
        <v>391</v>
      </c>
      <c r="D59" s="11" t="s">
        <v>94</v>
      </c>
      <c r="E59" s="11" t="s">
        <v>75</v>
      </c>
      <c r="F59" s="11" t="s">
        <v>96</v>
      </c>
      <c r="G59" s="11" t="s">
        <v>264</v>
      </c>
      <c r="H59" s="11" t="s">
        <v>392</v>
      </c>
      <c r="I59" s="11" t="s">
        <v>33</v>
      </c>
      <c r="J59" s="13"/>
      <c r="K59" s="11" t="s">
        <v>389</v>
      </c>
      <c r="L59" s="12" t="s">
        <v>356</v>
      </c>
      <c r="M59" s="11" t="s">
        <v>70</v>
      </c>
      <c r="N59" s="11" t="s">
        <v>169</v>
      </c>
      <c r="O59" s="11" t="s">
        <v>384</v>
      </c>
      <c r="P59" s="11" t="s">
        <v>39</v>
      </c>
      <c r="Q59" s="11" t="s">
        <v>393</v>
      </c>
      <c r="R59" s="11" t="s">
        <v>53</v>
      </c>
      <c r="S59" s="13"/>
      <c r="T59" s="11" t="s">
        <v>42</v>
      </c>
      <c r="U59" s="13"/>
      <c r="V59" s="13"/>
      <c r="W59" s="13"/>
      <c r="X59" s="13"/>
      <c r="Y59" s="13"/>
      <c r="Z59" s="13"/>
      <c r="AA59" s="13"/>
      <c r="AB59" s="13"/>
      <c r="AC59" s="13"/>
    </row>
    <row r="60">
      <c r="A60" s="10">
        <v>45174.77162349537</v>
      </c>
      <c r="B60" s="11" t="s">
        <v>25</v>
      </c>
      <c r="C60" s="11" t="s">
        <v>394</v>
      </c>
      <c r="D60" s="11" t="s">
        <v>395</v>
      </c>
      <c r="E60" s="11" t="s">
        <v>75</v>
      </c>
      <c r="F60" s="11" t="s">
        <v>29</v>
      </c>
      <c r="G60" s="11" t="s">
        <v>30</v>
      </c>
      <c r="H60" s="11" t="s">
        <v>67</v>
      </c>
      <c r="I60" s="11" t="s">
        <v>33</v>
      </c>
      <c r="J60" s="13"/>
      <c r="K60" s="11" t="s">
        <v>69</v>
      </c>
      <c r="L60" s="12" t="s">
        <v>356</v>
      </c>
      <c r="M60" s="11" t="s">
        <v>70</v>
      </c>
      <c r="N60" s="11" t="s">
        <v>37</v>
      </c>
      <c r="O60" s="11" t="s">
        <v>396</v>
      </c>
      <c r="P60" s="11" t="s">
        <v>39</v>
      </c>
      <c r="Q60" s="11" t="s">
        <v>397</v>
      </c>
      <c r="R60" s="11" t="s">
        <v>41</v>
      </c>
      <c r="S60" s="13"/>
      <c r="T60" s="11" t="s">
        <v>42</v>
      </c>
      <c r="U60" s="13"/>
      <c r="V60" s="13"/>
      <c r="W60" s="13"/>
      <c r="X60" s="13"/>
      <c r="Y60" s="13"/>
      <c r="Z60" s="13"/>
      <c r="AA60" s="13"/>
      <c r="AB60" s="13"/>
      <c r="AC60" s="13"/>
    </row>
    <row r="61">
      <c r="A61" s="10">
        <v>45174.77558864583</v>
      </c>
      <c r="B61" s="11" t="s">
        <v>25</v>
      </c>
      <c r="C61" s="11" t="s">
        <v>398</v>
      </c>
      <c r="D61" s="11" t="s">
        <v>94</v>
      </c>
      <c r="E61" s="11" t="s">
        <v>399</v>
      </c>
      <c r="F61" s="11" t="s">
        <v>96</v>
      </c>
      <c r="G61" s="11" t="s">
        <v>59</v>
      </c>
      <c r="H61" s="11" t="s">
        <v>206</v>
      </c>
      <c r="I61" s="11" t="s">
        <v>32</v>
      </c>
      <c r="J61" s="11" t="s">
        <v>33</v>
      </c>
      <c r="K61" s="11" t="s">
        <v>383</v>
      </c>
      <c r="L61" s="12" t="s">
        <v>356</v>
      </c>
      <c r="M61" s="11" t="s">
        <v>61</v>
      </c>
      <c r="N61" s="11" t="s">
        <v>37</v>
      </c>
      <c r="O61" s="11" t="s">
        <v>400</v>
      </c>
      <c r="P61" s="11" t="s">
        <v>39</v>
      </c>
      <c r="Q61" s="11" t="s">
        <v>401</v>
      </c>
      <c r="R61" s="11" t="s">
        <v>41</v>
      </c>
      <c r="S61" s="13"/>
      <c r="T61" s="11" t="s">
        <v>42</v>
      </c>
      <c r="U61" s="13"/>
      <c r="V61" s="13"/>
      <c r="W61" s="13"/>
      <c r="X61" s="13"/>
      <c r="Y61" s="13"/>
      <c r="Z61" s="13"/>
      <c r="AA61" s="13"/>
      <c r="AB61" s="13"/>
      <c r="AC61" s="13"/>
    </row>
    <row r="62">
      <c r="A62" s="10">
        <v>45174.78921673611</v>
      </c>
      <c r="B62" s="11" t="s">
        <v>25</v>
      </c>
      <c r="C62" s="11" t="s">
        <v>94</v>
      </c>
      <c r="D62" s="11" t="s">
        <v>402</v>
      </c>
      <c r="E62" s="11" t="s">
        <v>75</v>
      </c>
      <c r="F62" s="11" t="s">
        <v>58</v>
      </c>
      <c r="G62" s="11" t="s">
        <v>59</v>
      </c>
      <c r="H62" s="11" t="s">
        <v>116</v>
      </c>
      <c r="I62" s="11" t="s">
        <v>33</v>
      </c>
      <c r="J62" s="13"/>
      <c r="K62" s="11" t="s">
        <v>383</v>
      </c>
      <c r="L62" s="12" t="s">
        <v>356</v>
      </c>
      <c r="M62" s="11" t="s">
        <v>70</v>
      </c>
      <c r="N62" s="11" t="s">
        <v>37</v>
      </c>
      <c r="O62" s="11" t="s">
        <v>233</v>
      </c>
      <c r="P62" s="11" t="s">
        <v>39</v>
      </c>
      <c r="Q62" s="11" t="s">
        <v>403</v>
      </c>
      <c r="R62" s="11" t="s">
        <v>41</v>
      </c>
      <c r="S62" s="13"/>
      <c r="T62" s="11" t="s">
        <v>42</v>
      </c>
      <c r="U62" s="13"/>
      <c r="V62" s="13"/>
      <c r="W62" s="13"/>
      <c r="X62" s="13"/>
      <c r="Y62" s="13"/>
      <c r="Z62" s="13"/>
      <c r="AA62" s="13"/>
      <c r="AB62" s="13"/>
      <c r="AC62" s="13"/>
    </row>
    <row r="63">
      <c r="A63" s="10">
        <v>45174.791465312504</v>
      </c>
      <c r="B63" s="11" t="s">
        <v>25</v>
      </c>
      <c r="C63" s="11" t="s">
        <v>404</v>
      </c>
      <c r="D63" s="11" t="s">
        <v>405</v>
      </c>
      <c r="E63" s="11" t="s">
        <v>75</v>
      </c>
      <c r="F63" s="11" t="s">
        <v>58</v>
      </c>
      <c r="G63" s="11" t="s">
        <v>59</v>
      </c>
      <c r="H63" s="11" t="s">
        <v>67</v>
      </c>
      <c r="I63" s="11" t="s">
        <v>32</v>
      </c>
      <c r="J63" s="11" t="s">
        <v>33</v>
      </c>
      <c r="K63" s="11" t="s">
        <v>69</v>
      </c>
      <c r="L63" s="12" t="s">
        <v>356</v>
      </c>
      <c r="M63" s="11" t="s">
        <v>61</v>
      </c>
      <c r="N63" s="11" t="s">
        <v>37</v>
      </c>
      <c r="O63" s="11" t="s">
        <v>84</v>
      </c>
      <c r="P63" s="11" t="s">
        <v>51</v>
      </c>
      <c r="Q63" s="11" t="s">
        <v>406</v>
      </c>
      <c r="R63" s="11" t="s">
        <v>41</v>
      </c>
      <c r="S63" s="13"/>
      <c r="T63" s="11" t="s">
        <v>42</v>
      </c>
      <c r="U63" s="13"/>
      <c r="V63" s="13"/>
      <c r="W63" s="13"/>
      <c r="X63" s="13"/>
      <c r="Y63" s="13"/>
      <c r="Z63" s="13"/>
      <c r="AA63" s="13"/>
      <c r="AB63" s="13"/>
      <c r="AC63" s="13"/>
    </row>
    <row r="64">
      <c r="A64" s="10">
        <v>45174.794530625004</v>
      </c>
      <c r="B64" s="11" t="s">
        <v>25</v>
      </c>
      <c r="C64" s="11" t="s">
        <v>407</v>
      </c>
      <c r="D64" s="11" t="s">
        <v>94</v>
      </c>
      <c r="E64" s="11" t="s">
        <v>388</v>
      </c>
      <c r="F64" s="11" t="s">
        <v>58</v>
      </c>
      <c r="G64" s="11" t="s">
        <v>59</v>
      </c>
      <c r="H64" s="11" t="s">
        <v>191</v>
      </c>
      <c r="I64" s="11" t="s">
        <v>33</v>
      </c>
      <c r="J64" s="13"/>
      <c r="K64" s="11" t="s">
        <v>383</v>
      </c>
      <c r="L64" s="12" t="s">
        <v>356</v>
      </c>
      <c r="M64" s="11" t="s">
        <v>70</v>
      </c>
      <c r="N64" s="11" t="s">
        <v>37</v>
      </c>
      <c r="O64" s="11" t="s">
        <v>408</v>
      </c>
      <c r="P64" s="11" t="s">
        <v>51</v>
      </c>
      <c r="Q64" s="11" t="s">
        <v>409</v>
      </c>
      <c r="R64" s="11" t="s">
        <v>41</v>
      </c>
      <c r="S64" s="13"/>
      <c r="T64" s="11" t="s">
        <v>42</v>
      </c>
      <c r="U64" s="13"/>
      <c r="V64" s="13"/>
      <c r="W64" s="13"/>
      <c r="X64" s="13"/>
      <c r="Y64" s="13"/>
      <c r="Z64" s="13"/>
      <c r="AA64" s="13"/>
      <c r="AB64" s="13"/>
      <c r="AC64" s="13"/>
    </row>
    <row r="65">
      <c r="A65" s="10">
        <v>45174.797255046295</v>
      </c>
      <c r="B65" s="11" t="s">
        <v>25</v>
      </c>
      <c r="C65" s="11" t="s">
        <v>410</v>
      </c>
      <c r="D65" s="11" t="s">
        <v>94</v>
      </c>
      <c r="E65" s="11" t="s">
        <v>75</v>
      </c>
      <c r="F65" s="11" t="s">
        <v>58</v>
      </c>
      <c r="G65" s="11" t="s">
        <v>59</v>
      </c>
      <c r="H65" s="11" t="s">
        <v>411</v>
      </c>
      <c r="I65" s="11" t="s">
        <v>33</v>
      </c>
      <c r="J65" s="11" t="s">
        <v>218</v>
      </c>
      <c r="K65" s="11" t="s">
        <v>34</v>
      </c>
      <c r="L65" s="12" t="s">
        <v>356</v>
      </c>
      <c r="M65" s="11" t="s">
        <v>70</v>
      </c>
      <c r="N65" s="11" t="s">
        <v>37</v>
      </c>
      <c r="O65" s="11" t="s">
        <v>412</v>
      </c>
      <c r="P65" s="11" t="s">
        <v>51</v>
      </c>
      <c r="Q65" s="11" t="s">
        <v>413</v>
      </c>
      <c r="R65" s="11" t="s">
        <v>41</v>
      </c>
      <c r="S65" s="13"/>
      <c r="T65" s="11" t="s">
        <v>54</v>
      </c>
      <c r="U65" s="13"/>
      <c r="V65" s="13"/>
      <c r="W65" s="13"/>
      <c r="X65" s="13"/>
      <c r="Y65" s="13"/>
      <c r="Z65" s="13"/>
      <c r="AA65" s="13"/>
      <c r="AB65" s="13"/>
      <c r="AC65" s="13"/>
    </row>
    <row r="66">
      <c r="A66" s="6">
        <v>45205.60764527778</v>
      </c>
      <c r="B66" s="7" t="s">
        <v>25</v>
      </c>
      <c r="C66" s="7" t="s">
        <v>414</v>
      </c>
      <c r="D66" s="7" t="s">
        <v>387</v>
      </c>
      <c r="E66" s="7" t="s">
        <v>388</v>
      </c>
      <c r="F66" s="7" t="s">
        <v>58</v>
      </c>
      <c r="G66" s="7" t="s">
        <v>264</v>
      </c>
      <c r="H66" s="7" t="s">
        <v>191</v>
      </c>
      <c r="I66" s="7" t="s">
        <v>33</v>
      </c>
      <c r="K66" s="7" t="s">
        <v>415</v>
      </c>
      <c r="L66" s="8" t="s">
        <v>416</v>
      </c>
      <c r="M66" s="7" t="s">
        <v>48</v>
      </c>
      <c r="N66" s="7" t="s">
        <v>37</v>
      </c>
      <c r="O66" s="7" t="s">
        <v>417</v>
      </c>
      <c r="P66" s="7" t="s">
        <v>51</v>
      </c>
      <c r="Q66" s="7" t="s">
        <v>418</v>
      </c>
      <c r="R66" s="7" t="s">
        <v>53</v>
      </c>
      <c r="T66" s="7" t="s">
        <v>42</v>
      </c>
    </row>
    <row r="67">
      <c r="A67" s="6">
        <v>45205.611490069445</v>
      </c>
      <c r="B67" s="7" t="s">
        <v>25</v>
      </c>
      <c r="C67" s="7" t="s">
        <v>419</v>
      </c>
      <c r="D67" s="23" t="s">
        <v>420</v>
      </c>
      <c r="E67" s="7" t="s">
        <v>28</v>
      </c>
      <c r="F67" s="7" t="s">
        <v>29</v>
      </c>
      <c r="G67" s="7" t="s">
        <v>30</v>
      </c>
      <c r="H67" s="7" t="s">
        <v>122</v>
      </c>
      <c r="I67" s="7" t="s">
        <v>156</v>
      </c>
      <c r="J67" s="7" t="s">
        <v>33</v>
      </c>
      <c r="K67" s="7" t="s">
        <v>34</v>
      </c>
      <c r="L67" s="8" t="s">
        <v>416</v>
      </c>
      <c r="M67" s="7" t="s">
        <v>70</v>
      </c>
      <c r="N67" s="7" t="s">
        <v>49</v>
      </c>
      <c r="O67" s="7" t="s">
        <v>421</v>
      </c>
      <c r="P67" s="7" t="s">
        <v>51</v>
      </c>
      <c r="Q67" s="24" t="s">
        <v>422</v>
      </c>
      <c r="R67" s="7" t="s">
        <v>41</v>
      </c>
      <c r="T67" s="7" t="s">
        <v>42</v>
      </c>
    </row>
    <row r="68">
      <c r="A68" s="6">
        <v>45205.61404996528</v>
      </c>
      <c r="B68" s="7" t="s">
        <v>25</v>
      </c>
      <c r="C68" s="7" t="s">
        <v>423</v>
      </c>
      <c r="D68" s="7" t="s">
        <v>424</v>
      </c>
      <c r="E68" s="7" t="s">
        <v>425</v>
      </c>
      <c r="F68" s="7" t="s">
        <v>58</v>
      </c>
      <c r="G68" s="7" t="s">
        <v>59</v>
      </c>
      <c r="H68" s="7" t="s">
        <v>355</v>
      </c>
      <c r="I68" s="7" t="s">
        <v>33</v>
      </c>
      <c r="K68" s="7" t="s">
        <v>34</v>
      </c>
      <c r="L68" s="8" t="s">
        <v>416</v>
      </c>
      <c r="M68" s="7" t="s">
        <v>70</v>
      </c>
      <c r="N68" s="7" t="s">
        <v>49</v>
      </c>
      <c r="O68" s="7" t="s">
        <v>84</v>
      </c>
      <c r="P68" s="7" t="s">
        <v>51</v>
      </c>
      <c r="Q68" s="24" t="s">
        <v>426</v>
      </c>
      <c r="R68" s="7" t="s">
        <v>41</v>
      </c>
      <c r="T68" s="7" t="s">
        <v>42</v>
      </c>
    </row>
    <row r="69">
      <c r="A69" s="6">
        <v>45205.616695868055</v>
      </c>
      <c r="B69" s="7" t="s">
        <v>25</v>
      </c>
      <c r="C69" s="7" t="s">
        <v>94</v>
      </c>
      <c r="D69" s="7" t="s">
        <v>427</v>
      </c>
      <c r="E69" s="7" t="s">
        <v>75</v>
      </c>
      <c r="F69" s="7" t="s">
        <v>29</v>
      </c>
      <c r="G69" s="7" t="s">
        <v>30</v>
      </c>
      <c r="H69" s="7" t="s">
        <v>67</v>
      </c>
      <c r="I69" s="7" t="s">
        <v>340</v>
      </c>
      <c r="J69" s="7" t="s">
        <v>428</v>
      </c>
      <c r="K69" s="7" t="s">
        <v>34</v>
      </c>
      <c r="L69" s="8" t="s">
        <v>416</v>
      </c>
      <c r="M69" s="7" t="s">
        <v>61</v>
      </c>
      <c r="N69" s="7" t="s">
        <v>49</v>
      </c>
      <c r="O69" s="7" t="s">
        <v>429</v>
      </c>
      <c r="P69" s="7" t="s">
        <v>51</v>
      </c>
      <c r="Q69" s="24" t="s">
        <v>430</v>
      </c>
      <c r="R69" s="7" t="s">
        <v>53</v>
      </c>
      <c r="T69" s="7" t="s">
        <v>42</v>
      </c>
    </row>
    <row r="70">
      <c r="A70" s="6">
        <v>45205.626866562496</v>
      </c>
      <c r="B70" s="7" t="s">
        <v>25</v>
      </c>
      <c r="C70" s="7" t="s">
        <v>431</v>
      </c>
      <c r="D70" s="7" t="s">
        <v>432</v>
      </c>
      <c r="E70" s="7" t="s">
        <v>75</v>
      </c>
      <c r="F70" s="7" t="s">
        <v>58</v>
      </c>
      <c r="G70" s="7" t="s">
        <v>59</v>
      </c>
      <c r="H70" s="7" t="s">
        <v>191</v>
      </c>
      <c r="I70" s="7" t="s">
        <v>33</v>
      </c>
      <c r="J70" s="7" t="s">
        <v>433</v>
      </c>
      <c r="K70" s="7" t="s">
        <v>47</v>
      </c>
      <c r="L70" s="8" t="s">
        <v>416</v>
      </c>
      <c r="M70" s="7" t="s">
        <v>78</v>
      </c>
      <c r="N70" s="7" t="s">
        <v>37</v>
      </c>
      <c r="O70" s="7" t="s">
        <v>38</v>
      </c>
      <c r="P70" s="7" t="s">
        <v>39</v>
      </c>
      <c r="Q70" s="24" t="s">
        <v>434</v>
      </c>
      <c r="R70" s="7" t="s">
        <v>53</v>
      </c>
      <c r="T70" s="7" t="s">
        <v>42</v>
      </c>
    </row>
    <row r="71">
      <c r="A71" s="6">
        <v>45205.628291817135</v>
      </c>
      <c r="B71" s="7" t="s">
        <v>25</v>
      </c>
      <c r="C71" s="7" t="s">
        <v>435</v>
      </c>
      <c r="D71" s="7" t="s">
        <v>94</v>
      </c>
      <c r="E71" s="7" t="s">
        <v>75</v>
      </c>
      <c r="F71" s="7" t="s">
        <v>58</v>
      </c>
      <c r="G71" s="7" t="s">
        <v>106</v>
      </c>
      <c r="H71" s="7" t="s">
        <v>186</v>
      </c>
      <c r="I71" s="7" t="s">
        <v>33</v>
      </c>
      <c r="J71" s="7" t="s">
        <v>199</v>
      </c>
      <c r="K71" s="7" t="s">
        <v>47</v>
      </c>
      <c r="L71" s="8" t="s">
        <v>416</v>
      </c>
      <c r="M71" s="7" t="s">
        <v>78</v>
      </c>
      <c r="N71" s="7" t="s">
        <v>49</v>
      </c>
      <c r="O71" s="7" t="s">
        <v>436</v>
      </c>
      <c r="P71" s="7" t="s">
        <v>51</v>
      </c>
      <c r="Q71" s="24" t="s">
        <v>437</v>
      </c>
      <c r="R71" s="7" t="s">
        <v>53</v>
      </c>
      <c r="T71" s="7" t="s">
        <v>54</v>
      </c>
    </row>
    <row r="72">
      <c r="A72" s="19">
        <v>45236.636060150464</v>
      </c>
      <c r="B72" s="20" t="s">
        <v>25</v>
      </c>
      <c r="C72" s="20" t="s">
        <v>414</v>
      </c>
      <c r="D72" s="20" t="s">
        <v>387</v>
      </c>
      <c r="E72" s="20" t="s">
        <v>388</v>
      </c>
      <c r="F72" s="20" t="s">
        <v>58</v>
      </c>
      <c r="G72" s="20" t="s">
        <v>59</v>
      </c>
      <c r="H72" s="20" t="s">
        <v>191</v>
      </c>
      <c r="I72" s="20" t="s">
        <v>33</v>
      </c>
      <c r="J72" s="22"/>
      <c r="K72" s="20" t="s">
        <v>47</v>
      </c>
      <c r="L72" s="21" t="s">
        <v>438</v>
      </c>
      <c r="M72" s="20" t="s">
        <v>70</v>
      </c>
      <c r="N72" s="20" t="s">
        <v>89</v>
      </c>
      <c r="O72" s="20" t="s">
        <v>38</v>
      </c>
      <c r="P72" s="20" t="s">
        <v>51</v>
      </c>
      <c r="Q72" s="20" t="s">
        <v>439</v>
      </c>
      <c r="R72" s="20" t="s">
        <v>53</v>
      </c>
      <c r="S72" s="22"/>
      <c r="T72" s="20" t="s">
        <v>42</v>
      </c>
      <c r="U72" s="22"/>
      <c r="V72" s="22"/>
      <c r="W72" s="22"/>
      <c r="X72" s="22"/>
      <c r="Y72" s="22"/>
      <c r="Z72" s="22"/>
      <c r="AA72" s="22"/>
      <c r="AB72" s="22"/>
      <c r="AC72" s="22"/>
    </row>
    <row r="73">
      <c r="A73" s="19">
        <v>45236.644667870365</v>
      </c>
      <c r="B73" s="20" t="s">
        <v>25</v>
      </c>
      <c r="C73" s="20" t="s">
        <v>94</v>
      </c>
      <c r="D73" s="20" t="s">
        <v>440</v>
      </c>
      <c r="E73" s="20" t="s">
        <v>75</v>
      </c>
      <c r="F73" s="20" t="s">
        <v>58</v>
      </c>
      <c r="G73" s="20" t="s">
        <v>59</v>
      </c>
      <c r="H73" s="20" t="s">
        <v>206</v>
      </c>
      <c r="I73" s="20" t="s">
        <v>33</v>
      </c>
      <c r="J73" s="20" t="s">
        <v>199</v>
      </c>
      <c r="K73" s="20" t="s">
        <v>34</v>
      </c>
      <c r="L73" s="21" t="s">
        <v>438</v>
      </c>
      <c r="M73" s="20" t="s">
        <v>70</v>
      </c>
      <c r="N73" s="20" t="s">
        <v>169</v>
      </c>
      <c r="O73" s="20" t="s">
        <v>412</v>
      </c>
      <c r="P73" s="20" t="s">
        <v>39</v>
      </c>
      <c r="Q73" s="20" t="s">
        <v>441</v>
      </c>
      <c r="R73" s="20" t="s">
        <v>41</v>
      </c>
      <c r="S73" s="22"/>
      <c r="T73" s="20" t="s">
        <v>42</v>
      </c>
      <c r="U73" s="22"/>
      <c r="V73" s="22"/>
      <c r="W73" s="22"/>
      <c r="X73" s="22"/>
      <c r="Y73" s="22"/>
      <c r="Z73" s="22"/>
      <c r="AA73" s="22"/>
      <c r="AB73" s="22"/>
      <c r="AC73" s="22"/>
    </row>
    <row r="74">
      <c r="A74" s="19">
        <v>45236.646100937505</v>
      </c>
      <c r="B74" s="20" t="s">
        <v>25</v>
      </c>
      <c r="C74" s="20" t="s">
        <v>222</v>
      </c>
      <c r="D74" s="20" t="s">
        <v>94</v>
      </c>
      <c r="E74" s="20" t="s">
        <v>75</v>
      </c>
      <c r="F74" s="20" t="s">
        <v>58</v>
      </c>
      <c r="G74" s="20" t="s">
        <v>59</v>
      </c>
      <c r="H74" s="20" t="s">
        <v>186</v>
      </c>
      <c r="I74" s="20" t="s">
        <v>33</v>
      </c>
      <c r="J74" s="20" t="s">
        <v>218</v>
      </c>
      <c r="K74" s="20" t="s">
        <v>47</v>
      </c>
      <c r="L74" s="21" t="s">
        <v>438</v>
      </c>
      <c r="M74" s="20" t="s">
        <v>36</v>
      </c>
      <c r="N74" s="20" t="s">
        <v>89</v>
      </c>
      <c r="O74" s="20" t="s">
        <v>223</v>
      </c>
      <c r="P74" s="20" t="s">
        <v>51</v>
      </c>
      <c r="Q74" s="20" t="s">
        <v>442</v>
      </c>
      <c r="R74" s="20" t="s">
        <v>53</v>
      </c>
      <c r="S74" s="22"/>
      <c r="T74" s="20" t="s">
        <v>54</v>
      </c>
      <c r="U74" s="22"/>
      <c r="V74" s="22"/>
      <c r="W74" s="22"/>
      <c r="X74" s="22"/>
      <c r="Y74" s="22"/>
      <c r="Z74" s="22"/>
      <c r="AA74" s="22"/>
      <c r="AB74" s="22"/>
      <c r="AC74" s="22"/>
    </row>
    <row r="75">
      <c r="A75" s="19">
        <v>45238.53256518519</v>
      </c>
      <c r="B75" s="20" t="s">
        <v>25</v>
      </c>
      <c r="C75" s="20" t="s">
        <v>230</v>
      </c>
      <c r="D75" s="20" t="s">
        <v>231</v>
      </c>
      <c r="E75" s="20" t="s">
        <v>443</v>
      </c>
      <c r="F75" s="20" t="s">
        <v>96</v>
      </c>
      <c r="G75" s="20" t="s">
        <v>59</v>
      </c>
      <c r="H75" s="20" t="s">
        <v>67</v>
      </c>
      <c r="I75" s="20" t="s">
        <v>33</v>
      </c>
      <c r="J75" s="20" t="s">
        <v>32</v>
      </c>
      <c r="K75" s="20" t="s">
        <v>34</v>
      </c>
      <c r="L75" s="21" t="s">
        <v>438</v>
      </c>
      <c r="M75" s="20" t="s">
        <v>70</v>
      </c>
      <c r="N75" s="20" t="s">
        <v>49</v>
      </c>
      <c r="O75" s="20" t="s">
        <v>444</v>
      </c>
      <c r="P75" s="20" t="s">
        <v>51</v>
      </c>
      <c r="Q75" s="20" t="s">
        <v>445</v>
      </c>
      <c r="R75" s="20" t="s">
        <v>41</v>
      </c>
      <c r="S75" s="22"/>
      <c r="T75" s="20" t="s">
        <v>42</v>
      </c>
      <c r="U75" s="22"/>
      <c r="V75" s="22"/>
      <c r="W75" s="22"/>
      <c r="X75" s="22"/>
      <c r="Y75" s="22"/>
      <c r="Z75" s="22"/>
      <c r="AA75" s="22"/>
      <c r="AB75" s="22"/>
      <c r="AC75" s="22"/>
    </row>
    <row r="76">
      <c r="A76" s="6">
        <v>45279.005492847224</v>
      </c>
      <c r="B76" s="7" t="s">
        <v>25</v>
      </c>
      <c r="C76" s="7" t="s">
        <v>446</v>
      </c>
      <c r="D76" s="7" t="s">
        <v>44</v>
      </c>
      <c r="E76" s="7" t="s">
        <v>45</v>
      </c>
      <c r="F76" s="7" t="s">
        <v>29</v>
      </c>
      <c r="G76" s="7" t="s">
        <v>30</v>
      </c>
      <c r="H76" s="7" t="s">
        <v>46</v>
      </c>
      <c r="I76" s="7" t="s">
        <v>33</v>
      </c>
      <c r="K76" s="7" t="s">
        <v>34</v>
      </c>
      <c r="L76" s="8" t="s">
        <v>447</v>
      </c>
      <c r="M76" s="7" t="s">
        <v>70</v>
      </c>
      <c r="N76" s="7" t="s">
        <v>49</v>
      </c>
      <c r="O76" s="7" t="s">
        <v>71</v>
      </c>
      <c r="P76" s="7" t="s">
        <v>51</v>
      </c>
      <c r="Q76" s="7" t="s">
        <v>448</v>
      </c>
      <c r="R76" s="7" t="s">
        <v>41</v>
      </c>
      <c r="T76" s="7" t="s">
        <v>42</v>
      </c>
    </row>
    <row r="77">
      <c r="A77" s="6">
        <v>45279.00966186343</v>
      </c>
      <c r="B77" s="7" t="s">
        <v>25</v>
      </c>
      <c r="C77" s="7" t="s">
        <v>449</v>
      </c>
      <c r="D77" s="7" t="s">
        <v>94</v>
      </c>
      <c r="E77" s="7" t="s">
        <v>75</v>
      </c>
      <c r="F77" s="7" t="s">
        <v>58</v>
      </c>
      <c r="G77" s="7" t="s">
        <v>59</v>
      </c>
      <c r="H77" s="7" t="s">
        <v>206</v>
      </c>
      <c r="I77" s="7" t="s">
        <v>33</v>
      </c>
      <c r="J77" s="7" t="s">
        <v>450</v>
      </c>
      <c r="K77" s="7" t="s">
        <v>69</v>
      </c>
      <c r="L77" s="8" t="s">
        <v>447</v>
      </c>
      <c r="M77" s="7" t="s">
        <v>61</v>
      </c>
      <c r="N77" s="7" t="s">
        <v>37</v>
      </c>
      <c r="O77" s="7" t="s">
        <v>451</v>
      </c>
      <c r="P77" s="7" t="s">
        <v>39</v>
      </c>
      <c r="Q77" s="7" t="s">
        <v>452</v>
      </c>
      <c r="R77" s="7" t="s">
        <v>53</v>
      </c>
      <c r="T77" s="7" t="s">
        <v>42</v>
      </c>
    </row>
    <row r="78">
      <c r="A78" s="6">
        <v>45279.0135215162</v>
      </c>
      <c r="B78" s="7" t="s">
        <v>25</v>
      </c>
      <c r="C78" s="7" t="s">
        <v>453</v>
      </c>
      <c r="D78" s="7" t="s">
        <v>454</v>
      </c>
      <c r="E78" s="7" t="s">
        <v>45</v>
      </c>
      <c r="F78" s="7" t="s">
        <v>29</v>
      </c>
      <c r="G78" s="7" t="s">
        <v>30</v>
      </c>
      <c r="H78" s="7" t="s">
        <v>198</v>
      </c>
      <c r="I78" s="7" t="s">
        <v>33</v>
      </c>
      <c r="J78" s="7" t="s">
        <v>218</v>
      </c>
      <c r="K78" s="7" t="s">
        <v>34</v>
      </c>
      <c r="L78" s="8" t="s">
        <v>447</v>
      </c>
      <c r="M78" s="7" t="s">
        <v>61</v>
      </c>
      <c r="N78" s="7" t="s">
        <v>169</v>
      </c>
      <c r="O78" s="7" t="s">
        <v>455</v>
      </c>
      <c r="P78" s="7" t="s">
        <v>39</v>
      </c>
      <c r="Q78" s="7" t="s">
        <v>456</v>
      </c>
      <c r="R78" s="7" t="s">
        <v>53</v>
      </c>
      <c r="T78" s="7" t="s">
        <v>42</v>
      </c>
    </row>
    <row r="79">
      <c r="A79" s="6">
        <v>45279.017592592594</v>
      </c>
      <c r="B79" s="7" t="s">
        <v>25</v>
      </c>
      <c r="C79" s="7" t="s">
        <v>457</v>
      </c>
      <c r="D79" s="7" t="s">
        <v>458</v>
      </c>
      <c r="E79" s="7" t="s">
        <v>75</v>
      </c>
      <c r="F79" s="7" t="s">
        <v>29</v>
      </c>
      <c r="G79" s="7" t="s">
        <v>30</v>
      </c>
      <c r="H79" s="7" t="s">
        <v>206</v>
      </c>
      <c r="I79" s="7" t="s">
        <v>33</v>
      </c>
      <c r="J79" s="7" t="s">
        <v>340</v>
      </c>
      <c r="K79" s="7" t="s">
        <v>34</v>
      </c>
      <c r="L79" s="8" t="s">
        <v>447</v>
      </c>
      <c r="M79" s="7" t="s">
        <v>78</v>
      </c>
      <c r="N79" s="7" t="s">
        <v>169</v>
      </c>
      <c r="O79" s="7" t="s">
        <v>459</v>
      </c>
      <c r="P79" s="7" t="s">
        <v>39</v>
      </c>
      <c r="Q79" s="7" t="s">
        <v>460</v>
      </c>
      <c r="R79" s="7" t="s">
        <v>41</v>
      </c>
      <c r="T79" s="7" t="s">
        <v>42</v>
      </c>
    </row>
    <row r="80">
      <c r="A80" s="6">
        <v>45279.02082150463</v>
      </c>
      <c r="B80" s="7" t="s">
        <v>25</v>
      </c>
      <c r="C80" s="7" t="s">
        <v>461</v>
      </c>
      <c r="D80" s="7" t="s">
        <v>462</v>
      </c>
      <c r="E80" s="7" t="s">
        <v>463</v>
      </c>
      <c r="F80" s="7" t="s">
        <v>29</v>
      </c>
      <c r="G80" s="7" t="s">
        <v>30</v>
      </c>
      <c r="H80" s="7" t="s">
        <v>67</v>
      </c>
      <c r="I80" s="7" t="s">
        <v>450</v>
      </c>
      <c r="J80" s="7" t="s">
        <v>33</v>
      </c>
      <c r="K80" s="7" t="s">
        <v>34</v>
      </c>
      <c r="L80" s="8" t="s">
        <v>447</v>
      </c>
      <c r="M80" s="7" t="s">
        <v>70</v>
      </c>
      <c r="N80" s="7" t="s">
        <v>169</v>
      </c>
      <c r="O80" s="7" t="s">
        <v>223</v>
      </c>
      <c r="P80" s="7" t="s">
        <v>39</v>
      </c>
      <c r="Q80" s="7" t="s">
        <v>464</v>
      </c>
      <c r="R80" s="7" t="s">
        <v>41</v>
      </c>
      <c r="T80" s="7" t="s">
        <v>42</v>
      </c>
    </row>
    <row r="81">
      <c r="A81" s="10">
        <v>45301.63128564815</v>
      </c>
      <c r="B81" s="11" t="s">
        <v>25</v>
      </c>
      <c r="C81" s="11" t="s">
        <v>465</v>
      </c>
      <c r="D81" s="11" t="s">
        <v>466</v>
      </c>
      <c r="E81" s="11" t="s">
        <v>75</v>
      </c>
      <c r="F81" s="11" t="s">
        <v>58</v>
      </c>
      <c r="G81" s="11" t="s">
        <v>59</v>
      </c>
      <c r="H81" s="11" t="s">
        <v>46</v>
      </c>
      <c r="I81" s="11" t="s">
        <v>33</v>
      </c>
      <c r="J81" s="13"/>
      <c r="K81" s="11" t="s">
        <v>34</v>
      </c>
      <c r="L81" s="12" t="s">
        <v>467</v>
      </c>
      <c r="M81" s="11" t="s">
        <v>70</v>
      </c>
      <c r="N81" s="11" t="s">
        <v>169</v>
      </c>
      <c r="O81" s="11" t="s">
        <v>429</v>
      </c>
      <c r="P81" s="11" t="s">
        <v>39</v>
      </c>
      <c r="Q81" s="11" t="s">
        <v>468</v>
      </c>
      <c r="R81" s="11" t="s">
        <v>41</v>
      </c>
      <c r="S81" s="13"/>
      <c r="T81" s="11" t="s">
        <v>54</v>
      </c>
      <c r="U81" s="13"/>
      <c r="V81" s="13"/>
      <c r="W81" s="13"/>
      <c r="X81" s="13"/>
      <c r="Y81" s="13"/>
      <c r="Z81" s="13"/>
      <c r="AA81" s="13"/>
      <c r="AB81" s="13"/>
      <c r="AC81" s="13"/>
    </row>
    <row r="82">
      <c r="A82" s="10">
        <v>45301.63446376157</v>
      </c>
      <c r="B82" s="11" t="s">
        <v>25</v>
      </c>
      <c r="C82" s="11" t="s">
        <v>469</v>
      </c>
      <c r="D82" s="11" t="s">
        <v>372</v>
      </c>
      <c r="E82" s="11" t="s">
        <v>45</v>
      </c>
      <c r="F82" s="11" t="s">
        <v>58</v>
      </c>
      <c r="G82" s="11" t="s">
        <v>59</v>
      </c>
      <c r="H82" s="11" t="s">
        <v>67</v>
      </c>
      <c r="I82" s="11" t="s">
        <v>33</v>
      </c>
      <c r="J82" s="13"/>
      <c r="K82" s="11" t="s">
        <v>34</v>
      </c>
      <c r="L82" s="12" t="s">
        <v>467</v>
      </c>
      <c r="M82" s="11" t="s">
        <v>70</v>
      </c>
      <c r="N82" s="11" t="s">
        <v>37</v>
      </c>
      <c r="O82" s="11" t="s">
        <v>470</v>
      </c>
      <c r="P82" s="11" t="s">
        <v>51</v>
      </c>
      <c r="Q82" s="11" t="s">
        <v>471</v>
      </c>
      <c r="R82" s="11" t="s">
        <v>41</v>
      </c>
      <c r="S82" s="13"/>
      <c r="T82" s="11" t="s">
        <v>42</v>
      </c>
      <c r="U82" s="13"/>
      <c r="V82" s="13"/>
      <c r="W82" s="13"/>
      <c r="X82" s="13"/>
      <c r="Y82" s="13"/>
      <c r="Z82" s="13"/>
      <c r="AA82" s="13"/>
      <c r="AB82" s="13"/>
      <c r="AC82" s="13"/>
    </row>
    <row r="83">
      <c r="A83" s="10">
        <v>45301.63750856482</v>
      </c>
      <c r="B83" s="11" t="s">
        <v>25</v>
      </c>
      <c r="C83" s="11" t="s">
        <v>472</v>
      </c>
      <c r="D83" s="11" t="s">
        <v>473</v>
      </c>
      <c r="E83" s="11" t="s">
        <v>75</v>
      </c>
      <c r="F83" s="11" t="s">
        <v>58</v>
      </c>
      <c r="G83" s="11" t="s">
        <v>59</v>
      </c>
      <c r="H83" s="11" t="s">
        <v>122</v>
      </c>
      <c r="I83" s="11" t="s">
        <v>33</v>
      </c>
      <c r="J83" s="11" t="s">
        <v>450</v>
      </c>
      <c r="K83" s="11" t="s">
        <v>34</v>
      </c>
      <c r="L83" s="12" t="s">
        <v>467</v>
      </c>
      <c r="M83" s="11" t="s">
        <v>61</v>
      </c>
      <c r="N83" s="11" t="s">
        <v>169</v>
      </c>
      <c r="O83" s="11" t="s">
        <v>474</v>
      </c>
      <c r="P83" s="11" t="s">
        <v>39</v>
      </c>
      <c r="Q83" s="11" t="s">
        <v>475</v>
      </c>
      <c r="R83" s="11" t="s">
        <v>53</v>
      </c>
      <c r="S83" s="13"/>
      <c r="T83" s="11" t="s">
        <v>54</v>
      </c>
      <c r="U83" s="13"/>
      <c r="V83" s="13"/>
      <c r="W83" s="13"/>
      <c r="X83" s="13"/>
      <c r="Y83" s="13"/>
      <c r="Z83" s="13"/>
      <c r="AA83" s="13"/>
      <c r="AB83" s="13"/>
      <c r="AC83" s="13"/>
    </row>
    <row r="84">
      <c r="A84" s="6">
        <v>45302.56935899306</v>
      </c>
      <c r="B84" s="7" t="s">
        <v>247</v>
      </c>
      <c r="C84" s="7" t="s">
        <v>476</v>
      </c>
      <c r="D84" s="7" t="s">
        <v>477</v>
      </c>
      <c r="E84" s="7" t="s">
        <v>75</v>
      </c>
      <c r="F84" s="7" t="s">
        <v>58</v>
      </c>
      <c r="G84" s="7" t="s">
        <v>59</v>
      </c>
      <c r="H84" s="7" t="s">
        <v>478</v>
      </c>
      <c r="I84" s="7" t="s">
        <v>32</v>
      </c>
      <c r="J84" s="7" t="s">
        <v>33</v>
      </c>
      <c r="K84" s="7" t="s">
        <v>69</v>
      </c>
      <c r="L84" s="8" t="s">
        <v>467</v>
      </c>
      <c r="M84" s="7" t="s">
        <v>70</v>
      </c>
      <c r="N84" s="7" t="s">
        <v>326</v>
      </c>
      <c r="O84" s="7" t="s">
        <v>223</v>
      </c>
      <c r="P84" s="7" t="s">
        <v>39</v>
      </c>
      <c r="Q84" s="7" t="s">
        <v>479</v>
      </c>
      <c r="R84" s="7" t="s">
        <v>41</v>
      </c>
      <c r="T84" s="7" t="s">
        <v>42</v>
      </c>
      <c r="U84" s="7" t="s">
        <v>479</v>
      </c>
      <c r="V84" s="7" t="s">
        <v>480</v>
      </c>
      <c r="W84" s="7" t="s">
        <v>140</v>
      </c>
    </row>
    <row r="85">
      <c r="A85" s="6">
        <v>45302.57241972222</v>
      </c>
      <c r="B85" s="7" t="s">
        <v>247</v>
      </c>
      <c r="C85" s="7" t="s">
        <v>481</v>
      </c>
      <c r="D85" s="7" t="s">
        <v>482</v>
      </c>
      <c r="E85" s="7" t="s">
        <v>57</v>
      </c>
      <c r="F85" s="7" t="s">
        <v>483</v>
      </c>
      <c r="G85" s="7" t="s">
        <v>30</v>
      </c>
      <c r="H85" s="7" t="s">
        <v>484</v>
      </c>
      <c r="I85" s="7" t="s">
        <v>32</v>
      </c>
      <c r="K85" s="7" t="s">
        <v>69</v>
      </c>
      <c r="L85" s="8" t="s">
        <v>467</v>
      </c>
      <c r="M85" s="7" t="s">
        <v>70</v>
      </c>
      <c r="N85" s="7" t="s">
        <v>89</v>
      </c>
      <c r="O85" s="7" t="s">
        <v>38</v>
      </c>
      <c r="P85" s="7" t="s">
        <v>51</v>
      </c>
      <c r="Q85" s="7" t="s">
        <v>485</v>
      </c>
      <c r="R85" s="7" t="s">
        <v>41</v>
      </c>
      <c r="T85" s="7" t="s">
        <v>42</v>
      </c>
      <c r="U85" s="7" t="s">
        <v>486</v>
      </c>
      <c r="V85" s="7" t="s">
        <v>487</v>
      </c>
      <c r="W85" s="7" t="s">
        <v>140</v>
      </c>
    </row>
    <row r="86">
      <c r="A86" s="6">
        <v>45302.580473842594</v>
      </c>
      <c r="B86" s="7" t="s">
        <v>247</v>
      </c>
      <c r="C86" s="7" t="s">
        <v>488</v>
      </c>
      <c r="D86" s="7" t="s">
        <v>489</v>
      </c>
      <c r="E86" s="7" t="s">
        <v>344</v>
      </c>
      <c r="F86" s="7" t="s">
        <v>58</v>
      </c>
      <c r="G86" s="7" t="s">
        <v>59</v>
      </c>
      <c r="H86" s="7" t="s">
        <v>490</v>
      </c>
      <c r="I86" s="7" t="s">
        <v>32</v>
      </c>
      <c r="J86" s="7" t="s">
        <v>199</v>
      </c>
      <c r="K86" s="7" t="s">
        <v>69</v>
      </c>
      <c r="L86" s="8" t="s">
        <v>467</v>
      </c>
      <c r="M86" s="7" t="s">
        <v>70</v>
      </c>
      <c r="N86" s="7" t="s">
        <v>37</v>
      </c>
      <c r="O86" s="7" t="s">
        <v>278</v>
      </c>
      <c r="P86" s="7" t="s">
        <v>51</v>
      </c>
      <c r="Q86" s="7" t="s">
        <v>491</v>
      </c>
      <c r="R86" s="7" t="s">
        <v>41</v>
      </c>
      <c r="T86" s="7" t="s">
        <v>42</v>
      </c>
      <c r="U86" s="7" t="s">
        <v>491</v>
      </c>
      <c r="V86" s="7" t="s">
        <v>492</v>
      </c>
      <c r="W86" s="7" t="s">
        <v>361</v>
      </c>
    </row>
    <row r="87">
      <c r="A87" s="6"/>
      <c r="B87" s="7"/>
      <c r="C87" s="7"/>
      <c r="D87" s="7"/>
      <c r="E87" s="7"/>
      <c r="F87" s="7"/>
      <c r="G87" s="7"/>
      <c r="H87" s="7"/>
      <c r="I87" s="7"/>
      <c r="J87" s="7"/>
      <c r="K87" s="7"/>
      <c r="L87" s="7"/>
      <c r="M87" s="7"/>
      <c r="N87" s="7"/>
      <c r="O87" s="7"/>
      <c r="P87" s="7"/>
      <c r="Q87" s="7"/>
      <c r="R87" s="7"/>
      <c r="T87" s="7"/>
      <c r="U87" s="7"/>
      <c r="V87" s="7"/>
      <c r="W87" s="7"/>
    </row>
  </sheetData>
  <autoFilter ref="$A$1:$AC$86"/>
  <hyperlinks>
    <hyperlink r:id="rId1" ref="D49"/>
    <hyperlink r:id="rId2" ref="D6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25"/>
    <col customWidth="1" min="3" max="3" width="6.88"/>
    <col customWidth="1" min="4" max="4" width="11.13"/>
    <col customWidth="1" min="5" max="5" width="8.25"/>
    <col customWidth="1" min="6" max="6" width="8.5"/>
    <col customWidth="1" min="7" max="7" width="11.63"/>
    <col customWidth="1" min="8" max="8" width="10.38"/>
    <col customWidth="1" min="9" max="9" width="8.38"/>
    <col customWidth="1" min="10" max="10" width="17.13"/>
    <col customWidth="1" min="12" max="12" width="7.75"/>
    <col customWidth="1" min="13" max="13" width="19.88"/>
    <col customWidth="1" min="15" max="15" width="8.25"/>
    <col customWidth="1" min="16" max="16" width="29.88"/>
    <col customWidth="1" min="18" max="18" width="9.0"/>
    <col customWidth="1" min="19" max="19" width="17.38"/>
    <col customWidth="1" min="20" max="20" width="17.0"/>
    <col customWidth="1" min="21" max="21" width="8.25"/>
    <col customWidth="1" min="22" max="22" width="41.38"/>
    <col customWidth="1" min="25" max="25" width="27.88"/>
    <col customWidth="1" min="26" max="26" width="25.25"/>
    <col customWidth="1" min="28" max="28" width="34.25"/>
    <col customWidth="1" min="31" max="31" width="40.25"/>
  </cols>
  <sheetData>
    <row r="1">
      <c r="A1" s="25" t="s">
        <v>493</v>
      </c>
      <c r="B1" s="26" t="s">
        <v>494</v>
      </c>
      <c r="C1" s="27"/>
      <c r="D1" s="28" t="s">
        <v>495</v>
      </c>
      <c r="E1" s="29" t="s">
        <v>496</v>
      </c>
      <c r="F1" s="27"/>
      <c r="G1" s="28" t="s">
        <v>497</v>
      </c>
      <c r="H1" s="29" t="s">
        <v>496</v>
      </c>
      <c r="I1" s="27"/>
      <c r="J1" s="30" t="s">
        <v>498</v>
      </c>
      <c r="K1" s="29" t="s">
        <v>496</v>
      </c>
      <c r="L1" s="27"/>
      <c r="M1" s="31" t="s">
        <v>499</v>
      </c>
      <c r="N1" s="32" t="s">
        <v>496</v>
      </c>
      <c r="O1" s="27"/>
      <c r="P1" s="33" t="str">
        <f>IFERROR(__xludf.DUMMYFUNCTION("ArrayFormula(QUERY(TRANSPOSE(SPLIT(JOIN("", "",'Internal Reporting Form'!E2:E1000),"", "",false)&amp;{"""";""""}),""select Col1, count(Col2) where not(Col1 matches 'and|is|on|to|a|I|their|the|in|for|about|they|from|them|-|what|They|of|that|we|at|an|him|are') "&amp;"group by Col1 order by count(Col2) desc limit 10 label Col1 'Sectors that the organization works in?', count(Col2) 'Frequency'"",0))"),"Sectors that the organization works in?")</f>
        <v>Sectors that the organization works in?</v>
      </c>
      <c r="Q1" s="32" t="str">
        <f>IFERROR(__xludf.DUMMYFUNCTION("""COMPUTED_VALUE"""),"Frequency")</f>
        <v>Frequency</v>
      </c>
      <c r="R1" s="27"/>
      <c r="S1" s="33" t="str">
        <f>IFERROR(__xludf.DUMMYFUNCTION("ArrayFormula(QUERY(TRANSPOSE(SPLIT(JOIN("", "",'Internal Reporting Form'!F2:F1000),"", "",false)&amp;{"""";""""}),""select Col1, count(Col2) where not(Col1 matches 'and|is|on|to|a|I|their|the|in|for|about|they|from|them|-|what|They|of|that|we|at|an|him|are') "&amp;"group by Col1 order by count(Col2) desc limit 10 label Col1 'Type Of Organization', count(Col2) 'Frequency'"",0))"),"Type Of Organization")</f>
        <v>Type Of Organization</v>
      </c>
      <c r="T1" s="32" t="str">
        <f>IFERROR(__xludf.DUMMYFUNCTION("""COMPUTED_VALUE"""),"Frequency")</f>
        <v>Frequency</v>
      </c>
      <c r="U1" s="27"/>
      <c r="V1" s="33" t="str">
        <f>IFERROR(__xludf.DUMMYFUNCTION("ArrayFormula(QUERY(TRANSPOSE(SPLIT(JOIN("", "",'Internal Reporting Form'!K2:K1000),"", "",false)&amp;{"""";""""}),""select Col1, count(Col2) where not(Col1 matches 'and|is|on|to|a|I|their|the|in|for|about|they|from|them|-|what|They|of|that|we|at|an|him|are') "&amp;"group by Col1 order by count(Col2) desc limit 10 label Col1 'How did the LiTS Happen?', count(Col2) 'Frequency'"",0))"),"How did the LiTS Happen?")</f>
        <v>How did the LiTS Happen?</v>
      </c>
      <c r="W1" s="32" t="str">
        <f>IFERROR(__xludf.DUMMYFUNCTION("""COMPUTED_VALUE"""),"Frequency")</f>
        <v>Frequency</v>
      </c>
      <c r="X1" s="27"/>
      <c r="Y1" s="33" t="str">
        <f>IFERROR(__xludf.DUMMYFUNCTION("ArrayFormula(QUERY(TRANSPOSE(SPLIT(JOIN("", "",'Internal Reporting Form'!O2:O1000),"", "",false)&amp;{"""";""""}),""select Col1, count(Col2) where not(Col1 matches 'and|is|on|to|a|I|their|the|in|for|about|they|from|them|-|what|They|of|that|we|at|an|him|are') "&amp;"group by Col1 order by count(Col2) desc limit 10 label Col1 'What Type of Information Did you provide?', count(Col2) 'Frequency'"",0))"),"What Type of Information Did you provide?")</f>
        <v>What Type of Information Did you provide?</v>
      </c>
      <c r="Z1" s="32" t="str">
        <f>IFERROR(__xludf.DUMMYFUNCTION("""COMPUTED_VALUE"""),"Frequency")</f>
        <v>Frequency</v>
      </c>
      <c r="AA1" s="27"/>
      <c r="AB1" s="25" t="s">
        <v>500</v>
      </c>
      <c r="AC1" s="25" t="s">
        <v>501</v>
      </c>
      <c r="AE1" s="33" t="str">
        <f>IFERROR(__xludf.DUMMYFUNCTION("ArrayFormula(QUERY(TRANSPOSE(SPLIT(JOIN("", "",'Internal Reporting Form'!O2:O1000),"", "",false)&amp;{"""";""""}),""select Col1, count(Col2) where not(Col1 matches 'and|is|on|to|a|I|their|the|in|for|about|they|from|them|-|what|They|of|that|we|at|an|him|are') "&amp;"group by Col1 order by count(Col2) desc limit 10 label Col1 'What Type of Information Did you provide?', count(Col2) 'Frequency'"",0))"),"What Type of Information Did you provide?")</f>
        <v>What Type of Information Did you provide?</v>
      </c>
      <c r="AF1" s="32" t="str">
        <f>IFERROR(__xludf.DUMMYFUNCTION("""COMPUTED_VALUE"""),"Frequency")</f>
        <v>Frequency</v>
      </c>
    </row>
    <row r="2">
      <c r="A2" s="34" t="str">
        <f>IFERROR(__xludf.DUMMYFUNCTION("UNIQUE('Internal Reporting Form'!H2:H1000)"),"Netherlands")</f>
        <v>Netherlands</v>
      </c>
      <c r="B2" s="35">
        <f>countif('Internal Reporting Form'!H:H, A2)</f>
        <v>1</v>
      </c>
      <c r="C2" s="27"/>
      <c r="D2" s="36" t="s">
        <v>502</v>
      </c>
      <c r="E2" s="37">
        <f>COUNTA('Internal Reporting Form'!C2:C1000)</f>
        <v>85</v>
      </c>
      <c r="F2" s="27"/>
      <c r="G2" s="36" t="s">
        <v>503</v>
      </c>
      <c r="H2" s="37">
        <f>COUNTIF('Internal Reporting Form'!P88:P1000, "*1*")</f>
        <v>0</v>
      </c>
      <c r="I2" s="27"/>
      <c r="J2" s="38">
        <v>44927.0</v>
      </c>
      <c r="K2" s="37">
        <f>countif('Internal Reporting Form'!L:L, J2)</f>
        <v>4</v>
      </c>
      <c r="L2" s="27"/>
      <c r="M2" s="39" t="str">
        <f>IFERROR(__xludf.DUMMYFUNCTION("UNIQUE('Internal Reporting Form'!I2:I1000)"),"Barbara")</f>
        <v>Barbara</v>
      </c>
      <c r="N2" s="40">
        <f>countif('Internal Reporting Form'!I:I, M2)</f>
        <v>21</v>
      </c>
      <c r="O2" s="27"/>
      <c r="P2" s="39" t="str">
        <f>IFERROR(__xludf.DUMMYFUNCTION("""COMPUTED_VALUE"""),"Human rights / humanitarian")</f>
        <v>Human rights / humanitarian</v>
      </c>
      <c r="Q2" s="41">
        <f>IFERROR(__xludf.DUMMYFUNCTION("""COMPUTED_VALUE"""),41.0)</f>
        <v>41</v>
      </c>
      <c r="R2" s="27"/>
      <c r="S2" s="39" t="str">
        <f>IFERROR(__xludf.DUMMYFUNCTION("""COMPUTED_VALUE"""),"NGO - National")</f>
        <v>NGO - National</v>
      </c>
      <c r="T2" s="41">
        <f>IFERROR(__xludf.DUMMYFUNCTION("""COMPUTED_VALUE"""),45.0)</f>
        <v>45</v>
      </c>
      <c r="U2" s="27"/>
      <c r="V2" s="39" t="str">
        <f>IFERROR(__xludf.DUMMYFUNCTION("""COMPUTED_VALUE"""),"A colleague or friend referred them to me/us.")</f>
        <v>A colleague or friend referred them to me/us.</v>
      </c>
      <c r="W2" s="41">
        <f>IFERROR(__xludf.DUMMYFUNCTION("""COMPUTED_VALUE"""),29.0)</f>
        <v>29</v>
      </c>
      <c r="X2" s="27"/>
      <c r="Y2" s="42" t="str">
        <f>IFERROR(__xludf.DUMMYFUNCTION("""COMPUTED_VALUE"""),"General information about The Engine Room")</f>
        <v>General information about The Engine Room</v>
      </c>
      <c r="Z2" s="41">
        <f>IFERROR(__xludf.DUMMYFUNCTION("""COMPUTED_VALUE"""),60.0)</f>
        <v>60</v>
      </c>
      <c r="AA2" s="27"/>
      <c r="AB2" s="34" t="str">
        <f>IFERROR(__xludf.DUMMYFUNCTION("UNIQUE('Internal Reporting Form'!D2:D1000)"),"Peace Tech Lab")</f>
        <v>Peace Tech Lab</v>
      </c>
      <c r="AC2" s="34">
        <f>countif('Internal Reporting Form'!D:D, AB2)</f>
        <v>1</v>
      </c>
      <c r="AE2" s="42" t="str">
        <f>IFERROR(__xludf.DUMMYFUNCTION("""COMPUTED_VALUE"""),"General information about The Engine Room")</f>
        <v>General information about The Engine Room</v>
      </c>
      <c r="AF2" s="41">
        <f>IFERROR(__xludf.DUMMYFUNCTION("""COMPUTED_VALUE"""),60.0)</f>
        <v>60</v>
      </c>
    </row>
    <row r="3" ht="21.0" customHeight="1">
      <c r="A3" s="43" t="str">
        <f>IFERROR(__xludf.DUMMYFUNCTION("""COMPUTED_VALUE"""),"United Kingdom")</f>
        <v>United Kingdom</v>
      </c>
      <c r="B3" s="35">
        <f>countif('Internal Reporting Form'!H:H, A3)</f>
        <v>10</v>
      </c>
      <c r="C3" s="27"/>
      <c r="F3" s="27"/>
      <c r="G3" s="36" t="s">
        <v>504</v>
      </c>
      <c r="H3" s="37">
        <f>COUNTIF('Internal Reporting Form'!P88:P1000, "*2*")</f>
        <v>0</v>
      </c>
      <c r="I3" s="27"/>
      <c r="J3" s="38">
        <v>44958.0</v>
      </c>
      <c r="K3" s="37">
        <f>countif('Internal Reporting Form'!L:L, J3)</f>
        <v>4</v>
      </c>
      <c r="L3" s="27"/>
      <c r="M3" s="39" t="str">
        <f>IFERROR(__xludf.DUMMYFUNCTION("""COMPUTED_VALUE"""),"Lesedi")</f>
        <v>Lesedi</v>
      </c>
      <c r="N3" s="40">
        <f>countif('Internal Reporting Form'!I:I, M3)</f>
        <v>53</v>
      </c>
      <c r="O3" s="27"/>
      <c r="P3" s="39" t="str">
        <f>IFERROR(__xludf.DUMMYFUNCTION("""COMPUTED_VALUE"""),"Transparency and accountability / open government")</f>
        <v>Transparency and accountability / open government</v>
      </c>
      <c r="Q3" s="41">
        <f>IFERROR(__xludf.DUMMYFUNCTION("""COMPUTED_VALUE"""),14.0)</f>
        <v>14</v>
      </c>
      <c r="R3" s="27"/>
      <c r="S3" s="39" t="str">
        <f>IFERROR(__xludf.DUMMYFUNCTION("""COMPUTED_VALUE"""),"Subnational")</f>
        <v>Subnational</v>
      </c>
      <c r="T3" s="41">
        <f>IFERROR(__xludf.DUMMYFUNCTION("""COMPUTED_VALUE"""),45.0)</f>
        <v>45</v>
      </c>
      <c r="U3" s="27"/>
      <c r="V3" s="39" t="str">
        <f>IFERROR(__xludf.DUMMYFUNCTION("""COMPUTED_VALUE"""),"They applied through the website")</f>
        <v>They applied through the website</v>
      </c>
      <c r="W3" s="41">
        <f>IFERROR(__xludf.DUMMYFUNCTION("""COMPUTED_VALUE"""),25.0)</f>
        <v>25</v>
      </c>
      <c r="X3" s="27"/>
      <c r="Y3" s="42" t="str">
        <f>IFERROR(__xludf.DUMMYFUNCTION("""COMPUTED_VALUE"""),"Responsible Data - Resources and Learnings")</f>
        <v>Responsible Data - Resources and Learnings</v>
      </c>
      <c r="Z3" s="41">
        <f>IFERROR(__xludf.DUMMYFUNCTION("""COMPUTED_VALUE"""),28.0)</f>
        <v>28</v>
      </c>
      <c r="AA3" s="27"/>
      <c r="AB3" s="43" t="str">
        <f>IFERROR(__xludf.DUMMYFUNCTION("""COMPUTED_VALUE"""),"Fashion Revolution")</f>
        <v>Fashion Revolution</v>
      </c>
      <c r="AC3" s="34">
        <f>countif('Internal Reporting Form'!D:D, AB3)</f>
        <v>2</v>
      </c>
      <c r="AE3" s="42" t="str">
        <f>IFERROR(__xludf.DUMMYFUNCTION("""COMPUTED_VALUE"""),"Responsible Data - Resources and Learnings")</f>
        <v>Responsible Data - Resources and Learnings</v>
      </c>
      <c r="AF3" s="41">
        <f>IFERROR(__xludf.DUMMYFUNCTION("""COMPUTED_VALUE"""),28.0)</f>
        <v>28</v>
      </c>
    </row>
    <row r="4">
      <c r="A4" s="43" t="str">
        <f>IFERROR(__xludf.DUMMYFUNCTION("""COMPUTED_VALUE"""),"Malawi")</f>
        <v>Malawi</v>
      </c>
      <c r="B4" s="35">
        <f>countif('Internal Reporting Form'!H:H, A4)</f>
        <v>1</v>
      </c>
      <c r="C4" s="27"/>
      <c r="F4" s="27"/>
      <c r="G4" s="36" t="s">
        <v>505</v>
      </c>
      <c r="H4" s="37">
        <f>COUNTIF('Internal Reporting Form'!P88:P1000, "*3*")</f>
        <v>0</v>
      </c>
      <c r="I4" s="27"/>
      <c r="J4" s="38">
        <v>44986.0</v>
      </c>
      <c r="K4" s="37">
        <f>countif('Internal Reporting Form'!L:L, J4)</f>
        <v>7</v>
      </c>
      <c r="L4" s="27"/>
      <c r="M4" s="39" t="str">
        <f>IFERROR(__xludf.DUMMYFUNCTION("""COMPUTED_VALUE"""),"Nthabi")</f>
        <v>Nthabi</v>
      </c>
      <c r="N4" s="40">
        <f>countif('Internal Reporting Form'!I:I, M4)</f>
        <v>1</v>
      </c>
      <c r="O4" s="27"/>
      <c r="P4" s="39" t="str">
        <f>IFERROR(__xludf.DUMMYFUNCTION("""COMPUTED_VALUE"""),"Civic Tech")</f>
        <v>Civic Tech</v>
      </c>
      <c r="Q4" s="41">
        <f>IFERROR(__xludf.DUMMYFUNCTION("""COMPUTED_VALUE"""),6.0)</f>
        <v>6</v>
      </c>
      <c r="R4" s="27"/>
      <c r="S4" s="39" t="str">
        <f>IFERROR(__xludf.DUMMYFUNCTION("""COMPUTED_VALUE"""),"NGO - International")</f>
        <v>NGO - International</v>
      </c>
      <c r="T4" s="41">
        <f>IFERROR(__xludf.DUMMYFUNCTION("""COMPUTED_VALUE"""),26.0)</f>
        <v>26</v>
      </c>
      <c r="U4" s="27"/>
      <c r="V4" s="39" t="str">
        <f>IFERROR(__xludf.DUMMYFUNCTION("""COMPUTED_VALUE"""),"They applied for support with ER previously (e.g.Matchbox)")</f>
        <v>They applied for support with ER previously (e.g.Matchbox)</v>
      </c>
      <c r="W4" s="41">
        <f>IFERROR(__xludf.DUMMYFUNCTION("""COMPUTED_VALUE"""),13.0)</f>
        <v>13</v>
      </c>
      <c r="X4" s="27"/>
      <c r="Y4" s="42" t="str">
        <f>IFERROR(__xludf.DUMMYFUNCTION("""COMPUTED_VALUE"""),"Learnings or Guidelines")</f>
        <v>Learnings or Guidelines</v>
      </c>
      <c r="Z4" s="41">
        <f>IFERROR(__xludf.DUMMYFUNCTION("""COMPUTED_VALUE"""),24.0)</f>
        <v>24</v>
      </c>
      <c r="AA4" s="27"/>
      <c r="AB4" s="43" t="str">
        <f>IFERROR(__xludf.DUMMYFUNCTION("""COMPUTED_VALUE"""),"Center For Youth and Development")</f>
        <v>Center For Youth and Development</v>
      </c>
      <c r="AC4" s="34">
        <f>countif('Internal Reporting Form'!D:D, AB4)</f>
        <v>1</v>
      </c>
      <c r="AE4" s="42" t="str">
        <f>IFERROR(__xludf.DUMMYFUNCTION("""COMPUTED_VALUE"""),"Learnings or Guidelines")</f>
        <v>Learnings or Guidelines</v>
      </c>
      <c r="AF4" s="41">
        <f>IFERROR(__xludf.DUMMYFUNCTION("""COMPUTED_VALUE"""),24.0)</f>
        <v>24</v>
      </c>
    </row>
    <row r="5">
      <c r="A5" s="43" t="str">
        <f>IFERROR(__xludf.DUMMYFUNCTION("""COMPUTED_VALUE"""),"United States")</f>
        <v>United States</v>
      </c>
      <c r="B5" s="35">
        <f>countif('Internal Reporting Form'!H:H, A5)</f>
        <v>13</v>
      </c>
      <c r="C5" s="27"/>
      <c r="F5" s="27"/>
      <c r="I5" s="27"/>
      <c r="J5" s="38">
        <v>45017.0</v>
      </c>
      <c r="K5" s="37">
        <f>countif('Internal Reporting Form'!L:L, J5)</f>
        <v>8</v>
      </c>
      <c r="L5" s="27"/>
      <c r="M5" s="39" t="str">
        <f>IFERROR(__xludf.DUMMYFUNCTION("""COMPUTED_VALUE"""),"Sara")</f>
        <v>Sara</v>
      </c>
      <c r="N5" s="40">
        <f>countif('Internal Reporting Form'!I:I, M5)</f>
        <v>1</v>
      </c>
      <c r="O5" s="27"/>
      <c r="P5" s="39" t="str">
        <f>IFERROR(__xludf.DUMMYFUNCTION("""COMPUTED_VALUE"""),"Environmental justice")</f>
        <v>Environmental justice</v>
      </c>
      <c r="Q5" s="41">
        <f>IFERROR(__xludf.DUMMYFUNCTION("""COMPUTED_VALUE"""),4.0)</f>
        <v>4</v>
      </c>
      <c r="R5" s="27"/>
      <c r="S5" s="39" t="str">
        <f>IFERROR(__xludf.DUMMYFUNCTION("""COMPUTED_VALUE"""),"Informal - network")</f>
        <v>Informal - network</v>
      </c>
      <c r="T5" s="41">
        <f>IFERROR(__xludf.DUMMYFUNCTION("""COMPUTED_VALUE"""),11.0)</f>
        <v>11</v>
      </c>
      <c r="U5" s="27"/>
      <c r="V5" s="39" t="str">
        <f>IFERROR(__xludf.DUMMYFUNCTION("""COMPUTED_VALUE"""),"MCN Partners Network")</f>
        <v>MCN Partners Network</v>
      </c>
      <c r="W5" s="41">
        <f>IFERROR(__xludf.DUMMYFUNCTION("""COMPUTED_VALUE"""),4.0)</f>
        <v>4</v>
      </c>
      <c r="X5" s="27"/>
      <c r="Y5" s="42" t="str">
        <f>IFERROR(__xludf.DUMMYFUNCTION("""COMPUTED_VALUE"""),"Technical - Resources")</f>
        <v>Technical - Resources</v>
      </c>
      <c r="Z5" s="41">
        <f>IFERROR(__xludf.DUMMYFUNCTION("""COMPUTED_VALUE"""),24.0)</f>
        <v>24</v>
      </c>
      <c r="AA5" s="27"/>
      <c r="AB5" s="43" t="str">
        <f>IFERROR(__xludf.DUMMYFUNCTION("""COMPUTED_VALUE"""),"University of Michigan")</f>
        <v>University of Michigan</v>
      </c>
      <c r="AC5" s="34">
        <f>countif('Internal Reporting Form'!D:D, AB5)</f>
        <v>1</v>
      </c>
      <c r="AE5" s="42" t="str">
        <f>IFERROR(__xludf.DUMMYFUNCTION("""COMPUTED_VALUE"""),"Technical - Resources")</f>
        <v>Technical - Resources</v>
      </c>
      <c r="AF5" s="41">
        <f>IFERROR(__xludf.DUMMYFUNCTION("""COMPUTED_VALUE"""),24.0)</f>
        <v>24</v>
      </c>
    </row>
    <row r="6" ht="22.5" customHeight="1">
      <c r="A6" s="43" t="str">
        <f>IFERROR(__xludf.DUMMYFUNCTION("""COMPUTED_VALUE"""),"Liberia")</f>
        <v>Liberia</v>
      </c>
      <c r="B6" s="35">
        <f>countif('Internal Reporting Form'!H:H, A6)</f>
        <v>1</v>
      </c>
      <c r="C6" s="27"/>
      <c r="F6" s="27"/>
      <c r="I6" s="27"/>
      <c r="J6" s="38">
        <v>45047.0</v>
      </c>
      <c r="K6" s="37">
        <f>countif('Internal Reporting Form'!L:L, J6)</f>
        <v>8</v>
      </c>
      <c r="L6" s="27"/>
      <c r="M6" s="39" t="str">
        <f>IFERROR(__xludf.DUMMYFUNCTION("""COMPUTED_VALUE"""),"Quito")</f>
        <v>Quito</v>
      </c>
      <c r="N6" s="40">
        <f>countif('Internal Reporting Form'!I:I, M6)</f>
        <v>4</v>
      </c>
      <c r="O6" s="27"/>
      <c r="P6" s="39" t="str">
        <f>IFERROR(__xludf.DUMMYFUNCTION("""COMPUTED_VALUE"""),"Health Rights")</f>
        <v>Health Rights</v>
      </c>
      <c r="Q6" s="41">
        <f>IFERROR(__xludf.DUMMYFUNCTION("""COMPUTED_VALUE"""),4.0)</f>
        <v>4</v>
      </c>
      <c r="R6" s="27"/>
      <c r="S6" s="39" t="str">
        <f>IFERROR(__xludf.DUMMYFUNCTION("""COMPUTED_VALUE"""),"group")</f>
        <v>group</v>
      </c>
      <c r="T6" s="41">
        <f>IFERROR(__xludf.DUMMYFUNCTION("""COMPUTED_VALUE"""),11.0)</f>
        <v>11</v>
      </c>
      <c r="U6" s="27"/>
      <c r="V6" s="39" t="str">
        <f>IFERROR(__xludf.DUMMYFUNCTION("""COMPUTED_VALUE"""),"MCN Partner Network")</f>
        <v>MCN Partner Network</v>
      </c>
      <c r="W6" s="41">
        <f>IFERROR(__xludf.DUMMYFUNCTION("""COMPUTED_VALUE"""),3.0)</f>
        <v>3</v>
      </c>
      <c r="X6" s="27"/>
      <c r="Y6" s="42" t="str">
        <f>IFERROR(__xludf.DUMMYFUNCTION("""COMPUTED_VALUE"""),"Learnings or Tools")</f>
        <v>Learnings or Tools</v>
      </c>
      <c r="Z6" s="41">
        <f>IFERROR(__xludf.DUMMYFUNCTION("""COMPUTED_VALUE"""),17.0)</f>
        <v>17</v>
      </c>
      <c r="AA6" s="27"/>
      <c r="AB6" s="43" t="str">
        <f>IFERROR(__xludf.DUMMYFUNCTION("""COMPUTED_VALUE"""),"Business For Peace")</f>
        <v>Business For Peace</v>
      </c>
      <c r="AC6" s="34">
        <f>countif('Internal Reporting Form'!D:D, AB6)</f>
        <v>1</v>
      </c>
      <c r="AE6" s="42" t="str">
        <f>IFERROR(__xludf.DUMMYFUNCTION("""COMPUTED_VALUE"""),"Learnings or Tools")</f>
        <v>Learnings or Tools</v>
      </c>
      <c r="AF6" s="41">
        <f>IFERROR(__xludf.DUMMYFUNCTION("""COMPUTED_VALUE"""),17.0)</f>
        <v>17</v>
      </c>
    </row>
    <row r="7">
      <c r="A7" s="43" t="str">
        <f>IFERROR(__xludf.DUMMYFUNCTION("""COMPUTED_VALUE"""),"Turkey")</f>
        <v>Turkey</v>
      </c>
      <c r="B7" s="35">
        <f>countif('Internal Reporting Form'!H:H, A7)</f>
        <v>1</v>
      </c>
      <c r="C7" s="27"/>
      <c r="F7" s="27"/>
      <c r="I7" s="27"/>
      <c r="J7" s="38">
        <v>45078.0</v>
      </c>
      <c r="K7" s="37">
        <f>countif('Internal Reporting Form'!L:L, J7)</f>
        <v>13</v>
      </c>
      <c r="L7" s="27"/>
      <c r="M7" s="39" t="str">
        <f>IFERROR(__xludf.DUMMYFUNCTION("""COMPUTED_VALUE"""),"Paola M")</f>
        <v>Paola M</v>
      </c>
      <c r="N7" s="40">
        <f>countif('Internal Reporting Form'!I:I, M7)</f>
        <v>2</v>
      </c>
      <c r="O7" s="27"/>
      <c r="P7" s="39" t="str">
        <f>IFERROR(__xludf.DUMMYFUNCTION("""COMPUTED_VALUE"""),"Mental Health Services and Support")</f>
        <v>Mental Health Services and Support</v>
      </c>
      <c r="Q7" s="41">
        <f>IFERROR(__xludf.DUMMYFUNCTION("""COMPUTED_VALUE"""),3.0)</f>
        <v>3</v>
      </c>
      <c r="R7" s="27"/>
      <c r="S7" s="39" t="str">
        <f>IFERROR(__xludf.DUMMYFUNCTION("""COMPUTED_VALUE"""),"or community")</f>
        <v>or community</v>
      </c>
      <c r="T7" s="41">
        <f>IFERROR(__xludf.DUMMYFUNCTION("""COMPUTED_VALUE"""),11.0)</f>
        <v>11</v>
      </c>
      <c r="U7" s="27"/>
      <c r="V7" s="39" t="str">
        <f>IFERROR(__xludf.DUMMYFUNCTION("""COMPUTED_VALUE"""),"proactive offer of support to black feminist orgs")</f>
        <v>proactive offer of support to black feminist orgs</v>
      </c>
      <c r="W7" s="41">
        <f>IFERROR(__xludf.DUMMYFUNCTION("""COMPUTED_VALUE"""),3.0)</f>
        <v>3</v>
      </c>
      <c r="X7" s="27"/>
      <c r="Y7" s="42" t="str">
        <f>IFERROR(__xludf.DUMMYFUNCTION("""COMPUTED_VALUE"""),"OrgSec - Resources")</f>
        <v>OrgSec - Resources</v>
      </c>
      <c r="Z7" s="41">
        <f>IFERROR(__xludf.DUMMYFUNCTION("""COMPUTED_VALUE"""),17.0)</f>
        <v>17</v>
      </c>
      <c r="AA7" s="27"/>
      <c r="AB7" s="43" t="str">
        <f>IFERROR(__xludf.DUMMYFUNCTION("""COMPUTED_VALUE"""),"Girl Effect")</f>
        <v>Girl Effect</v>
      </c>
      <c r="AC7" s="34">
        <f>countif('Internal Reporting Form'!D:D, AB7)</f>
        <v>1</v>
      </c>
      <c r="AE7" s="42" t="str">
        <f>IFERROR(__xludf.DUMMYFUNCTION("""COMPUTED_VALUE"""),"OrgSec - Resources")</f>
        <v>OrgSec - Resources</v>
      </c>
      <c r="AF7" s="41">
        <f>IFERROR(__xludf.DUMMYFUNCTION("""COMPUTED_VALUE"""),17.0)</f>
        <v>17</v>
      </c>
    </row>
    <row r="8">
      <c r="A8" s="43" t="str">
        <f>IFERROR(__xludf.DUMMYFUNCTION("""COMPUTED_VALUE"""),"North America")</f>
        <v>North America</v>
      </c>
      <c r="B8" s="35">
        <f>countif('Internal Reporting Form'!H:H, A8)</f>
        <v>1</v>
      </c>
      <c r="C8" s="27"/>
      <c r="F8" s="27"/>
      <c r="I8" s="27"/>
      <c r="J8" s="38">
        <v>45108.0</v>
      </c>
      <c r="K8" s="37">
        <f>countif('Internal Reporting Form'!L:L, J8)</f>
        <v>7</v>
      </c>
      <c r="L8" s="27"/>
      <c r="M8" s="39" t="str">
        <f>IFERROR(__xludf.DUMMYFUNCTION("""COMPUTED_VALUE"""),"Cathy")</f>
        <v>Cathy</v>
      </c>
      <c r="N8" s="40">
        <f>countif('Internal Reporting Form'!I:I, M8)</f>
        <v>1</v>
      </c>
      <c r="O8" s="27"/>
      <c r="P8" s="39" t="str">
        <f>IFERROR(__xludf.DUMMYFUNCTION("""COMPUTED_VALUE"""),"Philanthropy")</f>
        <v>Philanthropy</v>
      </c>
      <c r="Q8" s="41">
        <f>IFERROR(__xludf.DUMMYFUNCTION("""COMPUTED_VALUE"""),2.0)</f>
        <v>2</v>
      </c>
      <c r="R8" s="27"/>
      <c r="S8" s="39" t="str">
        <f>IFERROR(__xludf.DUMMYFUNCTION("""COMPUTED_VALUE"""),"Academic")</f>
        <v>Academic</v>
      </c>
      <c r="T8" s="41">
        <f>IFERROR(__xludf.DUMMYFUNCTION("""COMPUTED_VALUE"""),1.0)</f>
        <v>1</v>
      </c>
      <c r="U8" s="27"/>
      <c r="V8" s="39" t="str">
        <f>IFERROR(__xludf.DUMMYFUNCTION("""COMPUTED_VALUE"""),"Previous LiTS partner")</f>
        <v>Previous LiTS partner</v>
      </c>
      <c r="W8" s="41">
        <f>IFERROR(__xludf.DUMMYFUNCTION("""COMPUTED_VALUE"""),2.0)</f>
        <v>2</v>
      </c>
      <c r="X8" s="27"/>
      <c r="Y8" s="42" t="str">
        <f>IFERROR(__xludf.DUMMYFUNCTION("""COMPUTED_VALUE"""),"Project - Mapping of comparable projects or provision of lateral insipring examples")</f>
        <v>Project - Mapping of comparable projects or provision of lateral insipring examples</v>
      </c>
      <c r="Z8" s="41">
        <f>IFERROR(__xludf.DUMMYFUNCTION("""COMPUTED_VALUE"""),16.0)</f>
        <v>16</v>
      </c>
      <c r="AA8" s="27"/>
      <c r="AB8" s="43" t="str">
        <f>IFERROR(__xludf.DUMMYFUNCTION("""COMPUTED_VALUE"""),"Amera International")</f>
        <v>Amera International</v>
      </c>
      <c r="AC8" s="34">
        <f>countif('Internal Reporting Form'!D:D, AB8)</f>
        <v>1</v>
      </c>
      <c r="AE8" s="42" t="str">
        <f>IFERROR(__xludf.DUMMYFUNCTION("""COMPUTED_VALUE"""),"Project - Mapping of comparable projects or provision of lateral insipring examples")</f>
        <v>Project - Mapping of comparable projects or provision of lateral insipring examples</v>
      </c>
      <c r="AF8" s="41">
        <f>IFERROR(__xludf.DUMMYFUNCTION("""COMPUTED_VALUE"""),16.0)</f>
        <v>16</v>
      </c>
    </row>
    <row r="9">
      <c r="A9" s="43" t="str">
        <f>IFERROR(__xludf.DUMMYFUNCTION("""COMPUTED_VALUE"""),"Nigeria")</f>
        <v>Nigeria</v>
      </c>
      <c r="B9" s="35">
        <f>countif('Internal Reporting Form'!H:H, A9)</f>
        <v>3</v>
      </c>
      <c r="C9" s="27"/>
      <c r="F9" s="27"/>
      <c r="I9" s="27"/>
      <c r="J9" s="38">
        <v>45139.0</v>
      </c>
      <c r="K9" s="37">
        <f>countif('Internal Reporting Form'!L:L, J9)</f>
        <v>13</v>
      </c>
      <c r="L9" s="27"/>
      <c r="M9" s="39" t="str">
        <f>IFERROR(__xludf.DUMMYFUNCTION("""COMPUTED_VALUE"""),"Helen")</f>
        <v>Helen</v>
      </c>
      <c r="N9" s="40">
        <f>countif('Internal Reporting Form'!I:I, M9)</f>
        <v>1</v>
      </c>
      <c r="O9" s="27"/>
      <c r="P9" s="39" t="str">
        <f>IFERROR(__xludf.DUMMYFUNCTION("""COMPUTED_VALUE"""),"Access to Justice")</f>
        <v>Access to Justice</v>
      </c>
      <c r="Q9" s="41">
        <f>IFERROR(__xludf.DUMMYFUNCTION("""COMPUTED_VALUE"""),1.0)</f>
        <v>1</v>
      </c>
      <c r="R9" s="27"/>
      <c r="S9" s="39" t="str">
        <f>IFERROR(__xludf.DUMMYFUNCTION("""COMPUTED_VALUE"""),"NGO - Regional")</f>
        <v>NGO - Regional</v>
      </c>
      <c r="T9" s="41">
        <f>IFERROR(__xludf.DUMMYFUNCTION("""COMPUTED_VALUE"""),1.0)</f>
        <v>1</v>
      </c>
      <c r="U9" s="27"/>
      <c r="V9" s="39" t="str">
        <f>IFERROR(__xludf.DUMMYFUNCTION("""COMPUTED_VALUE"""),"We met at an event")</f>
        <v>We met at an event</v>
      </c>
      <c r="W9" s="41">
        <f>IFERROR(__xludf.DUMMYFUNCTION("""COMPUTED_VALUE"""),2.0)</f>
        <v>2</v>
      </c>
      <c r="X9" s="27"/>
      <c r="Y9" s="42" t="str">
        <f>IFERROR(__xludf.DUMMYFUNCTION("""COMPUTED_VALUE"""),"Project - Help with project design or implementation")</f>
        <v>Project - Help with project design or implementation</v>
      </c>
      <c r="Z9" s="41">
        <f>IFERROR(__xludf.DUMMYFUNCTION("""COMPUTED_VALUE"""),15.0)</f>
        <v>15</v>
      </c>
      <c r="AA9" s="27"/>
      <c r="AB9" s="43" t="str">
        <f>IFERROR(__xludf.DUMMYFUNCTION("""COMPUTED_VALUE"""),"N/A")</f>
        <v>N/A</v>
      </c>
      <c r="AC9" s="34">
        <f>countif('Internal Reporting Form'!D:D, AB9)</f>
        <v>15</v>
      </c>
      <c r="AE9" s="42" t="str">
        <f>IFERROR(__xludf.DUMMYFUNCTION("""COMPUTED_VALUE"""),"Project - Help with project design or implementation")</f>
        <v>Project - Help with project design or implementation</v>
      </c>
      <c r="AF9" s="41">
        <f>IFERROR(__xludf.DUMMYFUNCTION("""COMPUTED_VALUE"""),15.0)</f>
        <v>15</v>
      </c>
    </row>
    <row r="10">
      <c r="A10" s="43" t="str">
        <f>IFERROR(__xludf.DUMMYFUNCTION("""COMPUTED_VALUE"""),"Ghana")</f>
        <v>Ghana</v>
      </c>
      <c r="B10" s="35">
        <f>countif('Internal Reporting Form'!H:H, A10)</f>
        <v>3</v>
      </c>
      <c r="C10" s="27"/>
      <c r="F10" s="27"/>
      <c r="I10" s="27"/>
      <c r="J10" s="38">
        <v>45170.0</v>
      </c>
      <c r="K10" s="37">
        <f>countif('Internal Reporting Form'!L:L, J10)</f>
        <v>6</v>
      </c>
      <c r="L10" s="27"/>
      <c r="M10" s="39" t="str">
        <f>IFERROR(__xludf.DUMMYFUNCTION("""COMPUTED_VALUE"""),"Brian")</f>
        <v>Brian</v>
      </c>
      <c r="N10" s="40">
        <f>countif('Internal Reporting Form'!I:I, M10)</f>
        <v>1</v>
      </c>
      <c r="O10" s="27"/>
      <c r="P10" s="39" t="str">
        <f>IFERROR(__xludf.DUMMYFUNCTION("""COMPUTED_VALUE"""),"Civic Tech/Community Tech")</f>
        <v>Civic Tech/Community Tech</v>
      </c>
      <c r="Q10" s="41">
        <f>IFERROR(__xludf.DUMMYFUNCTION("""COMPUTED_VALUE"""),1.0)</f>
        <v>1</v>
      </c>
      <c r="R10" s="27"/>
      <c r="S10" s="39" t="str">
        <f>IFERROR(__xludf.DUMMYFUNCTION("""COMPUTED_VALUE"""),"University")</f>
        <v>University</v>
      </c>
      <c r="T10" s="41">
        <f>IFERROR(__xludf.DUMMYFUNCTION("""COMPUTED_VALUE"""),1.0)</f>
        <v>1</v>
      </c>
      <c r="U10" s="27"/>
      <c r="V10" s="39" t="str">
        <f>IFERROR(__xludf.DUMMYFUNCTION("""COMPUTED_VALUE"""),"I've known them for a while and we recently met at the Digital Resilience Network event")</f>
        <v>I've known them for a while and we recently met at the Digital Resilience Network event</v>
      </c>
      <c r="W10" s="41">
        <f>IFERROR(__xludf.DUMMYFUNCTION("""COMPUTED_VALUE"""),1.0)</f>
        <v>1</v>
      </c>
      <c r="X10" s="27"/>
      <c r="Y10" s="42" t="str">
        <f>IFERROR(__xludf.DUMMYFUNCTION("""COMPUTED_VALUE"""),"Partnership - Connections to peers or experts")</f>
        <v>Partnership - Connections to peers or experts</v>
      </c>
      <c r="Z10" s="41">
        <f>IFERROR(__xludf.DUMMYFUNCTION("""COMPUTED_VALUE"""),13.0)</f>
        <v>13</v>
      </c>
      <c r="AA10" s="27"/>
      <c r="AB10" s="43" t="str">
        <f>IFERROR(__xludf.DUMMYFUNCTION("""COMPUTED_VALUE"""),"Nawara Women's Network for the Middle East and North Africa")</f>
        <v>Nawara Women's Network for the Middle East and North Africa</v>
      </c>
      <c r="AC10" s="34">
        <f>countif('Internal Reporting Form'!D:D, AB10)</f>
        <v>1</v>
      </c>
      <c r="AE10" s="42" t="str">
        <f>IFERROR(__xludf.DUMMYFUNCTION("""COMPUTED_VALUE"""),"Partnership - Connections to peers or experts")</f>
        <v>Partnership - Connections to peers or experts</v>
      </c>
      <c r="AF10" s="41">
        <f>IFERROR(__xludf.DUMMYFUNCTION("""COMPUTED_VALUE"""),13.0)</f>
        <v>13</v>
      </c>
    </row>
    <row r="11">
      <c r="A11" s="43" t="str">
        <f>IFERROR(__xludf.DUMMYFUNCTION("""COMPUTED_VALUE"""),"Lebanon")</f>
        <v>Lebanon</v>
      </c>
      <c r="B11" s="35">
        <f>countif('Internal Reporting Form'!H:H, A11)</f>
        <v>1</v>
      </c>
      <c r="C11" s="27"/>
      <c r="F11" s="27"/>
      <c r="I11" s="27"/>
      <c r="J11" s="38">
        <v>45200.0</v>
      </c>
      <c r="K11" s="37">
        <f>countif('Internal Reporting Form'!L:L, J11)</f>
        <v>4</v>
      </c>
      <c r="L11" s="27"/>
      <c r="M11" s="39"/>
      <c r="N11" s="40">
        <f>countif('Internal Reporting Form'!I:I, M11)</f>
        <v>0</v>
      </c>
      <c r="O11" s="27"/>
      <c r="P11" s="39" t="str">
        <f>IFERROR(__xludf.DUMMYFUNCTION("""COMPUTED_VALUE"""),"Civic tech")</f>
        <v>Civic tech</v>
      </c>
      <c r="Q11" s="41">
        <f>IFERROR(__xludf.DUMMYFUNCTION("""COMPUTED_VALUE"""),1.0)</f>
        <v>1</v>
      </c>
      <c r="R11" s="27"/>
      <c r="S11" s="39"/>
      <c r="T11" s="41"/>
      <c r="U11" s="27"/>
      <c r="V11" s="39" t="str">
        <f>IFERROR(__xludf.DUMMYFUNCTION("""COMPUTED_VALUE"""),"MCN Partner network")</f>
        <v>MCN Partner network</v>
      </c>
      <c r="W11" s="41">
        <f>IFERROR(__xludf.DUMMYFUNCTION("""COMPUTED_VALUE"""),1.0)</f>
        <v>1</v>
      </c>
      <c r="X11" s="27"/>
      <c r="Y11" s="42" t="str">
        <f>IFERROR(__xludf.DUMMYFUNCTION("""COMPUTED_VALUE"""),"OrgSec - Connections with Support and / or Expertise")</f>
        <v>OrgSec - Connections with Support and / or Expertise</v>
      </c>
      <c r="Z11" s="41">
        <f>IFERROR(__xludf.DUMMYFUNCTION("""COMPUTED_VALUE"""),8.0)</f>
        <v>8</v>
      </c>
      <c r="AA11" s="27"/>
      <c r="AB11" s="43" t="str">
        <f>IFERROR(__xludf.DUMMYFUNCTION("""COMPUTED_VALUE"""),"LGBT+ Rights Ghana")</f>
        <v>LGBT+ Rights Ghana</v>
      </c>
      <c r="AC11" s="34">
        <f>countif('Internal Reporting Form'!D:D, AB11)</f>
        <v>1</v>
      </c>
      <c r="AE11" s="42" t="str">
        <f>IFERROR(__xludf.DUMMYFUNCTION("""COMPUTED_VALUE"""),"OrgSec - Connections with Support and / or Expertise")</f>
        <v>OrgSec - Connections with Support and / or Expertise</v>
      </c>
      <c r="AF11" s="41">
        <f>IFERROR(__xludf.DUMMYFUNCTION("""COMPUTED_VALUE"""),8.0)</f>
        <v>8</v>
      </c>
    </row>
    <row r="12">
      <c r="A12" s="43" t="str">
        <f>IFERROR(__xludf.DUMMYFUNCTION("""COMPUTED_VALUE"""),"Europe")</f>
        <v>Europe</v>
      </c>
      <c r="B12" s="35">
        <f>countif('Internal Reporting Form'!H:H, A12)</f>
        <v>1</v>
      </c>
      <c r="C12" s="27"/>
      <c r="F12" s="27"/>
      <c r="I12" s="27"/>
      <c r="J12" s="38">
        <v>45231.0</v>
      </c>
      <c r="K12" s="37">
        <f>countif('Internal Reporting Form'!L:L, J12)</f>
        <v>5</v>
      </c>
      <c r="L12" s="27"/>
      <c r="M12" s="39"/>
      <c r="N12" s="40">
        <f>countif('Internal Reporting Form'!I:I, M12)</f>
        <v>0</v>
      </c>
      <c r="O12" s="27"/>
      <c r="R12" s="27"/>
      <c r="U12" s="27"/>
      <c r="X12" s="27"/>
      <c r="AA12" s="27"/>
      <c r="AB12" s="43" t="str">
        <f>IFERROR(__xludf.DUMMYFUNCTION("""COMPUTED_VALUE"""),"The A project")</f>
        <v>The A project</v>
      </c>
      <c r="AC12" s="34">
        <f>countif('Internal Reporting Form'!D:D, AB12)</f>
        <v>1</v>
      </c>
    </row>
    <row r="13">
      <c r="A13" s="43" t="str">
        <f>IFERROR(__xludf.DUMMYFUNCTION("""COMPUTED_VALUE"""),"Botswana")</f>
        <v>Botswana</v>
      </c>
      <c r="B13" s="35">
        <f>countif('Internal Reporting Form'!H:H, A13)</f>
        <v>1</v>
      </c>
      <c r="C13" s="27"/>
      <c r="F13" s="27"/>
      <c r="I13" s="27"/>
      <c r="J13" s="38">
        <v>45261.0</v>
      </c>
      <c r="K13" s="37">
        <f>countif('Internal Reporting Form'!L:L, J13)</f>
        <v>6</v>
      </c>
      <c r="L13" s="27"/>
      <c r="M13" s="39"/>
      <c r="N13" s="40">
        <f>countif('Internal Reporting Form'!I:I, M13)</f>
        <v>0</v>
      </c>
      <c r="O13" s="27"/>
      <c r="R13" s="27"/>
      <c r="U13" s="27"/>
      <c r="X13" s="27"/>
      <c r="AA13" s="27"/>
      <c r="AB13" s="43" t="str">
        <f>IFERROR(__xludf.DUMMYFUNCTION("""COMPUTED_VALUE"""),"AI Forensics")</f>
        <v>AI Forensics</v>
      </c>
      <c r="AC13" s="34">
        <f>countif('Internal Reporting Form'!D:D, AB13)</f>
        <v>1</v>
      </c>
    </row>
    <row r="14">
      <c r="A14" s="43" t="str">
        <f>IFERROR(__xludf.DUMMYFUNCTION("""COMPUTED_VALUE"""),"Belize")</f>
        <v>Belize</v>
      </c>
      <c r="B14" s="35">
        <f>countif('Internal Reporting Form'!H:H, A14)</f>
        <v>1</v>
      </c>
      <c r="C14" s="27"/>
      <c r="F14" s="27"/>
      <c r="I14" s="27"/>
      <c r="L14" s="27"/>
      <c r="M14" s="39"/>
      <c r="N14" s="40">
        <f>countif('Internal Reporting Form'!I:I, M14)</f>
        <v>0</v>
      </c>
      <c r="O14" s="27"/>
      <c r="R14" s="27"/>
      <c r="U14" s="27"/>
      <c r="X14" s="27"/>
      <c r="AA14" s="27"/>
      <c r="AB14" s="43" t="str">
        <f>IFERROR(__xludf.DUMMYFUNCTION("""COMPUTED_VALUE"""),"United Belize Advocacy Movement")</f>
        <v>United Belize Advocacy Movement</v>
      </c>
      <c r="AC14" s="34">
        <f>countif('Internal Reporting Form'!D:D, AB14)</f>
        <v>1</v>
      </c>
    </row>
    <row r="15">
      <c r="A15" s="43" t="str">
        <f>IFERROR(__xludf.DUMMYFUNCTION("""COMPUTED_VALUE"""),"Argentina")</f>
        <v>Argentina</v>
      </c>
      <c r="B15" s="35">
        <f>countif('Internal Reporting Form'!H:H, A15)</f>
        <v>1</v>
      </c>
      <c r="C15" s="27"/>
      <c r="F15" s="27"/>
      <c r="I15" s="27"/>
      <c r="L15" s="27"/>
      <c r="O15" s="27"/>
      <c r="R15" s="27"/>
      <c r="U15" s="27"/>
      <c r="X15" s="27"/>
      <c r="AA15" s="27"/>
      <c r="AB15" s="43" t="str">
        <f>IFERROR(__xludf.DUMMYFUNCTION("""COMPUTED_VALUE"""),"The Turing Institute")</f>
        <v>The Turing Institute</v>
      </c>
      <c r="AC15" s="34">
        <f>countif('Internal Reporting Form'!D:D, AB15)</f>
        <v>2</v>
      </c>
    </row>
    <row r="16">
      <c r="A16" s="43" t="str">
        <f>IFERROR(__xludf.DUMMYFUNCTION("""COMPUTED_VALUE"""),"Malaysia")</f>
        <v>Malaysia</v>
      </c>
      <c r="B16" s="35">
        <f>countif('Internal Reporting Form'!H:H, A16)</f>
        <v>2</v>
      </c>
      <c r="C16" s="27"/>
      <c r="F16" s="27"/>
      <c r="I16" s="27"/>
      <c r="L16" s="27"/>
      <c r="O16" s="27"/>
      <c r="R16" s="27"/>
      <c r="U16" s="27"/>
      <c r="X16" s="27"/>
      <c r="AA16" s="27"/>
      <c r="AB16" s="43" t="str">
        <f>IFERROR(__xludf.DUMMYFUNCTION("""COMPUTED_VALUE"""),"WIngu")</f>
        <v>WIngu</v>
      </c>
      <c r="AC16" s="34">
        <f>countif('Internal Reporting Form'!D:D, AB16)</f>
        <v>1</v>
      </c>
    </row>
    <row r="17">
      <c r="A17" s="43" t="str">
        <f>IFERROR(__xludf.DUMMYFUNCTION("""COMPUTED_VALUE"""),"Sri Lanka")</f>
        <v>Sri Lanka</v>
      </c>
      <c r="B17" s="35">
        <f>countif('Internal Reporting Form'!H:H, A17)</f>
        <v>1</v>
      </c>
      <c r="C17" s="27"/>
      <c r="F17" s="27"/>
      <c r="I17" s="27"/>
      <c r="L17" s="27"/>
      <c r="O17" s="27"/>
      <c r="R17" s="27"/>
      <c r="U17" s="27"/>
      <c r="X17" s="27"/>
      <c r="AA17" s="27"/>
      <c r="AB17" s="43" t="str">
        <f>IFERROR(__xludf.DUMMYFUNCTION("""COMPUTED_VALUE"""),"Numun")</f>
        <v>Numun</v>
      </c>
      <c r="AC17" s="34">
        <f>countif('Internal Reporting Form'!D:D, AB17)</f>
        <v>1</v>
      </c>
    </row>
    <row r="18">
      <c r="A18" s="43" t="str">
        <f>IFERROR(__xludf.DUMMYFUNCTION("""COMPUTED_VALUE"""),"Congo [DRC]")</f>
        <v>Congo [DRC]</v>
      </c>
      <c r="B18" s="35">
        <f>countif('Internal Reporting Form'!H:H, A18)</f>
        <v>4</v>
      </c>
      <c r="C18" s="27"/>
      <c r="F18" s="27"/>
      <c r="I18" s="27"/>
      <c r="L18" s="27"/>
      <c r="O18" s="27"/>
      <c r="R18" s="27"/>
      <c r="U18" s="27"/>
      <c r="X18" s="27"/>
      <c r="AA18" s="27"/>
      <c r="AB18" s="43" t="str">
        <f>IFERROR(__xludf.DUMMYFUNCTION("""COMPUTED_VALUE"""),"Delete Nothing")</f>
        <v>Delete Nothing</v>
      </c>
      <c r="AC18" s="34">
        <f>countif('Internal Reporting Form'!D:D, AB18)</f>
        <v>1</v>
      </c>
    </row>
    <row r="19">
      <c r="A19" s="43" t="str">
        <f>IFERROR(__xludf.DUMMYFUNCTION("""COMPUTED_VALUE"""),"Uganda")</f>
        <v>Uganda</v>
      </c>
      <c r="B19" s="35">
        <f>countif('Internal Reporting Form'!H:H, A19)</f>
        <v>11</v>
      </c>
      <c r="C19" s="27"/>
      <c r="F19" s="27"/>
      <c r="I19" s="27"/>
      <c r="L19" s="27"/>
      <c r="O19" s="27"/>
      <c r="R19" s="27"/>
      <c r="U19" s="27"/>
      <c r="X19" s="27"/>
      <c r="AA19" s="27"/>
      <c r="AB19" s="43" t="str">
        <f>IFERROR(__xludf.DUMMYFUNCTION("""COMPUTED_VALUE"""),"DataStake")</f>
        <v>DataStake</v>
      </c>
      <c r="AC19" s="34">
        <f>countif('Internal Reporting Form'!D:D, AB19)</f>
        <v>1</v>
      </c>
    </row>
    <row r="20">
      <c r="A20" s="43" t="str">
        <f>IFERROR(__xludf.DUMMYFUNCTION("""COMPUTED_VALUE"""),"Mexico")</f>
        <v>Mexico</v>
      </c>
      <c r="B20" s="35">
        <f>countif('Internal Reporting Form'!H:H, A20)</f>
        <v>2</v>
      </c>
      <c r="C20" s="27"/>
      <c r="F20" s="27"/>
      <c r="I20" s="27"/>
      <c r="L20" s="27"/>
      <c r="O20" s="27"/>
      <c r="R20" s="27"/>
      <c r="U20" s="27"/>
      <c r="X20" s="27"/>
      <c r="AA20" s="27"/>
      <c r="AB20" s="43" t="str">
        <f>IFERROR(__xludf.DUMMYFUNCTION("""COMPUTED_VALUE"""),"Women for Green Economy Movement Uganda")</f>
        <v>Women for Green Economy Movement Uganda</v>
      </c>
      <c r="AC20" s="34">
        <f>countif('Internal Reporting Form'!D:D, AB20)</f>
        <v>1</v>
      </c>
    </row>
    <row r="21">
      <c r="A21" s="43" t="str">
        <f>IFERROR(__xludf.DUMMYFUNCTION("""COMPUTED_VALUE"""),"Kenya")</f>
        <v>Kenya</v>
      </c>
      <c r="B21" s="35">
        <f>countif('Internal Reporting Form'!H:H, A21)</f>
        <v>7</v>
      </c>
      <c r="C21" s="27"/>
      <c r="F21" s="27"/>
      <c r="I21" s="27"/>
      <c r="L21" s="27"/>
      <c r="O21" s="27"/>
      <c r="R21" s="27"/>
      <c r="U21" s="27"/>
      <c r="X21" s="27"/>
      <c r="AA21" s="27"/>
      <c r="AB21" s="43" t="str">
        <f>IFERROR(__xludf.DUMMYFUNCTION("""COMPUTED_VALUE"""),"Socialtic")</f>
        <v>Socialtic</v>
      </c>
      <c r="AC21" s="34">
        <f>countif('Internal Reporting Form'!D:D, AB21)</f>
        <v>1</v>
      </c>
    </row>
    <row r="22">
      <c r="A22" s="43" t="str">
        <f>IFERROR(__xludf.DUMMYFUNCTION("""COMPUTED_VALUE"""),"Haiti")</f>
        <v>Haiti</v>
      </c>
      <c r="B22" s="35">
        <f>countif('Internal Reporting Form'!H:H, A22)</f>
        <v>1</v>
      </c>
      <c r="C22" s="27"/>
      <c r="F22" s="27"/>
      <c r="I22" s="27"/>
      <c r="L22" s="27"/>
      <c r="O22" s="27"/>
      <c r="R22" s="27"/>
      <c r="U22" s="27"/>
      <c r="X22" s="27"/>
      <c r="AA22" s="27"/>
      <c r="AB22" s="43" t="str">
        <f>IFERROR(__xludf.DUMMYFUNCTION("""COMPUTED_VALUE"""),"Threshold for Hope Africa")</f>
        <v>Threshold for Hope Africa</v>
      </c>
      <c r="AC22" s="34">
        <f>countif('Internal Reporting Form'!D:D, AB22)</f>
        <v>3</v>
      </c>
    </row>
    <row r="23">
      <c r="A23" s="43" t="str">
        <f>IFERROR(__xludf.DUMMYFUNCTION("""COMPUTED_VALUE"""),"Zambia")</f>
        <v>Zambia</v>
      </c>
      <c r="B23" s="35">
        <f>countif('Internal Reporting Form'!H:H, A23)</f>
        <v>1</v>
      </c>
      <c r="C23" s="27"/>
      <c r="F23" s="27"/>
      <c r="I23" s="27"/>
      <c r="L23" s="27"/>
      <c r="O23" s="27"/>
      <c r="R23" s="27"/>
      <c r="U23" s="27"/>
      <c r="X23" s="27"/>
      <c r="AA23" s="27"/>
      <c r="AB23" s="43" t="str">
        <f>IFERROR(__xludf.DUMMYFUNCTION("""COMPUTED_VALUE"""),"National Front for Reconcilliation")</f>
        <v>National Front for Reconcilliation</v>
      </c>
      <c r="AC23" s="34">
        <f>countif('Internal Reporting Form'!D:D, AB23)</f>
        <v>2</v>
      </c>
    </row>
    <row r="24">
      <c r="A24" s="43" t="str">
        <f>IFERROR(__xludf.DUMMYFUNCTION("""COMPUTED_VALUE"""),"Brazil")</f>
        <v>Brazil</v>
      </c>
      <c r="B24" s="35">
        <f>countif('Internal Reporting Form'!H:H, A24)</f>
        <v>8</v>
      </c>
      <c r="C24" s="27"/>
      <c r="F24" s="27"/>
      <c r="I24" s="27"/>
      <c r="L24" s="27"/>
      <c r="O24" s="27"/>
      <c r="R24" s="27"/>
      <c r="U24" s="27"/>
      <c r="X24" s="27"/>
      <c r="AA24" s="27"/>
      <c r="AB24" s="43" t="str">
        <f>IFERROR(__xludf.DUMMYFUNCTION("""COMPUTED_VALUE"""),"Roots2Justice")</f>
        <v>Roots2Justice</v>
      </c>
      <c r="AC24" s="34">
        <f>countif('Internal Reporting Form'!D:D, AB24)</f>
        <v>1</v>
      </c>
    </row>
    <row r="25">
      <c r="A25" s="43" t="str">
        <f>IFERROR(__xludf.DUMMYFUNCTION("""COMPUTED_VALUE"""),"Costa Rica")</f>
        <v>Costa Rica</v>
      </c>
      <c r="B25" s="35">
        <f>countif('Internal Reporting Form'!H:H, A25)</f>
        <v>1</v>
      </c>
      <c r="C25" s="27"/>
      <c r="F25" s="27"/>
      <c r="I25" s="27"/>
      <c r="L25" s="27"/>
      <c r="O25" s="27"/>
      <c r="R25" s="27"/>
      <c r="U25" s="27"/>
      <c r="X25" s="27"/>
      <c r="AA25" s="27"/>
      <c r="AB25" s="43" t="str">
        <f>IFERROR(__xludf.DUMMYFUNCTION("""COMPUTED_VALUE"""),"I.R.I")</f>
        <v>I.R.I</v>
      </c>
      <c r="AC25" s="34">
        <f>countif('Internal Reporting Form'!D:D, AB25)</f>
        <v>1</v>
      </c>
    </row>
    <row r="26">
      <c r="A26" s="43" t="str">
        <f>IFERROR(__xludf.DUMMYFUNCTION("""COMPUTED_VALUE"""),"India")</f>
        <v>India</v>
      </c>
      <c r="B26" s="35">
        <f>countif('Internal Reporting Form'!H:H, A26)</f>
        <v>2</v>
      </c>
      <c r="C26" s="27"/>
      <c r="F26" s="27"/>
      <c r="I26" s="27"/>
      <c r="L26" s="27"/>
      <c r="O26" s="27"/>
      <c r="R26" s="27"/>
      <c r="U26" s="27"/>
      <c r="X26" s="27"/>
      <c r="AA26" s="27"/>
      <c r="AB26" s="43" t="str">
        <f>IFERROR(__xludf.DUMMYFUNCTION("""COMPUTED_VALUE"""),"Data Haiti")</f>
        <v>Data Haiti</v>
      </c>
      <c r="AC26" s="34">
        <f>countif('Internal Reporting Form'!D:D, AB26)</f>
        <v>2</v>
      </c>
    </row>
    <row r="27">
      <c r="A27" s="43" t="str">
        <f>IFERROR(__xludf.DUMMYFUNCTION("""COMPUTED_VALUE"""),"Rwanda")</f>
        <v>Rwanda</v>
      </c>
      <c r="B27" s="35">
        <f>countif('Internal Reporting Form'!H:H, A27)</f>
        <v>1</v>
      </c>
      <c r="C27" s="27"/>
      <c r="F27" s="27"/>
      <c r="I27" s="27"/>
      <c r="L27" s="27"/>
      <c r="O27" s="27"/>
      <c r="R27" s="27"/>
      <c r="U27" s="27"/>
      <c r="X27" s="27"/>
      <c r="AA27" s="27"/>
      <c r="AB27" s="43" t="str">
        <f>IFERROR(__xludf.DUMMYFUNCTION("""COMPUTED_VALUE"""),"Promising Trouble")</f>
        <v>Promising Trouble</v>
      </c>
      <c r="AC27" s="34">
        <f>countif('Internal Reporting Form'!D:D, AB27)</f>
        <v>2</v>
      </c>
    </row>
    <row r="28">
      <c r="A28" s="43" t="str">
        <f>IFERROR(__xludf.DUMMYFUNCTION("""COMPUTED_VALUE"""),"South Sudan")</f>
        <v>South Sudan</v>
      </c>
      <c r="B28" s="35">
        <f>countif('Internal Reporting Form'!H:H, A28)</f>
        <v>1</v>
      </c>
      <c r="C28" s="27"/>
      <c r="F28" s="27"/>
      <c r="I28" s="27"/>
      <c r="L28" s="27"/>
      <c r="O28" s="27"/>
      <c r="R28" s="27"/>
      <c r="U28" s="27"/>
      <c r="X28" s="27"/>
      <c r="AA28" s="27"/>
      <c r="AB28" s="43" t="str">
        <f>IFERROR(__xludf.DUMMYFUNCTION("""COMPUTED_VALUE""")," Word Smash Poetry")</f>
        <v> Word Smash Poetry</v>
      </c>
      <c r="AC28" s="34">
        <f>countif('Internal Reporting Form'!D:D, AB28)</f>
        <v>1</v>
      </c>
    </row>
    <row r="29">
      <c r="A29" s="43" t="str">
        <f>IFERROR(__xludf.DUMMYFUNCTION("""COMPUTED_VALUE"""),"Ethiopia")</f>
        <v>Ethiopia</v>
      </c>
      <c r="B29" s="35">
        <f>countif('Internal Reporting Form'!H:H, A29)</f>
        <v>1</v>
      </c>
      <c r="C29" s="27"/>
      <c r="F29" s="27"/>
      <c r="I29" s="27"/>
      <c r="L29" s="27"/>
      <c r="O29" s="27"/>
      <c r="R29" s="27"/>
      <c r="U29" s="27"/>
      <c r="X29" s="27"/>
      <c r="AA29" s="27"/>
      <c r="AB29" s="43" t="str">
        <f>IFERROR(__xludf.DUMMYFUNCTION("""COMPUTED_VALUE"""),"Individual")</f>
        <v>Individual</v>
      </c>
      <c r="AC29" s="34">
        <f>countif('Internal Reporting Form'!D:D, AB29)</f>
        <v>1</v>
      </c>
    </row>
    <row r="30">
      <c r="A30" s="43" t="str">
        <f>IFERROR(__xludf.DUMMYFUNCTION("""COMPUTED_VALUE"""),"Dominican Republic")</f>
        <v>Dominican Republic</v>
      </c>
      <c r="B30" s="35">
        <f>countif('Internal Reporting Form'!H:H, A30)</f>
        <v>1</v>
      </c>
      <c r="C30" s="27"/>
      <c r="F30" s="27"/>
      <c r="I30" s="27"/>
      <c r="L30" s="27"/>
      <c r="O30" s="27"/>
      <c r="R30" s="27"/>
      <c r="U30" s="27"/>
      <c r="X30" s="27"/>
      <c r="AA30" s="27"/>
      <c r="AB30" s="43" t="str">
        <f>IFERROR(__xludf.DUMMYFUNCTION("""COMPUTED_VALUE"""),"Coletivo Creuza Oliveira")</f>
        <v>Coletivo Creuza Oliveira</v>
      </c>
      <c r="AC30" s="34">
        <f>countif('Internal Reporting Form'!D:D, AB30)</f>
        <v>1</v>
      </c>
    </row>
    <row r="31">
      <c r="A31" s="43" t="str">
        <f>IFERROR(__xludf.DUMMYFUNCTION("""COMPUTED_VALUE"""),"Germany")</f>
        <v>Germany</v>
      </c>
      <c r="C31" s="27"/>
      <c r="F31" s="27"/>
      <c r="I31" s="27"/>
      <c r="L31" s="27"/>
      <c r="O31" s="27"/>
      <c r="R31" s="27"/>
      <c r="U31" s="27"/>
      <c r="X31" s="27"/>
      <c r="AA31" s="27"/>
      <c r="AB31" s="43" t="str">
        <f>IFERROR(__xludf.DUMMYFUNCTION("""COMPUTED_VALUE"""),"Kilomba Collective")</f>
        <v>Kilomba Collective</v>
      </c>
      <c r="AC31" s="34">
        <f>countif('Internal Reporting Form'!D:D, AB31)</f>
        <v>1</v>
      </c>
    </row>
    <row r="32">
      <c r="A32" s="43" t="str">
        <f>IFERROR(__xludf.DUMMYFUNCTION("""COMPUTED_VALUE"""),"El Salvador")</f>
        <v>El Salvador</v>
      </c>
      <c r="C32" s="27"/>
      <c r="F32" s="27"/>
      <c r="I32" s="27"/>
      <c r="L32" s="27"/>
      <c r="O32" s="27"/>
      <c r="R32" s="27"/>
      <c r="U32" s="27"/>
      <c r="X32" s="27"/>
      <c r="AA32" s="27"/>
      <c r="AB32" s="43" t="str">
        <f>IFERROR(__xludf.DUMMYFUNCTION("""COMPUTED_VALUE"""),"Rede Liberdade")</f>
        <v>Rede Liberdade</v>
      </c>
    </row>
    <row r="33">
      <c r="A33" s="43"/>
      <c r="C33" s="27"/>
      <c r="F33" s="27"/>
      <c r="I33" s="27"/>
      <c r="L33" s="27"/>
      <c r="O33" s="27"/>
      <c r="R33" s="27"/>
      <c r="U33" s="27"/>
      <c r="X33" s="27"/>
      <c r="AA33" s="27"/>
      <c r="AB33" s="43" t="str">
        <f>IFERROR(__xludf.DUMMYFUNCTION("""COMPUTED_VALUE""")," Millennium Campus Network (MCN)")</f>
        <v> Millennium Campus Network (MCN)</v>
      </c>
    </row>
    <row r="34">
      <c r="C34" s="27"/>
      <c r="F34" s="27"/>
      <c r="I34" s="27"/>
      <c r="L34" s="27"/>
      <c r="O34" s="27"/>
      <c r="R34" s="27"/>
      <c r="U34" s="27"/>
      <c r="X34" s="27"/>
      <c r="AA34" s="27"/>
      <c r="AB34" s="43" t="str">
        <f>IFERROR(__xludf.DUMMYFUNCTION("""COMPUTED_VALUE"""),"Centro de Mujeres Afrocostarricenses")</f>
        <v>Centro de Mujeres Afrocostarricenses</v>
      </c>
    </row>
    <row r="35">
      <c r="C35" s="27"/>
      <c r="F35" s="27"/>
      <c r="I35" s="27"/>
      <c r="L35" s="27"/>
      <c r="O35" s="27"/>
      <c r="R35" s="27"/>
      <c r="U35" s="27"/>
      <c r="X35" s="27"/>
      <c r="AA35" s="27"/>
      <c r="AB35" s="43" t="str">
        <f>IFERROR(__xludf.DUMMYFUNCTION("""COMPUTED_VALUE"""),"DIgital Women Uganda")</f>
        <v>DIgital Women Uganda</v>
      </c>
    </row>
    <row r="36">
      <c r="C36" s="27"/>
      <c r="F36" s="27"/>
      <c r="I36" s="27"/>
      <c r="L36" s="27"/>
      <c r="O36" s="27"/>
      <c r="R36" s="27"/>
      <c r="U36" s="27"/>
      <c r="X36" s="27"/>
      <c r="AA36" s="27"/>
      <c r="AB36" s="43" t="str">
        <f>IFERROR(__xludf.DUMMYFUNCTION("""COMPUTED_VALUE"""),"Common Knowledge and Act Build Change")</f>
        <v>Common Knowledge and Act Build Change</v>
      </c>
    </row>
    <row r="37">
      <c r="C37" s="27"/>
      <c r="F37" s="27"/>
      <c r="I37" s="27"/>
      <c r="L37" s="27"/>
      <c r="O37" s="27"/>
      <c r="R37" s="27"/>
      <c r="U37" s="27"/>
      <c r="X37" s="27"/>
      <c r="AA37" s="27"/>
      <c r="AB37" s="43" t="str">
        <f>IFERROR(__xludf.DUMMYFUNCTION("""COMPUTED_VALUE"""),"Numun Fund")</f>
        <v>Numun Fund</v>
      </c>
    </row>
    <row r="38">
      <c r="C38" s="27"/>
      <c r="F38" s="27"/>
      <c r="I38" s="27"/>
      <c r="L38" s="27"/>
      <c r="O38" s="27"/>
      <c r="R38" s="27"/>
      <c r="U38" s="27"/>
      <c r="X38" s="27"/>
      <c r="AA38" s="27"/>
      <c r="AB38" s="43" t="str">
        <f>IFERROR(__xludf.DUMMYFUNCTION("""COMPUTED_VALUE"""),"Pop Works Africa")</f>
        <v>Pop Works Africa</v>
      </c>
    </row>
    <row r="39">
      <c r="C39" s="27"/>
      <c r="F39" s="27"/>
      <c r="I39" s="27"/>
      <c r="L39" s="27"/>
      <c r="O39" s="27"/>
      <c r="R39" s="27"/>
      <c r="U39" s="27"/>
      <c r="X39" s="27"/>
      <c r="AA39" s="27"/>
      <c r="AB39" s="43" t="str">
        <f>IFERROR(__xludf.DUMMYFUNCTION("""COMPUTED_VALUE"""),"Casa Sueli Carneiro")</f>
        <v>Casa Sueli Carneiro</v>
      </c>
    </row>
    <row r="40">
      <c r="C40" s="27"/>
      <c r="F40" s="27"/>
      <c r="I40" s="27"/>
      <c r="L40" s="27"/>
      <c r="O40" s="27"/>
      <c r="R40" s="27"/>
      <c r="U40" s="27"/>
      <c r="X40" s="27"/>
      <c r="AA40" s="27"/>
      <c r="AB40" s="43" t="str">
        <f>IFERROR(__xludf.DUMMYFUNCTION("""COMPUTED_VALUE"""),"Sim Eu Sou do Meio")</f>
        <v>Sim Eu Sou do Meio</v>
      </c>
    </row>
    <row r="41">
      <c r="C41" s="27"/>
      <c r="F41" s="27"/>
      <c r="I41" s="27"/>
      <c r="L41" s="27"/>
      <c r="O41" s="27"/>
      <c r="R41" s="27"/>
      <c r="U41" s="27"/>
      <c r="X41" s="27"/>
      <c r="AA41" s="27"/>
      <c r="AB41" s="43" t="str">
        <f>IFERROR(__xludf.DUMMYFUNCTION("""COMPUTED_VALUE"""),"Mulheres Negras Decidem")</f>
        <v>Mulheres Negras Decidem</v>
      </c>
    </row>
    <row r="42">
      <c r="C42" s="27"/>
      <c r="F42" s="27"/>
      <c r="I42" s="27"/>
      <c r="L42" s="27"/>
      <c r="O42" s="27"/>
      <c r="R42" s="27"/>
      <c r="U42" s="27"/>
      <c r="X42" s="27"/>
      <c r="AA42" s="27"/>
      <c r="AB42" s="44" t="str">
        <f>IFERROR(__xludf.DUMMYFUNCTION("""COMPUTED_VALUE"""),"Data.org")</f>
        <v>Data.org</v>
      </c>
    </row>
    <row r="43">
      <c r="C43" s="27"/>
      <c r="F43" s="27"/>
      <c r="I43" s="27"/>
      <c r="L43" s="27"/>
      <c r="O43" s="27"/>
      <c r="R43" s="27"/>
      <c r="U43" s="27"/>
      <c r="X43" s="27"/>
      <c r="AA43" s="27"/>
      <c r="AB43" s="43" t="str">
        <f>IFERROR(__xludf.DUMMYFUNCTION("""COMPUTED_VALUE"""),"Safe World Management")</f>
        <v>Safe World Management</v>
      </c>
    </row>
    <row r="44">
      <c r="C44" s="27"/>
      <c r="F44" s="27"/>
      <c r="I44" s="27"/>
      <c r="L44" s="27"/>
      <c r="O44" s="27"/>
      <c r="R44" s="27"/>
      <c r="U44" s="27"/>
      <c r="X44" s="27"/>
      <c r="AA44" s="27"/>
      <c r="AB44" s="43" t="str">
        <f>IFERROR(__xludf.DUMMYFUNCTION("""COMPUTED_VALUE"""),"Youth ki Awaaz ")</f>
        <v>Youth ki Awaaz </v>
      </c>
    </row>
    <row r="45">
      <c r="C45" s="27"/>
      <c r="F45" s="27"/>
      <c r="I45" s="27"/>
      <c r="L45" s="27"/>
      <c r="O45" s="27"/>
      <c r="R45" s="27"/>
      <c r="U45" s="27"/>
      <c r="X45" s="27"/>
      <c r="AA45" s="27"/>
      <c r="AB45" s="43" t="str">
        <f>IFERROR(__xludf.DUMMYFUNCTION("""COMPUTED_VALUE"""),"Mapa do Acolhimento")</f>
        <v>Mapa do Acolhimento</v>
      </c>
    </row>
    <row r="46">
      <c r="C46" s="27"/>
      <c r="F46" s="27"/>
      <c r="I46" s="27"/>
      <c r="L46" s="27"/>
      <c r="O46" s="27"/>
      <c r="R46" s="27"/>
      <c r="U46" s="27"/>
      <c r="X46" s="27"/>
      <c r="AA46" s="27"/>
      <c r="AB46" s="43" t="str">
        <f>IFERROR(__xludf.DUMMYFUNCTION("""COMPUTED_VALUE"""),"n/a")</f>
        <v>n/a</v>
      </c>
    </row>
    <row r="47">
      <c r="C47" s="27"/>
      <c r="F47" s="27"/>
      <c r="I47" s="27"/>
      <c r="L47" s="27"/>
      <c r="O47" s="27"/>
      <c r="R47" s="27"/>
      <c r="U47" s="27"/>
      <c r="X47" s="27"/>
      <c r="AA47" s="27"/>
      <c r="AB47" s="43" t="str">
        <f>IFERROR(__xludf.DUMMYFUNCTION("""COMPUTED_VALUE"""),"Holistic innovation for the development of the next climate action")</f>
        <v>Holistic innovation for the development of the next climate action</v>
      </c>
    </row>
    <row r="48">
      <c r="C48" s="27"/>
      <c r="F48" s="27"/>
      <c r="I48" s="27"/>
      <c r="L48" s="27"/>
      <c r="O48" s="27"/>
      <c r="R48" s="27"/>
      <c r="U48" s="27"/>
      <c r="X48" s="27"/>
      <c r="AA48" s="27"/>
      <c r="AB48" s="43" t="str">
        <f>IFERROR(__xludf.DUMMYFUNCTION("""COMPUTED_VALUE"""),"Community Development Shield Uganda")</f>
        <v>Community Development Shield Uganda</v>
      </c>
    </row>
    <row r="49">
      <c r="C49" s="27"/>
      <c r="F49" s="27"/>
      <c r="I49" s="27"/>
      <c r="L49" s="27"/>
      <c r="O49" s="27"/>
      <c r="R49" s="27"/>
      <c r="U49" s="27"/>
      <c r="X49" s="27"/>
      <c r="AA49" s="27"/>
      <c r="AB49" s="43" t="str">
        <f>IFERROR(__xludf.DUMMYFUNCTION("""COMPUTED_VALUE"""),"Center For Third World Organizing")</f>
        <v>Center For Third World Organizing</v>
      </c>
    </row>
    <row r="50">
      <c r="C50" s="27"/>
      <c r="F50" s="27"/>
      <c r="I50" s="27"/>
      <c r="L50" s="27"/>
      <c r="O50" s="27"/>
      <c r="R50" s="27"/>
      <c r="U50" s="27"/>
      <c r="X50" s="27"/>
      <c r="AA50" s="27"/>
      <c r="AB50" s="43" t="str">
        <f>IFERROR(__xludf.DUMMYFUNCTION("""COMPUTED_VALUE"""),"Communities Will Connect")</f>
        <v>Communities Will Connect</v>
      </c>
    </row>
    <row r="51">
      <c r="C51" s="27"/>
      <c r="F51" s="27"/>
      <c r="I51" s="27"/>
      <c r="L51" s="27"/>
      <c r="O51" s="27"/>
      <c r="R51" s="27"/>
      <c r="U51" s="27"/>
      <c r="X51" s="27"/>
      <c r="AA51" s="27"/>
      <c r="AB51" s="43" t="str">
        <f>IFERROR(__xludf.DUMMYFUNCTION("""COMPUTED_VALUE"""),"PRAIS")</f>
        <v>PRAIS</v>
      </c>
    </row>
    <row r="52">
      <c r="C52" s="27"/>
      <c r="F52" s="27"/>
      <c r="I52" s="27"/>
      <c r="L52" s="27"/>
      <c r="O52" s="27"/>
      <c r="R52" s="27"/>
      <c r="U52" s="27"/>
      <c r="X52" s="27"/>
      <c r="AA52" s="27"/>
      <c r="AB52" s="44" t="str">
        <f>IFERROR(__xludf.DUMMYFUNCTION("""COMPUTED_VALUE"""),"MeltWater.org")</f>
        <v>MeltWater.org</v>
      </c>
    </row>
    <row r="53">
      <c r="C53" s="27"/>
      <c r="F53" s="27"/>
      <c r="I53" s="27"/>
      <c r="L53" s="27"/>
      <c r="O53" s="27"/>
      <c r="R53" s="27"/>
      <c r="U53" s="27"/>
      <c r="X53" s="27"/>
      <c r="AA53" s="27"/>
      <c r="AB53" s="43" t="str">
        <f>IFERROR(__xludf.DUMMYFUNCTION("""COMPUTED_VALUE"""),"Comms Hub")</f>
        <v>Comms Hub</v>
      </c>
    </row>
    <row r="54">
      <c r="C54" s="27"/>
      <c r="F54" s="27"/>
      <c r="I54" s="27"/>
      <c r="L54" s="27"/>
      <c r="O54" s="27"/>
      <c r="R54" s="27"/>
      <c r="U54" s="27"/>
      <c r="X54" s="27"/>
      <c r="AA54" s="27"/>
      <c r="AB54" s="43" t="str">
        <f>IFERROR(__xludf.DUMMYFUNCTION("""COMPUTED_VALUE"""),"MCN Partners")</f>
        <v>MCN Partners</v>
      </c>
    </row>
    <row r="55">
      <c r="C55" s="27"/>
      <c r="F55" s="27"/>
      <c r="I55" s="27"/>
      <c r="L55" s="27"/>
      <c r="O55" s="27"/>
      <c r="R55" s="27"/>
      <c r="U55" s="27"/>
      <c r="X55" s="27"/>
      <c r="AA55" s="27"/>
      <c r="AB55" s="43" t="str">
        <f>IFERROR(__xludf.DUMMYFUNCTION("""COMPUTED_VALUE"""),"National Front for Reconciliation")</f>
        <v>National Front for Reconciliation</v>
      </c>
    </row>
    <row r="56">
      <c r="C56" s="27"/>
      <c r="F56" s="27"/>
      <c r="I56" s="27"/>
      <c r="L56" s="27"/>
      <c r="O56" s="27"/>
      <c r="R56" s="27"/>
      <c r="U56" s="27"/>
      <c r="X56" s="27"/>
      <c r="AA56" s="27"/>
      <c r="AB56" s="43" t="str">
        <f>IFERROR(__xludf.DUMMYFUNCTION("""COMPUTED_VALUE"""),"Trans Queer Fund")</f>
        <v>Trans Queer Fund</v>
      </c>
    </row>
    <row r="57">
      <c r="C57" s="27"/>
      <c r="F57" s="27"/>
      <c r="I57" s="27"/>
      <c r="L57" s="27"/>
      <c r="O57" s="27"/>
      <c r="R57" s="27"/>
      <c r="U57" s="27"/>
      <c r="X57" s="27"/>
      <c r="AA57" s="27"/>
      <c r="AB57" s="43" t="str">
        <f>IFERROR(__xludf.DUMMYFUNCTION("""COMPUTED_VALUE"""),"PescaData")</f>
        <v>PescaData</v>
      </c>
    </row>
    <row r="58">
      <c r="C58" s="27"/>
      <c r="F58" s="27"/>
      <c r="I58" s="27"/>
      <c r="L58" s="27"/>
      <c r="O58" s="27"/>
      <c r="R58" s="27"/>
      <c r="U58" s="27"/>
      <c r="X58" s="27"/>
      <c r="AA58" s="27"/>
      <c r="AB58" s="43" t="str">
        <f>IFERROR(__xludf.DUMMYFUNCTION("""COMPUTED_VALUE"""),"myDataRights Africa")</f>
        <v>myDataRights Africa</v>
      </c>
    </row>
    <row r="59">
      <c r="C59" s="27"/>
      <c r="F59" s="27"/>
      <c r="I59" s="27"/>
      <c r="L59" s="27"/>
      <c r="O59" s="27"/>
      <c r="R59" s="27"/>
      <c r="U59" s="27"/>
      <c r="X59" s="27"/>
      <c r="AA59" s="27"/>
      <c r="AB59" s="43" t="str">
        <f>IFERROR(__xludf.DUMMYFUNCTION("""COMPUTED_VALUE"""),"PILnet")</f>
        <v>PILnet</v>
      </c>
    </row>
    <row r="60">
      <c r="C60" s="27"/>
      <c r="F60" s="27"/>
      <c r="I60" s="27"/>
      <c r="L60" s="27"/>
      <c r="O60" s="27"/>
      <c r="R60" s="27"/>
      <c r="U60" s="27"/>
      <c r="X60" s="27"/>
      <c r="AA60" s="27"/>
      <c r="AB60" s="43" t="str">
        <f>IFERROR(__xludf.DUMMYFUNCTION("""COMPUTED_VALUE"""),"KinFolk Network")</f>
        <v>KinFolk Network</v>
      </c>
    </row>
    <row r="61">
      <c r="C61" s="27"/>
      <c r="F61" s="27"/>
      <c r="I61" s="27"/>
      <c r="L61" s="27"/>
      <c r="O61" s="27"/>
      <c r="R61" s="27"/>
      <c r="U61" s="27"/>
      <c r="X61" s="27"/>
      <c r="AA61" s="27"/>
      <c r="AB61" s="43" t="str">
        <f>IFERROR(__xludf.DUMMYFUNCTION("""COMPUTED_VALUE"""),"HACEP Ghana")</f>
        <v>HACEP Ghana</v>
      </c>
    </row>
    <row r="62">
      <c r="C62" s="27"/>
      <c r="F62" s="27"/>
      <c r="I62" s="27"/>
      <c r="L62" s="27"/>
      <c r="O62" s="27"/>
      <c r="R62" s="27"/>
      <c r="U62" s="27"/>
      <c r="X62" s="27"/>
      <c r="AA62" s="27"/>
      <c r="AB62" s="43" t="str">
        <f>IFERROR(__xludf.DUMMYFUNCTION("""COMPUTED_VALUE"""),"Diversidad Dominicana")</f>
        <v>Diversidad Dominicana</v>
      </c>
    </row>
    <row r="63">
      <c r="C63" s="27"/>
      <c r="F63" s="27"/>
      <c r="I63" s="27"/>
      <c r="L63" s="27"/>
      <c r="O63" s="27"/>
      <c r="R63" s="27"/>
      <c r="U63" s="27"/>
      <c r="X63" s="27"/>
      <c r="AA63" s="27"/>
      <c r="AB63" s="43" t="str">
        <f>IFERROR(__xludf.DUMMYFUNCTION("""COMPUTED_VALUE"""),"German Institute of Sustainability and Development (IDOS)")</f>
        <v>German Institute of Sustainability and Development (IDOS)</v>
      </c>
    </row>
    <row r="64">
      <c r="C64" s="27"/>
      <c r="F64" s="27"/>
      <c r="I64" s="27"/>
      <c r="L64" s="27"/>
      <c r="O64" s="27"/>
      <c r="R64" s="27"/>
      <c r="U64" s="27"/>
      <c r="X64" s="27"/>
      <c r="AA64" s="27"/>
      <c r="AB64" s="43" t="str">
        <f>IFERROR(__xludf.DUMMYFUNCTION("""COMPUTED_VALUE"""),"Malayerba")</f>
        <v>Malayerba</v>
      </c>
    </row>
    <row r="65">
      <c r="C65" s="27"/>
      <c r="F65" s="27"/>
      <c r="I65" s="27"/>
      <c r="L65" s="27"/>
      <c r="O65" s="27"/>
      <c r="R65" s="27"/>
      <c r="U65" s="27"/>
      <c r="X65" s="27"/>
      <c r="AA65" s="27"/>
      <c r="AB65" s="43"/>
    </row>
    <row r="66">
      <c r="C66" s="27"/>
      <c r="F66" s="27"/>
      <c r="I66" s="27"/>
      <c r="L66" s="27"/>
      <c r="O66" s="27"/>
      <c r="R66" s="27"/>
      <c r="U66" s="27"/>
      <c r="X66" s="27"/>
      <c r="AA66" s="27"/>
    </row>
    <row r="67">
      <c r="C67" s="27"/>
      <c r="F67" s="27"/>
      <c r="I67" s="27"/>
      <c r="L67" s="27"/>
      <c r="O67" s="27"/>
      <c r="R67" s="27"/>
      <c r="U67" s="27"/>
      <c r="X67" s="27"/>
      <c r="AA67" s="27"/>
    </row>
    <row r="68">
      <c r="C68" s="27"/>
      <c r="F68" s="27"/>
      <c r="I68" s="27"/>
      <c r="L68" s="27"/>
      <c r="O68" s="27"/>
      <c r="R68" s="27"/>
      <c r="U68" s="27"/>
      <c r="X68" s="27"/>
      <c r="AA68" s="27"/>
    </row>
    <row r="69">
      <c r="C69" s="27"/>
      <c r="F69" s="27"/>
      <c r="I69" s="27"/>
      <c r="L69" s="27"/>
      <c r="O69" s="27"/>
      <c r="R69" s="27"/>
      <c r="U69" s="27"/>
      <c r="X69" s="27"/>
      <c r="AA69" s="27"/>
    </row>
    <row r="70">
      <c r="C70" s="27"/>
      <c r="F70" s="27"/>
      <c r="I70" s="27"/>
      <c r="L70" s="27"/>
      <c r="O70" s="27"/>
      <c r="R70" s="27"/>
      <c r="U70" s="27"/>
      <c r="X70" s="27"/>
      <c r="AA70" s="27"/>
    </row>
    <row r="71">
      <c r="C71" s="27"/>
      <c r="F71" s="27"/>
      <c r="I71" s="27"/>
      <c r="L71" s="27"/>
      <c r="O71" s="27"/>
      <c r="R71" s="27"/>
      <c r="U71" s="27"/>
      <c r="X71" s="27"/>
      <c r="AA71" s="27"/>
    </row>
    <row r="72">
      <c r="C72" s="27"/>
      <c r="F72" s="27"/>
      <c r="I72" s="27"/>
      <c r="L72" s="27"/>
      <c r="O72" s="27"/>
      <c r="R72" s="27"/>
      <c r="U72" s="27"/>
      <c r="X72" s="27"/>
      <c r="AA72" s="27"/>
    </row>
    <row r="73">
      <c r="C73" s="27"/>
      <c r="F73" s="27"/>
      <c r="I73" s="27"/>
      <c r="L73" s="27"/>
      <c r="O73" s="27"/>
      <c r="R73" s="27"/>
      <c r="U73" s="27"/>
      <c r="X73" s="27"/>
      <c r="AA73" s="27"/>
    </row>
    <row r="74">
      <c r="C74" s="27"/>
      <c r="F74" s="27"/>
      <c r="I74" s="27"/>
      <c r="L74" s="27"/>
      <c r="O74" s="27"/>
      <c r="R74" s="27"/>
      <c r="U74" s="27"/>
      <c r="X74" s="27"/>
      <c r="AA74" s="27"/>
    </row>
    <row r="75">
      <c r="C75" s="27"/>
      <c r="F75" s="27"/>
      <c r="I75" s="27"/>
      <c r="L75" s="27"/>
      <c r="O75" s="27"/>
      <c r="R75" s="27"/>
      <c r="U75" s="27"/>
      <c r="X75" s="27"/>
      <c r="AA75" s="27"/>
    </row>
    <row r="76">
      <c r="C76" s="27"/>
      <c r="F76" s="27"/>
      <c r="I76" s="27"/>
      <c r="L76" s="27"/>
      <c r="O76" s="27"/>
      <c r="R76" s="27"/>
      <c r="U76" s="27"/>
      <c r="X76" s="27"/>
      <c r="AA76" s="27"/>
    </row>
    <row r="77">
      <c r="C77" s="27"/>
      <c r="F77" s="27"/>
      <c r="I77" s="27"/>
      <c r="L77" s="27"/>
      <c r="O77" s="27"/>
      <c r="R77" s="27"/>
      <c r="U77" s="27"/>
      <c r="X77" s="27"/>
      <c r="AA77" s="27"/>
    </row>
    <row r="78">
      <c r="C78" s="27"/>
      <c r="F78" s="27"/>
      <c r="I78" s="27"/>
      <c r="L78" s="27"/>
      <c r="O78" s="27"/>
      <c r="R78" s="27"/>
      <c r="U78" s="27"/>
      <c r="X78" s="27"/>
      <c r="AA78" s="27"/>
    </row>
    <row r="79">
      <c r="C79" s="27"/>
      <c r="F79" s="27"/>
      <c r="I79" s="27"/>
      <c r="L79" s="27"/>
      <c r="O79" s="27"/>
      <c r="R79" s="27"/>
      <c r="U79" s="27"/>
      <c r="X79" s="27"/>
      <c r="AA79" s="27"/>
    </row>
    <row r="80">
      <c r="C80" s="27"/>
      <c r="F80" s="27"/>
      <c r="I80" s="27"/>
      <c r="L80" s="27"/>
      <c r="O80" s="27"/>
      <c r="R80" s="27"/>
      <c r="U80" s="27"/>
      <c r="X80" s="27"/>
      <c r="AA80" s="27"/>
    </row>
    <row r="81">
      <c r="C81" s="27"/>
      <c r="F81" s="27"/>
      <c r="I81" s="27"/>
      <c r="L81" s="27"/>
      <c r="O81" s="27"/>
      <c r="R81" s="27"/>
      <c r="U81" s="27"/>
      <c r="X81" s="27"/>
      <c r="AA81" s="27"/>
    </row>
    <row r="82">
      <c r="C82" s="27"/>
      <c r="F82" s="27"/>
      <c r="I82" s="27"/>
      <c r="L82" s="27"/>
      <c r="O82" s="27"/>
      <c r="R82" s="27"/>
      <c r="U82" s="27"/>
      <c r="X82" s="27"/>
      <c r="AA82" s="27"/>
    </row>
    <row r="83">
      <c r="C83" s="27"/>
      <c r="F83" s="27"/>
      <c r="I83" s="27"/>
      <c r="L83" s="27"/>
      <c r="O83" s="27"/>
      <c r="R83" s="27"/>
      <c r="U83" s="27"/>
      <c r="X83" s="27"/>
      <c r="AA83" s="27"/>
    </row>
    <row r="84">
      <c r="C84" s="27"/>
      <c r="F84" s="27"/>
      <c r="I84" s="27"/>
      <c r="L84" s="27"/>
      <c r="O84" s="27"/>
      <c r="R84" s="27"/>
      <c r="U84" s="27"/>
      <c r="X84" s="27"/>
      <c r="AA84" s="27"/>
    </row>
    <row r="85">
      <c r="C85" s="27"/>
      <c r="F85" s="27"/>
      <c r="I85" s="27"/>
      <c r="L85" s="27"/>
      <c r="O85" s="27"/>
      <c r="R85" s="27"/>
      <c r="U85" s="27"/>
      <c r="X85" s="27"/>
      <c r="AA85" s="27"/>
    </row>
    <row r="86">
      <c r="C86" s="27"/>
      <c r="F86" s="27"/>
      <c r="I86" s="27"/>
      <c r="L86" s="27"/>
      <c r="O86" s="27"/>
      <c r="R86" s="27"/>
      <c r="U86" s="27"/>
      <c r="X86" s="27"/>
      <c r="AA86" s="27"/>
    </row>
    <row r="87">
      <c r="C87" s="27"/>
      <c r="F87" s="27"/>
      <c r="I87" s="27"/>
      <c r="L87" s="27"/>
      <c r="O87" s="27"/>
      <c r="R87" s="27"/>
      <c r="U87" s="27"/>
      <c r="X87" s="27"/>
      <c r="AA87" s="27"/>
    </row>
    <row r="88">
      <c r="C88" s="27"/>
      <c r="F88" s="27"/>
      <c r="I88" s="27"/>
      <c r="L88" s="27"/>
      <c r="O88" s="27"/>
      <c r="R88" s="27"/>
      <c r="U88" s="27"/>
      <c r="X88" s="27"/>
      <c r="AA88" s="27"/>
    </row>
    <row r="89">
      <c r="C89" s="27"/>
      <c r="F89" s="27"/>
      <c r="I89" s="27"/>
      <c r="L89" s="27"/>
      <c r="O89" s="27"/>
      <c r="R89" s="27"/>
      <c r="U89" s="27"/>
      <c r="X89" s="27"/>
      <c r="AA89" s="27"/>
    </row>
    <row r="90">
      <c r="C90" s="27"/>
      <c r="F90" s="27"/>
      <c r="I90" s="27"/>
      <c r="L90" s="27"/>
      <c r="O90" s="27"/>
      <c r="R90" s="27"/>
      <c r="U90" s="27"/>
      <c r="X90" s="27"/>
      <c r="AA90" s="27"/>
    </row>
    <row r="91">
      <c r="C91" s="27"/>
      <c r="F91" s="27"/>
      <c r="I91" s="27"/>
      <c r="L91" s="27"/>
      <c r="O91" s="27"/>
      <c r="R91" s="27"/>
      <c r="U91" s="27"/>
      <c r="X91" s="27"/>
      <c r="AA91" s="27"/>
    </row>
    <row r="92">
      <c r="C92" s="27"/>
      <c r="F92" s="27"/>
      <c r="I92" s="27"/>
      <c r="L92" s="27"/>
      <c r="O92" s="27"/>
      <c r="R92" s="27"/>
      <c r="U92" s="27"/>
      <c r="X92" s="27"/>
      <c r="AA92" s="27"/>
    </row>
    <row r="93">
      <c r="C93" s="27"/>
      <c r="F93" s="27"/>
      <c r="I93" s="27"/>
      <c r="L93" s="27"/>
      <c r="O93" s="27"/>
      <c r="R93" s="27"/>
      <c r="U93" s="27"/>
      <c r="X93" s="27"/>
      <c r="AA93" s="27"/>
    </row>
    <row r="94">
      <c r="C94" s="27"/>
      <c r="F94" s="27"/>
      <c r="I94" s="27"/>
      <c r="L94" s="27"/>
      <c r="O94" s="27"/>
      <c r="R94" s="27"/>
      <c r="U94" s="27"/>
      <c r="X94" s="27"/>
      <c r="AA94" s="27"/>
    </row>
    <row r="95">
      <c r="C95" s="27"/>
      <c r="F95" s="27"/>
      <c r="I95" s="27"/>
      <c r="L95" s="27"/>
      <c r="O95" s="27"/>
      <c r="R95" s="27"/>
      <c r="U95" s="27"/>
      <c r="X95" s="27"/>
      <c r="AA95" s="27"/>
    </row>
    <row r="96">
      <c r="C96" s="27"/>
      <c r="F96" s="27"/>
      <c r="I96" s="27"/>
      <c r="L96" s="27"/>
      <c r="O96" s="27"/>
      <c r="R96" s="27"/>
      <c r="U96" s="27"/>
      <c r="X96" s="27"/>
      <c r="AA96" s="27"/>
    </row>
    <row r="97">
      <c r="C97" s="27"/>
      <c r="F97" s="27"/>
      <c r="I97" s="27"/>
      <c r="L97" s="27"/>
      <c r="O97" s="27"/>
      <c r="R97" s="27"/>
      <c r="U97" s="27"/>
      <c r="X97" s="27"/>
      <c r="AA97" s="27"/>
    </row>
    <row r="98">
      <c r="C98" s="27"/>
      <c r="F98" s="27"/>
      <c r="I98" s="27"/>
      <c r="L98" s="27"/>
      <c r="O98" s="27"/>
      <c r="R98" s="27"/>
      <c r="U98" s="27"/>
      <c r="X98" s="27"/>
      <c r="AA98" s="27"/>
    </row>
    <row r="99">
      <c r="C99" s="27"/>
      <c r="F99" s="27"/>
      <c r="I99" s="27"/>
      <c r="L99" s="27"/>
      <c r="O99" s="27"/>
      <c r="R99" s="27"/>
      <c r="U99" s="27"/>
      <c r="X99" s="27"/>
      <c r="AA99" s="27"/>
    </row>
    <row r="100">
      <c r="C100" s="27"/>
      <c r="F100" s="27"/>
      <c r="I100" s="27"/>
      <c r="L100" s="27"/>
      <c r="O100" s="27"/>
      <c r="R100" s="27"/>
      <c r="U100" s="27"/>
      <c r="X100" s="27"/>
      <c r="AA100" s="27"/>
    </row>
    <row r="101">
      <c r="C101" s="27"/>
      <c r="F101" s="27"/>
      <c r="I101" s="27"/>
      <c r="L101" s="27"/>
      <c r="O101" s="27"/>
      <c r="R101" s="27"/>
      <c r="U101" s="27"/>
      <c r="X101" s="27"/>
      <c r="AA101" s="27"/>
    </row>
    <row r="102">
      <c r="C102" s="27"/>
      <c r="F102" s="27"/>
      <c r="I102" s="27"/>
      <c r="L102" s="27"/>
      <c r="O102" s="27"/>
      <c r="R102" s="27"/>
      <c r="U102" s="27"/>
      <c r="X102" s="27"/>
      <c r="AA102" s="27"/>
    </row>
    <row r="103">
      <c r="C103" s="27"/>
      <c r="F103" s="27"/>
      <c r="I103" s="27"/>
      <c r="L103" s="27"/>
      <c r="O103" s="27"/>
      <c r="R103" s="27"/>
      <c r="U103" s="27"/>
      <c r="X103" s="27"/>
      <c r="AA103" s="27"/>
    </row>
    <row r="104">
      <c r="C104" s="27"/>
      <c r="F104" s="27"/>
      <c r="I104" s="27"/>
      <c r="L104" s="27"/>
      <c r="O104" s="27"/>
      <c r="R104" s="27"/>
      <c r="U104" s="27"/>
      <c r="X104" s="27"/>
      <c r="AA104" s="27"/>
    </row>
    <row r="105">
      <c r="C105" s="27"/>
      <c r="F105" s="27"/>
      <c r="I105" s="27"/>
      <c r="L105" s="27"/>
      <c r="O105" s="27"/>
      <c r="R105" s="27"/>
      <c r="U105" s="27"/>
      <c r="X105" s="27"/>
      <c r="AA105" s="27"/>
    </row>
    <row r="106">
      <c r="C106" s="27"/>
      <c r="F106" s="27"/>
      <c r="I106" s="27"/>
      <c r="L106" s="27"/>
      <c r="O106" s="27"/>
      <c r="R106" s="27"/>
      <c r="U106" s="27"/>
      <c r="X106" s="27"/>
      <c r="AA106" s="27"/>
    </row>
    <row r="107">
      <c r="C107" s="27"/>
      <c r="F107" s="27"/>
      <c r="I107" s="27"/>
      <c r="L107" s="27"/>
      <c r="O107" s="27"/>
      <c r="R107" s="27"/>
      <c r="U107" s="27"/>
      <c r="X107" s="27"/>
      <c r="AA107" s="27"/>
    </row>
    <row r="108">
      <c r="C108" s="27"/>
      <c r="F108" s="27"/>
      <c r="I108" s="27"/>
      <c r="L108" s="27"/>
      <c r="O108" s="27"/>
      <c r="R108" s="27"/>
      <c r="U108" s="27"/>
      <c r="X108" s="27"/>
      <c r="AA108" s="27"/>
    </row>
    <row r="109">
      <c r="C109" s="27"/>
      <c r="F109" s="27"/>
      <c r="I109" s="27"/>
      <c r="L109" s="27"/>
      <c r="O109" s="27"/>
      <c r="R109" s="27"/>
      <c r="U109" s="27"/>
      <c r="X109" s="27"/>
      <c r="AA109" s="27"/>
    </row>
    <row r="110">
      <c r="C110" s="27"/>
      <c r="F110" s="27"/>
      <c r="I110" s="27"/>
      <c r="L110" s="27"/>
      <c r="O110" s="27"/>
      <c r="R110" s="27"/>
      <c r="U110" s="27"/>
      <c r="X110" s="27"/>
      <c r="AA110" s="27"/>
    </row>
    <row r="111">
      <c r="C111" s="27"/>
      <c r="F111" s="27"/>
      <c r="I111" s="27"/>
      <c r="L111" s="27"/>
      <c r="O111" s="27"/>
      <c r="R111" s="27"/>
      <c r="U111" s="27"/>
      <c r="X111" s="27"/>
      <c r="AA111" s="27"/>
    </row>
    <row r="112">
      <c r="C112" s="27"/>
      <c r="F112" s="27"/>
      <c r="I112" s="27"/>
      <c r="L112" s="27"/>
      <c r="O112" s="27"/>
      <c r="R112" s="27"/>
      <c r="U112" s="27"/>
      <c r="X112" s="27"/>
      <c r="AA112" s="27"/>
    </row>
    <row r="113">
      <c r="C113" s="27"/>
      <c r="F113" s="27"/>
      <c r="I113" s="27"/>
      <c r="L113" s="27"/>
      <c r="O113" s="27"/>
      <c r="R113" s="27"/>
      <c r="U113" s="27"/>
      <c r="X113" s="27"/>
      <c r="AA113" s="27"/>
    </row>
    <row r="114">
      <c r="C114" s="27"/>
      <c r="F114" s="27"/>
      <c r="I114" s="27"/>
      <c r="L114" s="27"/>
      <c r="O114" s="27"/>
      <c r="R114" s="27"/>
      <c r="U114" s="27"/>
      <c r="X114" s="27"/>
      <c r="AA114" s="27"/>
    </row>
    <row r="115">
      <c r="C115" s="27"/>
      <c r="F115" s="27"/>
      <c r="I115" s="27"/>
      <c r="L115" s="27"/>
      <c r="O115" s="27"/>
      <c r="R115" s="27"/>
      <c r="U115" s="27"/>
      <c r="X115" s="27"/>
      <c r="AA115" s="27"/>
    </row>
    <row r="116">
      <c r="C116" s="27"/>
      <c r="F116" s="27"/>
      <c r="I116" s="27"/>
      <c r="L116" s="27"/>
      <c r="O116" s="27"/>
      <c r="R116" s="27"/>
      <c r="U116" s="27"/>
      <c r="X116" s="27"/>
      <c r="AA116" s="27"/>
    </row>
    <row r="117">
      <c r="C117" s="27"/>
      <c r="F117" s="27"/>
      <c r="I117" s="27"/>
      <c r="L117" s="27"/>
      <c r="O117" s="27"/>
      <c r="R117" s="27"/>
      <c r="U117" s="27"/>
      <c r="X117" s="27"/>
      <c r="AA117" s="27"/>
    </row>
    <row r="118">
      <c r="C118" s="27"/>
      <c r="F118" s="27"/>
      <c r="I118" s="27"/>
      <c r="L118" s="27"/>
      <c r="O118" s="27"/>
      <c r="R118" s="27"/>
      <c r="U118" s="27"/>
      <c r="X118" s="27"/>
      <c r="AA118" s="27"/>
    </row>
    <row r="119">
      <c r="C119" s="27"/>
      <c r="F119" s="27"/>
      <c r="I119" s="27"/>
      <c r="L119" s="27"/>
      <c r="O119" s="27"/>
      <c r="R119" s="27"/>
      <c r="U119" s="27"/>
      <c r="X119" s="27"/>
      <c r="AA119" s="27"/>
    </row>
    <row r="120">
      <c r="C120" s="27"/>
      <c r="F120" s="27"/>
      <c r="I120" s="27"/>
      <c r="L120" s="27"/>
      <c r="O120" s="27"/>
      <c r="R120" s="27"/>
      <c r="U120" s="27"/>
      <c r="X120" s="27"/>
      <c r="AA120" s="27"/>
    </row>
    <row r="121">
      <c r="C121" s="27"/>
      <c r="F121" s="27"/>
      <c r="I121" s="27"/>
      <c r="L121" s="27"/>
      <c r="O121" s="27"/>
      <c r="R121" s="27"/>
      <c r="U121" s="27"/>
      <c r="X121" s="27"/>
      <c r="AA121" s="27"/>
    </row>
    <row r="122">
      <c r="C122" s="27"/>
      <c r="F122" s="27"/>
      <c r="I122" s="27"/>
      <c r="L122" s="27"/>
      <c r="O122" s="27"/>
      <c r="R122" s="27"/>
      <c r="U122" s="27"/>
      <c r="X122" s="27"/>
      <c r="AA122" s="27"/>
    </row>
    <row r="123">
      <c r="C123" s="27"/>
      <c r="F123" s="27"/>
      <c r="I123" s="27"/>
      <c r="L123" s="27"/>
      <c r="O123" s="27"/>
      <c r="R123" s="27"/>
      <c r="U123" s="27"/>
      <c r="X123" s="27"/>
      <c r="AA123" s="27"/>
    </row>
    <row r="124">
      <c r="C124" s="27"/>
      <c r="F124" s="27"/>
      <c r="I124" s="27"/>
      <c r="L124" s="27"/>
      <c r="O124" s="27"/>
      <c r="R124" s="27"/>
      <c r="U124" s="27"/>
      <c r="X124" s="27"/>
      <c r="AA124" s="27"/>
    </row>
    <row r="125">
      <c r="C125" s="27"/>
      <c r="F125" s="27"/>
      <c r="I125" s="27"/>
      <c r="L125" s="27"/>
      <c r="O125" s="27"/>
      <c r="R125" s="27"/>
      <c r="U125" s="27"/>
      <c r="X125" s="27"/>
      <c r="AA125" s="27"/>
    </row>
    <row r="126">
      <c r="C126" s="27"/>
      <c r="F126" s="27"/>
      <c r="I126" s="27"/>
      <c r="L126" s="27"/>
      <c r="O126" s="27"/>
      <c r="R126" s="27"/>
      <c r="U126" s="27"/>
      <c r="X126" s="27"/>
      <c r="AA126" s="27"/>
    </row>
    <row r="127">
      <c r="C127" s="27"/>
      <c r="F127" s="27"/>
      <c r="I127" s="27"/>
      <c r="L127" s="27"/>
      <c r="O127" s="27"/>
      <c r="R127" s="27"/>
      <c r="U127" s="27"/>
      <c r="X127" s="27"/>
      <c r="AA127" s="27"/>
    </row>
    <row r="128">
      <c r="C128" s="27"/>
      <c r="F128" s="27"/>
      <c r="I128" s="27"/>
      <c r="L128" s="27"/>
      <c r="O128" s="27"/>
      <c r="R128" s="27"/>
      <c r="U128" s="27"/>
      <c r="X128" s="27"/>
      <c r="AA128" s="27"/>
    </row>
    <row r="129">
      <c r="C129" s="27"/>
      <c r="F129" s="27"/>
      <c r="I129" s="27"/>
      <c r="L129" s="27"/>
      <c r="O129" s="27"/>
      <c r="R129" s="27"/>
      <c r="U129" s="27"/>
      <c r="X129" s="27"/>
      <c r="AA129" s="27"/>
    </row>
    <row r="130">
      <c r="C130" s="27"/>
      <c r="F130" s="27"/>
      <c r="I130" s="27"/>
      <c r="L130" s="27"/>
      <c r="O130" s="27"/>
      <c r="R130" s="27"/>
      <c r="U130" s="27"/>
      <c r="X130" s="27"/>
      <c r="AA130" s="27"/>
    </row>
    <row r="131">
      <c r="C131" s="27"/>
      <c r="F131" s="27"/>
      <c r="I131" s="27"/>
      <c r="L131" s="27"/>
      <c r="O131" s="27"/>
      <c r="R131" s="27"/>
      <c r="U131" s="27"/>
      <c r="X131" s="27"/>
      <c r="AA131" s="27"/>
    </row>
    <row r="132">
      <c r="C132" s="27"/>
      <c r="F132" s="27"/>
      <c r="I132" s="27"/>
      <c r="L132" s="27"/>
      <c r="O132" s="27"/>
      <c r="R132" s="27"/>
      <c r="U132" s="27"/>
      <c r="X132" s="27"/>
      <c r="AA132" s="27"/>
    </row>
    <row r="133">
      <c r="C133" s="27"/>
      <c r="F133" s="27"/>
      <c r="I133" s="27"/>
      <c r="L133" s="27"/>
      <c r="O133" s="27"/>
      <c r="R133" s="27"/>
      <c r="U133" s="27"/>
      <c r="X133" s="27"/>
      <c r="AA133" s="27"/>
    </row>
    <row r="134">
      <c r="C134" s="27"/>
      <c r="F134" s="27"/>
      <c r="I134" s="27"/>
      <c r="L134" s="27"/>
      <c r="O134" s="27"/>
      <c r="R134" s="27"/>
      <c r="U134" s="27"/>
      <c r="X134" s="27"/>
      <c r="AA134" s="27"/>
    </row>
    <row r="135">
      <c r="C135" s="27"/>
      <c r="F135" s="27"/>
      <c r="I135" s="27"/>
      <c r="L135" s="27"/>
      <c r="O135" s="27"/>
      <c r="R135" s="27"/>
      <c r="U135" s="27"/>
      <c r="X135" s="27"/>
      <c r="AA135" s="27"/>
    </row>
    <row r="136">
      <c r="C136" s="27"/>
      <c r="F136" s="27"/>
      <c r="I136" s="27"/>
      <c r="L136" s="27"/>
      <c r="O136" s="27"/>
      <c r="R136" s="27"/>
      <c r="U136" s="27"/>
      <c r="X136" s="27"/>
      <c r="AA136" s="27"/>
    </row>
    <row r="137">
      <c r="C137" s="27"/>
      <c r="F137" s="27"/>
      <c r="I137" s="27"/>
      <c r="L137" s="27"/>
      <c r="O137" s="27"/>
      <c r="R137" s="27"/>
      <c r="U137" s="27"/>
      <c r="X137" s="27"/>
      <c r="AA137" s="27"/>
    </row>
    <row r="138">
      <c r="C138" s="27"/>
      <c r="F138" s="27"/>
      <c r="I138" s="27"/>
      <c r="L138" s="27"/>
      <c r="O138" s="27"/>
      <c r="R138" s="27"/>
      <c r="U138" s="27"/>
      <c r="X138" s="27"/>
      <c r="AA138" s="27"/>
    </row>
    <row r="139">
      <c r="C139" s="27"/>
      <c r="F139" s="27"/>
      <c r="I139" s="27"/>
      <c r="L139" s="27"/>
      <c r="O139" s="27"/>
      <c r="R139" s="27"/>
      <c r="U139" s="27"/>
      <c r="X139" s="27"/>
      <c r="AA139" s="27"/>
    </row>
    <row r="140">
      <c r="C140" s="27"/>
      <c r="F140" s="27"/>
      <c r="I140" s="27"/>
      <c r="L140" s="27"/>
      <c r="O140" s="27"/>
      <c r="R140" s="27"/>
      <c r="U140" s="27"/>
      <c r="X140" s="27"/>
      <c r="AA140" s="27"/>
    </row>
    <row r="141">
      <c r="C141" s="27"/>
      <c r="F141" s="27"/>
      <c r="I141" s="27"/>
      <c r="L141" s="27"/>
      <c r="O141" s="27"/>
      <c r="R141" s="27"/>
      <c r="U141" s="27"/>
      <c r="X141" s="27"/>
      <c r="AA141" s="27"/>
    </row>
    <row r="142">
      <c r="C142" s="27"/>
      <c r="F142" s="27"/>
      <c r="I142" s="27"/>
      <c r="L142" s="27"/>
      <c r="O142" s="27"/>
      <c r="R142" s="27"/>
      <c r="U142" s="27"/>
      <c r="X142" s="27"/>
      <c r="AA142" s="27"/>
    </row>
    <row r="143">
      <c r="C143" s="27"/>
      <c r="F143" s="27"/>
      <c r="I143" s="27"/>
      <c r="L143" s="27"/>
      <c r="O143" s="27"/>
      <c r="R143" s="27"/>
      <c r="U143" s="27"/>
      <c r="X143" s="27"/>
      <c r="AA143" s="27"/>
    </row>
    <row r="144">
      <c r="C144" s="27"/>
      <c r="F144" s="27"/>
      <c r="I144" s="27"/>
      <c r="L144" s="27"/>
      <c r="O144" s="27"/>
      <c r="R144" s="27"/>
      <c r="U144" s="27"/>
      <c r="X144" s="27"/>
      <c r="AA144" s="27"/>
    </row>
    <row r="145">
      <c r="C145" s="27"/>
      <c r="F145" s="27"/>
      <c r="I145" s="27"/>
      <c r="L145" s="27"/>
      <c r="O145" s="27"/>
      <c r="R145" s="27"/>
      <c r="U145" s="27"/>
      <c r="X145" s="27"/>
      <c r="AA145" s="27"/>
    </row>
    <row r="146">
      <c r="C146" s="27"/>
      <c r="F146" s="27"/>
      <c r="I146" s="27"/>
      <c r="L146" s="27"/>
      <c r="O146" s="27"/>
      <c r="R146" s="27"/>
      <c r="U146" s="27"/>
      <c r="X146" s="27"/>
      <c r="AA146" s="27"/>
    </row>
    <row r="147">
      <c r="C147" s="27"/>
      <c r="F147" s="27"/>
      <c r="I147" s="27"/>
      <c r="L147" s="27"/>
      <c r="O147" s="27"/>
      <c r="R147" s="27"/>
      <c r="U147" s="27"/>
      <c r="X147" s="27"/>
      <c r="AA147" s="27"/>
    </row>
    <row r="148">
      <c r="C148" s="27"/>
      <c r="F148" s="27"/>
      <c r="I148" s="27"/>
      <c r="L148" s="27"/>
      <c r="O148" s="27"/>
      <c r="R148" s="27"/>
      <c r="U148" s="27"/>
      <c r="X148" s="27"/>
      <c r="AA148" s="27"/>
    </row>
    <row r="149">
      <c r="C149" s="27"/>
      <c r="F149" s="27"/>
      <c r="I149" s="27"/>
      <c r="L149" s="27"/>
      <c r="O149" s="27"/>
      <c r="R149" s="27"/>
      <c r="U149" s="27"/>
      <c r="X149" s="27"/>
      <c r="AA149" s="27"/>
    </row>
    <row r="150">
      <c r="C150" s="27"/>
      <c r="F150" s="27"/>
      <c r="I150" s="27"/>
      <c r="L150" s="27"/>
      <c r="O150" s="27"/>
      <c r="R150" s="27"/>
      <c r="U150" s="27"/>
      <c r="X150" s="27"/>
      <c r="AA150" s="27"/>
    </row>
    <row r="151">
      <c r="C151" s="27"/>
      <c r="F151" s="27"/>
      <c r="I151" s="27"/>
      <c r="L151" s="27"/>
      <c r="O151" s="27"/>
      <c r="R151" s="27"/>
      <c r="U151" s="27"/>
      <c r="X151" s="27"/>
      <c r="AA151" s="27"/>
    </row>
    <row r="152">
      <c r="C152" s="27"/>
      <c r="F152" s="27"/>
      <c r="I152" s="27"/>
      <c r="L152" s="27"/>
      <c r="O152" s="27"/>
      <c r="R152" s="27"/>
      <c r="U152" s="27"/>
      <c r="X152" s="27"/>
      <c r="AA152" s="27"/>
    </row>
    <row r="153">
      <c r="C153" s="27"/>
      <c r="F153" s="27"/>
      <c r="I153" s="27"/>
      <c r="L153" s="27"/>
      <c r="O153" s="27"/>
      <c r="R153" s="27"/>
      <c r="U153" s="27"/>
      <c r="X153" s="27"/>
      <c r="AA153" s="27"/>
    </row>
    <row r="154">
      <c r="C154" s="27"/>
      <c r="F154" s="27"/>
      <c r="I154" s="27"/>
      <c r="L154" s="27"/>
      <c r="O154" s="27"/>
      <c r="R154" s="27"/>
      <c r="U154" s="27"/>
      <c r="X154" s="27"/>
      <c r="AA154" s="27"/>
    </row>
    <row r="155">
      <c r="C155" s="27"/>
      <c r="F155" s="27"/>
      <c r="I155" s="27"/>
      <c r="L155" s="27"/>
      <c r="O155" s="27"/>
      <c r="R155" s="27"/>
      <c r="U155" s="27"/>
      <c r="X155" s="27"/>
      <c r="AA155" s="27"/>
    </row>
    <row r="156">
      <c r="C156" s="27"/>
      <c r="F156" s="27"/>
      <c r="I156" s="27"/>
      <c r="L156" s="27"/>
      <c r="O156" s="27"/>
      <c r="R156" s="27"/>
      <c r="U156" s="27"/>
      <c r="X156" s="27"/>
      <c r="AA156" s="27"/>
    </row>
    <row r="157">
      <c r="C157" s="27"/>
      <c r="F157" s="27"/>
      <c r="I157" s="27"/>
      <c r="L157" s="27"/>
      <c r="O157" s="27"/>
      <c r="R157" s="27"/>
      <c r="U157" s="27"/>
      <c r="X157" s="27"/>
      <c r="AA157" s="27"/>
    </row>
    <row r="158">
      <c r="C158" s="27"/>
      <c r="F158" s="27"/>
      <c r="I158" s="27"/>
      <c r="L158" s="27"/>
      <c r="O158" s="27"/>
      <c r="R158" s="27"/>
      <c r="U158" s="27"/>
      <c r="X158" s="27"/>
      <c r="AA158" s="27"/>
    </row>
    <row r="159">
      <c r="C159" s="27"/>
      <c r="F159" s="27"/>
      <c r="I159" s="27"/>
      <c r="L159" s="27"/>
      <c r="O159" s="27"/>
      <c r="R159" s="27"/>
      <c r="U159" s="27"/>
      <c r="X159" s="27"/>
      <c r="AA159" s="27"/>
    </row>
    <row r="160">
      <c r="C160" s="27"/>
      <c r="F160" s="27"/>
      <c r="I160" s="27"/>
      <c r="L160" s="27"/>
      <c r="O160" s="27"/>
      <c r="R160" s="27"/>
      <c r="U160" s="27"/>
      <c r="X160" s="27"/>
      <c r="AA160" s="27"/>
    </row>
    <row r="161">
      <c r="C161" s="27"/>
      <c r="F161" s="27"/>
      <c r="I161" s="27"/>
      <c r="L161" s="27"/>
      <c r="O161" s="27"/>
      <c r="R161" s="27"/>
      <c r="U161" s="27"/>
      <c r="X161" s="27"/>
      <c r="AA161" s="27"/>
    </row>
    <row r="162">
      <c r="C162" s="27"/>
      <c r="F162" s="27"/>
      <c r="I162" s="27"/>
      <c r="L162" s="27"/>
      <c r="O162" s="27"/>
      <c r="R162" s="27"/>
      <c r="U162" s="27"/>
      <c r="X162" s="27"/>
      <c r="AA162" s="27"/>
    </row>
    <row r="163">
      <c r="C163" s="27"/>
      <c r="F163" s="27"/>
      <c r="I163" s="27"/>
      <c r="L163" s="27"/>
      <c r="O163" s="27"/>
      <c r="R163" s="27"/>
      <c r="U163" s="27"/>
      <c r="X163" s="27"/>
      <c r="AA163" s="27"/>
    </row>
    <row r="164">
      <c r="C164" s="27"/>
      <c r="F164" s="27"/>
      <c r="I164" s="27"/>
      <c r="L164" s="27"/>
      <c r="O164" s="27"/>
      <c r="R164" s="27"/>
      <c r="U164" s="27"/>
      <c r="X164" s="27"/>
      <c r="AA164" s="27"/>
    </row>
    <row r="165">
      <c r="C165" s="27"/>
      <c r="F165" s="27"/>
      <c r="I165" s="27"/>
      <c r="L165" s="27"/>
      <c r="O165" s="27"/>
      <c r="R165" s="27"/>
      <c r="U165" s="27"/>
      <c r="X165" s="27"/>
      <c r="AA165" s="27"/>
    </row>
    <row r="166">
      <c r="C166" s="27"/>
      <c r="F166" s="27"/>
      <c r="I166" s="27"/>
      <c r="L166" s="27"/>
      <c r="O166" s="27"/>
      <c r="R166" s="27"/>
      <c r="U166" s="27"/>
      <c r="X166" s="27"/>
      <c r="AA166" s="27"/>
    </row>
    <row r="167">
      <c r="C167" s="27"/>
      <c r="F167" s="27"/>
      <c r="I167" s="27"/>
      <c r="L167" s="27"/>
      <c r="O167" s="27"/>
      <c r="R167" s="27"/>
      <c r="U167" s="27"/>
      <c r="X167" s="27"/>
      <c r="AA167" s="27"/>
    </row>
    <row r="168">
      <c r="C168" s="27"/>
      <c r="F168" s="27"/>
      <c r="I168" s="27"/>
      <c r="L168" s="27"/>
      <c r="O168" s="27"/>
      <c r="R168" s="27"/>
      <c r="U168" s="27"/>
      <c r="X168" s="27"/>
      <c r="AA168" s="27"/>
    </row>
    <row r="169">
      <c r="C169" s="27"/>
      <c r="F169" s="27"/>
      <c r="I169" s="27"/>
      <c r="L169" s="27"/>
      <c r="O169" s="27"/>
      <c r="R169" s="27"/>
      <c r="U169" s="27"/>
      <c r="X169" s="27"/>
      <c r="AA169" s="27"/>
    </row>
    <row r="170">
      <c r="C170" s="27"/>
      <c r="F170" s="27"/>
      <c r="I170" s="27"/>
      <c r="L170" s="27"/>
      <c r="O170" s="27"/>
      <c r="R170" s="27"/>
      <c r="U170" s="27"/>
      <c r="X170" s="27"/>
      <c r="AA170" s="27"/>
    </row>
    <row r="171">
      <c r="C171" s="27"/>
      <c r="F171" s="27"/>
      <c r="I171" s="27"/>
      <c r="L171" s="27"/>
      <c r="O171" s="27"/>
      <c r="R171" s="27"/>
      <c r="U171" s="27"/>
      <c r="X171" s="27"/>
      <c r="AA171" s="27"/>
    </row>
    <row r="172">
      <c r="C172" s="27"/>
      <c r="F172" s="27"/>
      <c r="I172" s="27"/>
      <c r="L172" s="27"/>
      <c r="O172" s="27"/>
      <c r="R172" s="27"/>
      <c r="U172" s="27"/>
      <c r="X172" s="27"/>
      <c r="AA172" s="27"/>
    </row>
    <row r="173">
      <c r="C173" s="27"/>
      <c r="F173" s="27"/>
      <c r="I173" s="27"/>
      <c r="L173" s="27"/>
      <c r="O173" s="27"/>
      <c r="R173" s="27"/>
      <c r="U173" s="27"/>
      <c r="X173" s="27"/>
      <c r="AA173" s="27"/>
    </row>
    <row r="174">
      <c r="C174" s="27"/>
      <c r="F174" s="27"/>
      <c r="I174" s="27"/>
      <c r="L174" s="27"/>
      <c r="O174" s="27"/>
      <c r="R174" s="27"/>
      <c r="U174" s="27"/>
      <c r="X174" s="27"/>
      <c r="AA174" s="27"/>
    </row>
    <row r="175">
      <c r="C175" s="27"/>
      <c r="F175" s="27"/>
      <c r="I175" s="27"/>
      <c r="L175" s="27"/>
      <c r="O175" s="27"/>
      <c r="R175" s="27"/>
      <c r="U175" s="27"/>
      <c r="X175" s="27"/>
      <c r="AA175" s="27"/>
    </row>
    <row r="176">
      <c r="C176" s="27"/>
      <c r="F176" s="27"/>
      <c r="I176" s="27"/>
      <c r="L176" s="27"/>
      <c r="O176" s="27"/>
      <c r="R176" s="27"/>
      <c r="U176" s="27"/>
      <c r="X176" s="27"/>
      <c r="AA176" s="27"/>
    </row>
    <row r="177">
      <c r="C177" s="27"/>
      <c r="F177" s="27"/>
      <c r="I177" s="27"/>
      <c r="L177" s="27"/>
      <c r="O177" s="27"/>
      <c r="R177" s="27"/>
      <c r="U177" s="27"/>
      <c r="X177" s="27"/>
      <c r="AA177" s="27"/>
    </row>
    <row r="178">
      <c r="C178" s="27"/>
      <c r="F178" s="27"/>
      <c r="I178" s="27"/>
      <c r="L178" s="27"/>
      <c r="O178" s="27"/>
      <c r="R178" s="27"/>
      <c r="U178" s="27"/>
      <c r="X178" s="27"/>
      <c r="AA178" s="27"/>
    </row>
    <row r="179">
      <c r="C179" s="27"/>
      <c r="F179" s="27"/>
      <c r="I179" s="27"/>
      <c r="L179" s="27"/>
      <c r="O179" s="27"/>
      <c r="R179" s="27"/>
      <c r="U179" s="27"/>
      <c r="X179" s="27"/>
      <c r="AA179" s="27"/>
    </row>
    <row r="180">
      <c r="C180" s="27"/>
      <c r="F180" s="27"/>
      <c r="I180" s="27"/>
      <c r="L180" s="27"/>
      <c r="O180" s="27"/>
      <c r="R180" s="27"/>
      <c r="U180" s="27"/>
      <c r="X180" s="27"/>
      <c r="AA180" s="27"/>
    </row>
    <row r="181">
      <c r="C181" s="27"/>
      <c r="F181" s="27"/>
      <c r="I181" s="27"/>
      <c r="L181" s="27"/>
      <c r="O181" s="27"/>
      <c r="R181" s="27"/>
      <c r="U181" s="27"/>
      <c r="X181" s="27"/>
      <c r="AA181" s="27"/>
    </row>
    <row r="182">
      <c r="C182" s="27"/>
      <c r="F182" s="27"/>
      <c r="I182" s="27"/>
      <c r="L182" s="27"/>
      <c r="O182" s="27"/>
      <c r="R182" s="27"/>
      <c r="U182" s="27"/>
      <c r="X182" s="27"/>
      <c r="AA182" s="27"/>
    </row>
    <row r="183">
      <c r="C183" s="27"/>
      <c r="F183" s="27"/>
      <c r="I183" s="27"/>
      <c r="L183" s="27"/>
      <c r="O183" s="27"/>
      <c r="R183" s="27"/>
      <c r="U183" s="27"/>
      <c r="X183" s="27"/>
      <c r="AA183" s="27"/>
    </row>
    <row r="184">
      <c r="C184" s="27"/>
      <c r="F184" s="27"/>
      <c r="I184" s="27"/>
      <c r="L184" s="27"/>
      <c r="O184" s="27"/>
      <c r="R184" s="27"/>
      <c r="U184" s="27"/>
      <c r="X184" s="27"/>
      <c r="AA184" s="27"/>
    </row>
    <row r="185">
      <c r="C185" s="27"/>
      <c r="F185" s="27"/>
      <c r="I185" s="27"/>
      <c r="L185" s="27"/>
      <c r="O185" s="27"/>
      <c r="R185" s="27"/>
      <c r="U185" s="27"/>
      <c r="X185" s="27"/>
      <c r="AA185" s="27"/>
    </row>
    <row r="186">
      <c r="C186" s="27"/>
      <c r="F186" s="27"/>
      <c r="I186" s="27"/>
      <c r="L186" s="27"/>
      <c r="O186" s="27"/>
      <c r="R186" s="27"/>
      <c r="U186" s="27"/>
      <c r="X186" s="27"/>
      <c r="AA186" s="27"/>
    </row>
    <row r="187">
      <c r="C187" s="27"/>
      <c r="F187" s="27"/>
      <c r="I187" s="27"/>
      <c r="L187" s="27"/>
      <c r="O187" s="27"/>
      <c r="R187" s="27"/>
      <c r="U187" s="27"/>
      <c r="X187" s="27"/>
      <c r="AA187" s="27"/>
    </row>
    <row r="188">
      <c r="C188" s="27"/>
      <c r="F188" s="27"/>
      <c r="I188" s="27"/>
      <c r="L188" s="27"/>
      <c r="O188" s="27"/>
      <c r="R188" s="27"/>
      <c r="U188" s="27"/>
      <c r="X188" s="27"/>
      <c r="AA188" s="27"/>
    </row>
    <row r="189">
      <c r="C189" s="27"/>
      <c r="F189" s="27"/>
      <c r="I189" s="27"/>
      <c r="L189" s="27"/>
      <c r="O189" s="27"/>
      <c r="R189" s="27"/>
      <c r="U189" s="27"/>
      <c r="X189" s="27"/>
      <c r="AA189" s="27"/>
    </row>
    <row r="190">
      <c r="C190" s="27"/>
      <c r="F190" s="27"/>
      <c r="I190" s="27"/>
      <c r="L190" s="27"/>
      <c r="O190" s="27"/>
      <c r="R190" s="27"/>
      <c r="U190" s="27"/>
      <c r="X190" s="27"/>
      <c r="AA190" s="27"/>
    </row>
    <row r="191">
      <c r="C191" s="27"/>
      <c r="F191" s="27"/>
      <c r="I191" s="27"/>
      <c r="L191" s="27"/>
      <c r="O191" s="27"/>
      <c r="R191" s="27"/>
      <c r="U191" s="27"/>
      <c r="X191" s="27"/>
      <c r="AA191" s="27"/>
    </row>
    <row r="192">
      <c r="C192" s="27"/>
      <c r="F192" s="27"/>
      <c r="I192" s="27"/>
      <c r="L192" s="27"/>
      <c r="O192" s="27"/>
      <c r="R192" s="27"/>
      <c r="U192" s="27"/>
      <c r="X192" s="27"/>
      <c r="AA192" s="27"/>
    </row>
    <row r="193">
      <c r="C193" s="27"/>
      <c r="F193" s="27"/>
      <c r="I193" s="27"/>
      <c r="L193" s="27"/>
      <c r="O193" s="27"/>
      <c r="R193" s="27"/>
      <c r="U193" s="27"/>
      <c r="X193" s="27"/>
      <c r="AA193" s="27"/>
    </row>
    <row r="194">
      <c r="C194" s="27"/>
      <c r="F194" s="27"/>
      <c r="I194" s="27"/>
      <c r="L194" s="27"/>
      <c r="O194" s="27"/>
      <c r="R194" s="27"/>
      <c r="U194" s="27"/>
      <c r="X194" s="27"/>
      <c r="AA194" s="27"/>
    </row>
    <row r="195">
      <c r="C195" s="27"/>
      <c r="F195" s="27"/>
      <c r="I195" s="27"/>
      <c r="L195" s="27"/>
      <c r="O195" s="27"/>
      <c r="R195" s="27"/>
      <c r="U195" s="27"/>
      <c r="X195" s="27"/>
      <c r="AA195" s="27"/>
    </row>
    <row r="196">
      <c r="C196" s="27"/>
      <c r="F196" s="27"/>
      <c r="I196" s="27"/>
      <c r="L196" s="27"/>
      <c r="O196" s="27"/>
      <c r="R196" s="27"/>
      <c r="U196" s="27"/>
      <c r="X196" s="27"/>
      <c r="AA196" s="27"/>
    </row>
    <row r="197">
      <c r="C197" s="27"/>
      <c r="F197" s="27"/>
      <c r="I197" s="27"/>
      <c r="L197" s="27"/>
      <c r="O197" s="27"/>
      <c r="R197" s="27"/>
      <c r="U197" s="27"/>
      <c r="X197" s="27"/>
      <c r="AA197" s="27"/>
    </row>
    <row r="198">
      <c r="C198" s="27"/>
      <c r="F198" s="27"/>
      <c r="I198" s="27"/>
      <c r="L198" s="27"/>
      <c r="O198" s="27"/>
      <c r="R198" s="27"/>
      <c r="U198" s="27"/>
      <c r="X198" s="27"/>
      <c r="AA198" s="27"/>
    </row>
    <row r="199">
      <c r="C199" s="27"/>
      <c r="F199" s="27"/>
      <c r="I199" s="27"/>
      <c r="L199" s="27"/>
      <c r="O199" s="27"/>
      <c r="R199" s="27"/>
      <c r="U199" s="27"/>
      <c r="X199" s="27"/>
      <c r="AA199" s="27"/>
    </row>
    <row r="200">
      <c r="C200" s="27"/>
      <c r="F200" s="27"/>
      <c r="I200" s="27"/>
      <c r="L200" s="27"/>
      <c r="O200" s="27"/>
      <c r="R200" s="27"/>
      <c r="U200" s="27"/>
      <c r="X200" s="27"/>
      <c r="AA200" s="27"/>
    </row>
    <row r="201">
      <c r="C201" s="27"/>
      <c r="F201" s="27"/>
      <c r="I201" s="27"/>
      <c r="L201" s="27"/>
      <c r="O201" s="27"/>
      <c r="R201" s="27"/>
      <c r="U201" s="27"/>
      <c r="X201" s="27"/>
      <c r="AA201" s="27"/>
    </row>
    <row r="202">
      <c r="C202" s="27"/>
      <c r="F202" s="27"/>
      <c r="I202" s="27"/>
      <c r="L202" s="27"/>
      <c r="O202" s="27"/>
      <c r="R202" s="27"/>
      <c r="U202" s="27"/>
      <c r="X202" s="27"/>
      <c r="AA202" s="27"/>
    </row>
    <row r="203">
      <c r="C203" s="27"/>
      <c r="F203" s="27"/>
      <c r="I203" s="27"/>
      <c r="L203" s="27"/>
      <c r="O203" s="27"/>
      <c r="R203" s="27"/>
      <c r="U203" s="27"/>
      <c r="X203" s="27"/>
      <c r="AA203" s="27"/>
    </row>
    <row r="204">
      <c r="C204" s="27"/>
      <c r="F204" s="27"/>
      <c r="I204" s="27"/>
      <c r="L204" s="27"/>
      <c r="O204" s="27"/>
      <c r="R204" s="27"/>
      <c r="U204" s="27"/>
      <c r="X204" s="27"/>
      <c r="AA204" s="27"/>
    </row>
    <row r="205">
      <c r="C205" s="27"/>
      <c r="F205" s="27"/>
      <c r="I205" s="27"/>
      <c r="L205" s="27"/>
      <c r="O205" s="27"/>
      <c r="R205" s="27"/>
      <c r="U205" s="27"/>
      <c r="X205" s="27"/>
      <c r="AA205" s="27"/>
    </row>
    <row r="206">
      <c r="C206" s="27"/>
      <c r="F206" s="27"/>
      <c r="I206" s="27"/>
      <c r="L206" s="27"/>
      <c r="O206" s="27"/>
      <c r="R206" s="27"/>
      <c r="U206" s="27"/>
      <c r="X206" s="27"/>
      <c r="AA206" s="27"/>
    </row>
    <row r="207">
      <c r="C207" s="27"/>
      <c r="F207" s="27"/>
      <c r="I207" s="27"/>
      <c r="L207" s="27"/>
      <c r="O207" s="27"/>
      <c r="R207" s="27"/>
      <c r="U207" s="27"/>
      <c r="X207" s="27"/>
      <c r="AA207" s="27"/>
    </row>
    <row r="208">
      <c r="C208" s="27"/>
      <c r="F208" s="27"/>
      <c r="I208" s="27"/>
      <c r="L208" s="27"/>
      <c r="O208" s="27"/>
      <c r="R208" s="27"/>
      <c r="U208" s="27"/>
      <c r="X208" s="27"/>
      <c r="AA208" s="27"/>
    </row>
    <row r="209">
      <c r="C209" s="27"/>
      <c r="F209" s="27"/>
      <c r="I209" s="27"/>
      <c r="L209" s="27"/>
      <c r="O209" s="27"/>
      <c r="R209" s="27"/>
      <c r="U209" s="27"/>
      <c r="X209" s="27"/>
      <c r="AA209" s="27"/>
    </row>
    <row r="210">
      <c r="C210" s="27"/>
      <c r="F210" s="27"/>
      <c r="I210" s="27"/>
      <c r="L210" s="27"/>
      <c r="O210" s="27"/>
      <c r="R210" s="27"/>
      <c r="U210" s="27"/>
      <c r="X210" s="27"/>
      <c r="AA210" s="27"/>
    </row>
    <row r="211">
      <c r="C211" s="27"/>
      <c r="F211" s="27"/>
      <c r="I211" s="27"/>
      <c r="L211" s="27"/>
      <c r="O211" s="27"/>
      <c r="R211" s="27"/>
      <c r="U211" s="27"/>
      <c r="X211" s="27"/>
      <c r="AA211" s="27"/>
    </row>
    <row r="212">
      <c r="C212" s="27"/>
      <c r="F212" s="27"/>
      <c r="I212" s="27"/>
      <c r="L212" s="27"/>
      <c r="O212" s="27"/>
      <c r="R212" s="27"/>
      <c r="U212" s="27"/>
      <c r="X212" s="27"/>
      <c r="AA212" s="27"/>
    </row>
    <row r="213">
      <c r="C213" s="27"/>
      <c r="F213" s="27"/>
      <c r="I213" s="27"/>
      <c r="L213" s="27"/>
      <c r="O213" s="27"/>
      <c r="R213" s="27"/>
      <c r="U213" s="27"/>
      <c r="X213" s="27"/>
      <c r="AA213" s="27"/>
    </row>
    <row r="214">
      <c r="C214" s="27"/>
      <c r="F214" s="27"/>
      <c r="I214" s="27"/>
      <c r="L214" s="27"/>
      <c r="O214" s="27"/>
      <c r="R214" s="27"/>
      <c r="U214" s="27"/>
      <c r="X214" s="27"/>
      <c r="AA214" s="27"/>
    </row>
    <row r="215">
      <c r="C215" s="27"/>
      <c r="F215" s="27"/>
      <c r="I215" s="27"/>
      <c r="L215" s="27"/>
      <c r="O215" s="27"/>
      <c r="R215" s="27"/>
      <c r="U215" s="27"/>
      <c r="X215" s="27"/>
      <c r="AA215" s="27"/>
    </row>
    <row r="216">
      <c r="C216" s="27"/>
      <c r="F216" s="27"/>
      <c r="I216" s="27"/>
      <c r="L216" s="27"/>
      <c r="O216" s="27"/>
      <c r="R216" s="27"/>
      <c r="U216" s="27"/>
      <c r="X216" s="27"/>
      <c r="AA216" s="27"/>
    </row>
    <row r="217">
      <c r="C217" s="27"/>
      <c r="F217" s="27"/>
      <c r="I217" s="27"/>
      <c r="L217" s="27"/>
      <c r="O217" s="27"/>
      <c r="R217" s="27"/>
      <c r="U217" s="27"/>
      <c r="X217" s="27"/>
      <c r="AA217" s="27"/>
    </row>
    <row r="218">
      <c r="C218" s="27"/>
      <c r="F218" s="27"/>
      <c r="I218" s="27"/>
      <c r="L218" s="27"/>
      <c r="O218" s="27"/>
      <c r="R218" s="27"/>
      <c r="U218" s="27"/>
      <c r="X218" s="27"/>
      <c r="AA218" s="27"/>
    </row>
    <row r="219">
      <c r="C219" s="27"/>
      <c r="F219" s="27"/>
      <c r="I219" s="27"/>
      <c r="L219" s="27"/>
      <c r="O219" s="27"/>
      <c r="R219" s="27"/>
      <c r="U219" s="27"/>
      <c r="X219" s="27"/>
      <c r="AA219" s="27"/>
    </row>
    <row r="220">
      <c r="C220" s="27"/>
      <c r="F220" s="27"/>
      <c r="I220" s="27"/>
      <c r="L220" s="27"/>
      <c r="O220" s="27"/>
      <c r="R220" s="27"/>
      <c r="U220" s="27"/>
      <c r="X220" s="27"/>
      <c r="AA220" s="27"/>
    </row>
    <row r="221">
      <c r="C221" s="27"/>
      <c r="F221" s="27"/>
      <c r="I221" s="27"/>
      <c r="L221" s="27"/>
      <c r="O221" s="27"/>
      <c r="R221" s="27"/>
      <c r="U221" s="27"/>
      <c r="X221" s="27"/>
      <c r="AA221" s="27"/>
    </row>
    <row r="222">
      <c r="C222" s="27"/>
      <c r="F222" s="27"/>
      <c r="I222" s="27"/>
      <c r="L222" s="27"/>
      <c r="O222" s="27"/>
      <c r="R222" s="27"/>
      <c r="U222" s="27"/>
      <c r="X222" s="27"/>
      <c r="AA222" s="27"/>
    </row>
    <row r="223">
      <c r="C223" s="27"/>
      <c r="F223" s="27"/>
      <c r="I223" s="27"/>
      <c r="L223" s="27"/>
      <c r="O223" s="27"/>
      <c r="R223" s="27"/>
      <c r="U223" s="27"/>
      <c r="X223" s="27"/>
      <c r="AA223" s="27"/>
    </row>
    <row r="224">
      <c r="C224" s="27"/>
      <c r="F224" s="27"/>
      <c r="I224" s="27"/>
      <c r="L224" s="27"/>
      <c r="O224" s="27"/>
      <c r="R224" s="27"/>
      <c r="U224" s="27"/>
      <c r="X224" s="27"/>
      <c r="AA224" s="27"/>
    </row>
    <row r="225">
      <c r="C225" s="27"/>
      <c r="F225" s="27"/>
      <c r="I225" s="27"/>
      <c r="L225" s="27"/>
      <c r="O225" s="27"/>
      <c r="R225" s="27"/>
      <c r="U225" s="27"/>
      <c r="X225" s="27"/>
      <c r="AA225" s="27"/>
    </row>
    <row r="226">
      <c r="C226" s="27"/>
      <c r="F226" s="27"/>
      <c r="I226" s="27"/>
      <c r="L226" s="27"/>
      <c r="O226" s="27"/>
      <c r="R226" s="27"/>
      <c r="U226" s="27"/>
      <c r="X226" s="27"/>
      <c r="AA226" s="27"/>
    </row>
    <row r="227">
      <c r="C227" s="27"/>
      <c r="F227" s="27"/>
      <c r="I227" s="27"/>
      <c r="L227" s="27"/>
      <c r="O227" s="27"/>
      <c r="R227" s="27"/>
      <c r="U227" s="27"/>
      <c r="X227" s="27"/>
      <c r="AA227" s="27"/>
    </row>
    <row r="228">
      <c r="C228" s="27"/>
      <c r="F228" s="27"/>
      <c r="I228" s="27"/>
      <c r="L228" s="27"/>
      <c r="O228" s="27"/>
      <c r="R228" s="27"/>
      <c r="U228" s="27"/>
      <c r="X228" s="27"/>
      <c r="AA228" s="27"/>
    </row>
    <row r="229">
      <c r="C229" s="27"/>
      <c r="F229" s="27"/>
      <c r="I229" s="27"/>
      <c r="L229" s="27"/>
      <c r="O229" s="27"/>
      <c r="R229" s="27"/>
      <c r="U229" s="27"/>
      <c r="X229" s="27"/>
      <c r="AA229" s="27"/>
    </row>
    <row r="230">
      <c r="C230" s="27"/>
      <c r="F230" s="27"/>
      <c r="I230" s="27"/>
      <c r="L230" s="27"/>
      <c r="O230" s="27"/>
      <c r="R230" s="27"/>
      <c r="U230" s="27"/>
      <c r="X230" s="27"/>
      <c r="AA230" s="27"/>
    </row>
    <row r="231">
      <c r="C231" s="27"/>
      <c r="F231" s="27"/>
      <c r="I231" s="27"/>
      <c r="L231" s="27"/>
      <c r="O231" s="27"/>
      <c r="R231" s="27"/>
      <c r="U231" s="27"/>
      <c r="X231" s="27"/>
      <c r="AA231" s="27"/>
    </row>
    <row r="232">
      <c r="C232" s="27"/>
      <c r="F232" s="27"/>
      <c r="I232" s="27"/>
      <c r="L232" s="27"/>
      <c r="O232" s="27"/>
      <c r="R232" s="27"/>
      <c r="U232" s="27"/>
      <c r="X232" s="27"/>
      <c r="AA232" s="27"/>
    </row>
    <row r="233">
      <c r="C233" s="27"/>
      <c r="F233" s="27"/>
      <c r="I233" s="27"/>
      <c r="L233" s="27"/>
      <c r="O233" s="27"/>
      <c r="R233" s="27"/>
      <c r="U233" s="27"/>
      <c r="X233" s="27"/>
      <c r="AA233" s="27"/>
    </row>
    <row r="234">
      <c r="C234" s="27"/>
      <c r="F234" s="27"/>
      <c r="I234" s="27"/>
      <c r="L234" s="27"/>
      <c r="O234" s="27"/>
      <c r="R234" s="27"/>
      <c r="U234" s="27"/>
      <c r="X234" s="27"/>
      <c r="AA234" s="27"/>
    </row>
    <row r="235">
      <c r="C235" s="27"/>
      <c r="F235" s="27"/>
      <c r="I235" s="27"/>
      <c r="L235" s="27"/>
      <c r="O235" s="27"/>
      <c r="R235" s="27"/>
      <c r="U235" s="27"/>
      <c r="X235" s="27"/>
      <c r="AA235" s="27"/>
    </row>
    <row r="236">
      <c r="C236" s="27"/>
      <c r="F236" s="27"/>
      <c r="I236" s="27"/>
      <c r="L236" s="27"/>
      <c r="O236" s="27"/>
      <c r="R236" s="27"/>
      <c r="U236" s="27"/>
      <c r="X236" s="27"/>
      <c r="AA236" s="27"/>
    </row>
    <row r="237">
      <c r="C237" s="27"/>
      <c r="F237" s="27"/>
      <c r="I237" s="27"/>
      <c r="L237" s="27"/>
      <c r="O237" s="27"/>
      <c r="R237" s="27"/>
      <c r="U237" s="27"/>
      <c r="X237" s="27"/>
      <c r="AA237" s="27"/>
    </row>
    <row r="238">
      <c r="C238" s="27"/>
      <c r="F238" s="27"/>
      <c r="I238" s="27"/>
      <c r="L238" s="27"/>
      <c r="O238" s="27"/>
      <c r="R238" s="27"/>
      <c r="U238" s="27"/>
      <c r="X238" s="27"/>
      <c r="AA238" s="27"/>
    </row>
    <row r="239">
      <c r="C239" s="27"/>
      <c r="F239" s="27"/>
      <c r="I239" s="27"/>
      <c r="L239" s="27"/>
      <c r="O239" s="27"/>
      <c r="R239" s="27"/>
      <c r="U239" s="27"/>
      <c r="X239" s="27"/>
      <c r="AA239" s="27"/>
    </row>
    <row r="240">
      <c r="C240" s="27"/>
      <c r="F240" s="27"/>
      <c r="I240" s="27"/>
      <c r="L240" s="27"/>
      <c r="O240" s="27"/>
      <c r="R240" s="27"/>
      <c r="U240" s="27"/>
      <c r="X240" s="27"/>
      <c r="AA240" s="27"/>
    </row>
    <row r="241">
      <c r="C241" s="27"/>
      <c r="F241" s="27"/>
      <c r="I241" s="27"/>
      <c r="L241" s="27"/>
      <c r="O241" s="27"/>
      <c r="R241" s="27"/>
      <c r="U241" s="27"/>
      <c r="X241" s="27"/>
      <c r="AA241" s="27"/>
    </row>
    <row r="242">
      <c r="C242" s="27"/>
      <c r="F242" s="27"/>
      <c r="I242" s="27"/>
      <c r="L242" s="27"/>
      <c r="O242" s="27"/>
      <c r="R242" s="27"/>
      <c r="U242" s="27"/>
      <c r="X242" s="27"/>
      <c r="AA242" s="27"/>
    </row>
    <row r="243">
      <c r="C243" s="27"/>
      <c r="F243" s="27"/>
      <c r="I243" s="27"/>
      <c r="L243" s="27"/>
      <c r="O243" s="27"/>
      <c r="R243" s="27"/>
      <c r="U243" s="27"/>
      <c r="X243" s="27"/>
      <c r="AA243" s="27"/>
    </row>
    <row r="244">
      <c r="C244" s="27"/>
      <c r="F244" s="27"/>
      <c r="I244" s="27"/>
      <c r="L244" s="27"/>
      <c r="O244" s="27"/>
      <c r="R244" s="27"/>
      <c r="U244" s="27"/>
      <c r="X244" s="27"/>
      <c r="AA244" s="27"/>
    </row>
    <row r="245">
      <c r="C245" s="27"/>
      <c r="F245" s="27"/>
      <c r="I245" s="27"/>
      <c r="L245" s="27"/>
      <c r="O245" s="27"/>
      <c r="R245" s="27"/>
      <c r="U245" s="27"/>
      <c r="X245" s="27"/>
      <c r="AA245" s="27"/>
    </row>
    <row r="246">
      <c r="C246" s="27"/>
      <c r="F246" s="27"/>
      <c r="I246" s="27"/>
      <c r="L246" s="27"/>
      <c r="O246" s="27"/>
      <c r="R246" s="27"/>
      <c r="U246" s="27"/>
      <c r="X246" s="27"/>
      <c r="AA246" s="27"/>
    </row>
    <row r="247">
      <c r="C247" s="27"/>
      <c r="F247" s="27"/>
      <c r="I247" s="27"/>
      <c r="L247" s="27"/>
      <c r="O247" s="27"/>
      <c r="R247" s="27"/>
      <c r="U247" s="27"/>
      <c r="X247" s="27"/>
      <c r="AA247" s="27"/>
    </row>
    <row r="248">
      <c r="C248" s="27"/>
      <c r="F248" s="27"/>
      <c r="I248" s="27"/>
      <c r="L248" s="27"/>
      <c r="O248" s="27"/>
      <c r="R248" s="27"/>
      <c r="U248" s="27"/>
      <c r="X248" s="27"/>
      <c r="AA248" s="27"/>
    </row>
    <row r="249">
      <c r="C249" s="27"/>
      <c r="F249" s="27"/>
      <c r="I249" s="27"/>
      <c r="L249" s="27"/>
      <c r="O249" s="27"/>
      <c r="R249" s="27"/>
      <c r="U249" s="27"/>
      <c r="X249" s="27"/>
      <c r="AA249" s="27"/>
    </row>
    <row r="250">
      <c r="C250" s="27"/>
      <c r="F250" s="27"/>
      <c r="I250" s="27"/>
      <c r="L250" s="27"/>
      <c r="O250" s="27"/>
      <c r="R250" s="27"/>
      <c r="U250" s="27"/>
      <c r="X250" s="27"/>
      <c r="AA250" s="27"/>
    </row>
    <row r="251">
      <c r="C251" s="27"/>
      <c r="F251" s="27"/>
      <c r="I251" s="27"/>
      <c r="L251" s="27"/>
      <c r="O251" s="27"/>
      <c r="R251" s="27"/>
      <c r="U251" s="27"/>
      <c r="X251" s="27"/>
      <c r="AA251" s="27"/>
    </row>
    <row r="252">
      <c r="C252" s="27"/>
      <c r="F252" s="27"/>
      <c r="I252" s="27"/>
      <c r="L252" s="27"/>
      <c r="O252" s="27"/>
      <c r="R252" s="27"/>
      <c r="U252" s="27"/>
      <c r="X252" s="27"/>
      <c r="AA252" s="27"/>
    </row>
    <row r="253">
      <c r="C253" s="27"/>
      <c r="F253" s="27"/>
      <c r="I253" s="27"/>
      <c r="L253" s="27"/>
      <c r="O253" s="27"/>
      <c r="R253" s="27"/>
      <c r="U253" s="27"/>
      <c r="X253" s="27"/>
      <c r="AA253" s="27"/>
    </row>
    <row r="254">
      <c r="C254" s="27"/>
      <c r="F254" s="27"/>
      <c r="I254" s="27"/>
      <c r="L254" s="27"/>
      <c r="O254" s="27"/>
      <c r="R254" s="27"/>
      <c r="U254" s="27"/>
      <c r="X254" s="27"/>
      <c r="AA254" s="27"/>
    </row>
    <row r="255">
      <c r="C255" s="27"/>
      <c r="F255" s="27"/>
      <c r="I255" s="27"/>
      <c r="L255" s="27"/>
      <c r="O255" s="27"/>
      <c r="R255" s="27"/>
      <c r="U255" s="27"/>
      <c r="X255" s="27"/>
      <c r="AA255" s="27"/>
    </row>
    <row r="256">
      <c r="C256" s="27"/>
      <c r="F256" s="27"/>
      <c r="I256" s="27"/>
      <c r="L256" s="27"/>
      <c r="O256" s="27"/>
      <c r="R256" s="27"/>
      <c r="U256" s="27"/>
      <c r="X256" s="27"/>
      <c r="AA256" s="27"/>
    </row>
    <row r="257">
      <c r="C257" s="27"/>
      <c r="F257" s="27"/>
      <c r="I257" s="27"/>
      <c r="L257" s="27"/>
      <c r="O257" s="27"/>
      <c r="R257" s="27"/>
      <c r="U257" s="27"/>
      <c r="X257" s="27"/>
      <c r="AA257" s="27"/>
    </row>
    <row r="258">
      <c r="C258" s="27"/>
      <c r="F258" s="27"/>
      <c r="I258" s="27"/>
      <c r="L258" s="27"/>
      <c r="O258" s="27"/>
      <c r="R258" s="27"/>
      <c r="U258" s="27"/>
      <c r="X258" s="27"/>
      <c r="AA258" s="27"/>
    </row>
    <row r="259">
      <c r="C259" s="27"/>
      <c r="F259" s="27"/>
      <c r="I259" s="27"/>
      <c r="L259" s="27"/>
      <c r="O259" s="27"/>
      <c r="R259" s="27"/>
      <c r="U259" s="27"/>
      <c r="X259" s="27"/>
      <c r="AA259" s="27"/>
    </row>
    <row r="260">
      <c r="C260" s="27"/>
      <c r="F260" s="27"/>
      <c r="I260" s="27"/>
      <c r="L260" s="27"/>
      <c r="O260" s="27"/>
      <c r="R260" s="27"/>
      <c r="U260" s="27"/>
      <c r="X260" s="27"/>
      <c r="AA260" s="27"/>
    </row>
    <row r="261">
      <c r="C261" s="27"/>
      <c r="F261" s="27"/>
      <c r="I261" s="27"/>
      <c r="L261" s="27"/>
      <c r="O261" s="27"/>
      <c r="R261" s="27"/>
      <c r="U261" s="27"/>
      <c r="X261" s="27"/>
      <c r="AA261" s="27"/>
    </row>
    <row r="262">
      <c r="C262" s="27"/>
      <c r="F262" s="27"/>
      <c r="I262" s="27"/>
      <c r="L262" s="27"/>
      <c r="O262" s="27"/>
      <c r="R262" s="27"/>
      <c r="U262" s="27"/>
      <c r="X262" s="27"/>
      <c r="AA262" s="27"/>
    </row>
    <row r="263">
      <c r="C263" s="27"/>
      <c r="F263" s="27"/>
      <c r="I263" s="27"/>
      <c r="L263" s="27"/>
      <c r="O263" s="27"/>
      <c r="R263" s="27"/>
      <c r="U263" s="27"/>
      <c r="X263" s="27"/>
      <c r="AA263" s="27"/>
    </row>
    <row r="264">
      <c r="C264" s="27"/>
      <c r="F264" s="27"/>
      <c r="I264" s="27"/>
      <c r="L264" s="27"/>
      <c r="O264" s="27"/>
      <c r="R264" s="27"/>
      <c r="U264" s="27"/>
      <c r="X264" s="27"/>
      <c r="AA264" s="27"/>
    </row>
    <row r="265">
      <c r="C265" s="27"/>
      <c r="F265" s="27"/>
      <c r="I265" s="27"/>
      <c r="L265" s="27"/>
      <c r="O265" s="27"/>
      <c r="R265" s="27"/>
      <c r="U265" s="27"/>
      <c r="X265" s="27"/>
      <c r="AA265" s="27"/>
    </row>
    <row r="266">
      <c r="C266" s="27"/>
      <c r="F266" s="27"/>
      <c r="I266" s="27"/>
      <c r="L266" s="27"/>
      <c r="O266" s="27"/>
      <c r="R266" s="27"/>
      <c r="U266" s="27"/>
      <c r="X266" s="27"/>
      <c r="AA266" s="27"/>
    </row>
    <row r="267">
      <c r="C267" s="27"/>
      <c r="F267" s="27"/>
      <c r="I267" s="27"/>
      <c r="L267" s="27"/>
      <c r="O267" s="27"/>
      <c r="R267" s="27"/>
      <c r="U267" s="27"/>
      <c r="X267" s="27"/>
      <c r="AA267" s="27"/>
    </row>
    <row r="268">
      <c r="C268" s="27"/>
      <c r="F268" s="27"/>
      <c r="I268" s="27"/>
      <c r="L268" s="27"/>
      <c r="O268" s="27"/>
      <c r="R268" s="27"/>
      <c r="U268" s="27"/>
      <c r="X268" s="27"/>
      <c r="AA268" s="27"/>
    </row>
    <row r="269">
      <c r="C269" s="27"/>
      <c r="F269" s="27"/>
      <c r="I269" s="27"/>
      <c r="L269" s="27"/>
      <c r="O269" s="27"/>
      <c r="R269" s="27"/>
      <c r="U269" s="27"/>
      <c r="X269" s="27"/>
      <c r="AA269" s="27"/>
    </row>
    <row r="270">
      <c r="C270" s="27"/>
      <c r="F270" s="27"/>
      <c r="I270" s="27"/>
      <c r="L270" s="27"/>
      <c r="O270" s="27"/>
      <c r="R270" s="27"/>
      <c r="U270" s="27"/>
      <c r="X270" s="27"/>
      <c r="AA270" s="27"/>
    </row>
    <row r="271">
      <c r="C271" s="27"/>
      <c r="F271" s="27"/>
      <c r="I271" s="27"/>
      <c r="L271" s="27"/>
      <c r="O271" s="27"/>
      <c r="R271" s="27"/>
      <c r="U271" s="27"/>
      <c r="X271" s="27"/>
      <c r="AA271" s="27"/>
    </row>
    <row r="272">
      <c r="C272" s="27"/>
      <c r="F272" s="27"/>
      <c r="I272" s="27"/>
      <c r="L272" s="27"/>
      <c r="O272" s="27"/>
      <c r="R272" s="27"/>
      <c r="U272" s="27"/>
      <c r="X272" s="27"/>
      <c r="AA272" s="27"/>
    </row>
    <row r="273">
      <c r="C273" s="27"/>
      <c r="F273" s="27"/>
      <c r="I273" s="27"/>
      <c r="L273" s="27"/>
      <c r="O273" s="27"/>
      <c r="R273" s="27"/>
      <c r="U273" s="27"/>
      <c r="X273" s="27"/>
      <c r="AA273" s="27"/>
    </row>
    <row r="274">
      <c r="C274" s="27"/>
      <c r="F274" s="27"/>
      <c r="I274" s="27"/>
      <c r="L274" s="27"/>
      <c r="O274" s="27"/>
      <c r="R274" s="27"/>
      <c r="U274" s="27"/>
      <c r="X274" s="27"/>
      <c r="AA274" s="27"/>
    </row>
    <row r="275">
      <c r="C275" s="27"/>
      <c r="F275" s="27"/>
      <c r="I275" s="27"/>
      <c r="L275" s="27"/>
      <c r="O275" s="27"/>
      <c r="R275" s="27"/>
      <c r="U275" s="27"/>
      <c r="X275" s="27"/>
      <c r="AA275" s="27"/>
    </row>
    <row r="276">
      <c r="C276" s="27"/>
      <c r="F276" s="27"/>
      <c r="I276" s="27"/>
      <c r="L276" s="27"/>
      <c r="O276" s="27"/>
      <c r="R276" s="27"/>
      <c r="U276" s="27"/>
      <c r="X276" s="27"/>
      <c r="AA276" s="27"/>
    </row>
    <row r="277">
      <c r="C277" s="27"/>
      <c r="F277" s="27"/>
      <c r="I277" s="27"/>
      <c r="L277" s="27"/>
      <c r="O277" s="27"/>
      <c r="R277" s="27"/>
      <c r="U277" s="27"/>
      <c r="X277" s="27"/>
      <c r="AA277" s="27"/>
    </row>
    <row r="278">
      <c r="C278" s="27"/>
      <c r="F278" s="27"/>
      <c r="I278" s="27"/>
      <c r="L278" s="27"/>
      <c r="O278" s="27"/>
      <c r="R278" s="27"/>
      <c r="U278" s="27"/>
      <c r="X278" s="27"/>
      <c r="AA278" s="27"/>
    </row>
    <row r="279">
      <c r="C279" s="27"/>
      <c r="F279" s="27"/>
      <c r="I279" s="27"/>
      <c r="L279" s="27"/>
      <c r="O279" s="27"/>
      <c r="R279" s="27"/>
      <c r="U279" s="27"/>
      <c r="X279" s="27"/>
      <c r="AA279" s="27"/>
    </row>
    <row r="280">
      <c r="C280" s="27"/>
      <c r="F280" s="27"/>
      <c r="I280" s="27"/>
      <c r="L280" s="27"/>
      <c r="O280" s="27"/>
      <c r="R280" s="27"/>
      <c r="U280" s="27"/>
      <c r="X280" s="27"/>
      <c r="AA280" s="27"/>
    </row>
    <row r="281">
      <c r="C281" s="27"/>
      <c r="F281" s="27"/>
      <c r="I281" s="27"/>
      <c r="L281" s="27"/>
      <c r="O281" s="27"/>
      <c r="R281" s="27"/>
      <c r="U281" s="27"/>
      <c r="X281" s="27"/>
      <c r="AA281" s="27"/>
    </row>
    <row r="282">
      <c r="C282" s="27"/>
      <c r="F282" s="27"/>
      <c r="I282" s="27"/>
      <c r="L282" s="27"/>
      <c r="O282" s="27"/>
      <c r="R282" s="27"/>
      <c r="U282" s="27"/>
      <c r="X282" s="27"/>
      <c r="AA282" s="27"/>
    </row>
    <row r="283">
      <c r="C283" s="27"/>
      <c r="F283" s="27"/>
      <c r="I283" s="27"/>
      <c r="L283" s="27"/>
      <c r="O283" s="27"/>
      <c r="R283" s="27"/>
      <c r="U283" s="27"/>
      <c r="X283" s="27"/>
      <c r="AA283" s="27"/>
    </row>
    <row r="284">
      <c r="C284" s="27"/>
      <c r="F284" s="27"/>
      <c r="I284" s="27"/>
      <c r="L284" s="27"/>
      <c r="O284" s="27"/>
      <c r="R284" s="27"/>
      <c r="U284" s="27"/>
      <c r="X284" s="27"/>
      <c r="AA284" s="27"/>
    </row>
    <row r="285">
      <c r="C285" s="27"/>
      <c r="F285" s="27"/>
      <c r="I285" s="27"/>
      <c r="L285" s="27"/>
      <c r="O285" s="27"/>
      <c r="R285" s="27"/>
      <c r="U285" s="27"/>
      <c r="X285" s="27"/>
      <c r="AA285" s="27"/>
    </row>
    <row r="286">
      <c r="C286" s="27"/>
      <c r="F286" s="27"/>
      <c r="I286" s="27"/>
      <c r="L286" s="27"/>
      <c r="O286" s="27"/>
      <c r="R286" s="27"/>
      <c r="U286" s="27"/>
      <c r="X286" s="27"/>
      <c r="AA286" s="27"/>
    </row>
    <row r="287">
      <c r="C287" s="27"/>
      <c r="F287" s="27"/>
      <c r="I287" s="27"/>
      <c r="L287" s="27"/>
      <c r="O287" s="27"/>
      <c r="R287" s="27"/>
      <c r="U287" s="27"/>
      <c r="X287" s="27"/>
      <c r="AA287" s="27"/>
    </row>
    <row r="288">
      <c r="C288" s="27"/>
      <c r="F288" s="27"/>
      <c r="I288" s="27"/>
      <c r="L288" s="27"/>
      <c r="O288" s="27"/>
      <c r="R288" s="27"/>
      <c r="U288" s="27"/>
      <c r="X288" s="27"/>
      <c r="AA288" s="27"/>
    </row>
    <row r="289">
      <c r="C289" s="27"/>
      <c r="F289" s="27"/>
      <c r="I289" s="27"/>
      <c r="L289" s="27"/>
      <c r="O289" s="27"/>
      <c r="R289" s="27"/>
      <c r="U289" s="27"/>
      <c r="X289" s="27"/>
      <c r="AA289" s="27"/>
    </row>
    <row r="290">
      <c r="C290" s="27"/>
      <c r="F290" s="27"/>
      <c r="I290" s="27"/>
      <c r="L290" s="27"/>
      <c r="O290" s="27"/>
      <c r="R290" s="27"/>
      <c r="U290" s="27"/>
      <c r="X290" s="27"/>
      <c r="AA290" s="27"/>
    </row>
    <row r="291">
      <c r="C291" s="27"/>
      <c r="F291" s="27"/>
      <c r="I291" s="27"/>
      <c r="L291" s="27"/>
      <c r="O291" s="27"/>
      <c r="R291" s="27"/>
      <c r="U291" s="27"/>
      <c r="X291" s="27"/>
      <c r="AA291" s="27"/>
    </row>
    <row r="292">
      <c r="C292" s="27"/>
      <c r="F292" s="27"/>
      <c r="I292" s="27"/>
      <c r="L292" s="27"/>
      <c r="O292" s="27"/>
      <c r="R292" s="27"/>
      <c r="U292" s="27"/>
      <c r="X292" s="27"/>
      <c r="AA292" s="27"/>
    </row>
    <row r="293">
      <c r="C293" s="27"/>
      <c r="F293" s="27"/>
      <c r="I293" s="27"/>
      <c r="L293" s="27"/>
      <c r="O293" s="27"/>
      <c r="R293" s="27"/>
      <c r="U293" s="27"/>
      <c r="X293" s="27"/>
      <c r="AA293" s="27"/>
    </row>
    <row r="294">
      <c r="C294" s="27"/>
      <c r="F294" s="27"/>
      <c r="I294" s="27"/>
      <c r="L294" s="27"/>
      <c r="O294" s="27"/>
      <c r="R294" s="27"/>
      <c r="U294" s="27"/>
      <c r="X294" s="27"/>
      <c r="AA294" s="27"/>
    </row>
    <row r="295">
      <c r="C295" s="27"/>
      <c r="F295" s="27"/>
      <c r="I295" s="27"/>
      <c r="L295" s="27"/>
      <c r="O295" s="27"/>
      <c r="R295" s="27"/>
      <c r="U295" s="27"/>
      <c r="X295" s="27"/>
      <c r="AA295" s="27"/>
    </row>
    <row r="296">
      <c r="C296" s="27"/>
      <c r="F296" s="27"/>
      <c r="I296" s="27"/>
      <c r="L296" s="27"/>
      <c r="O296" s="27"/>
      <c r="R296" s="27"/>
      <c r="U296" s="27"/>
      <c r="X296" s="27"/>
      <c r="AA296" s="27"/>
    </row>
    <row r="297">
      <c r="C297" s="27"/>
      <c r="F297" s="27"/>
      <c r="I297" s="27"/>
      <c r="L297" s="27"/>
      <c r="O297" s="27"/>
      <c r="R297" s="27"/>
      <c r="U297" s="27"/>
      <c r="X297" s="27"/>
      <c r="AA297" s="27"/>
    </row>
    <row r="298">
      <c r="C298" s="27"/>
      <c r="F298" s="27"/>
      <c r="I298" s="27"/>
      <c r="L298" s="27"/>
      <c r="O298" s="27"/>
      <c r="R298" s="27"/>
      <c r="U298" s="27"/>
      <c r="X298" s="27"/>
      <c r="AA298" s="27"/>
    </row>
    <row r="299">
      <c r="C299" s="27"/>
      <c r="F299" s="27"/>
      <c r="I299" s="27"/>
      <c r="L299" s="27"/>
      <c r="O299" s="27"/>
      <c r="R299" s="27"/>
      <c r="U299" s="27"/>
      <c r="X299" s="27"/>
      <c r="AA299" s="27"/>
    </row>
    <row r="300">
      <c r="C300" s="27"/>
      <c r="F300" s="27"/>
      <c r="I300" s="27"/>
      <c r="L300" s="27"/>
      <c r="O300" s="27"/>
      <c r="R300" s="27"/>
      <c r="U300" s="27"/>
      <c r="X300" s="27"/>
      <c r="AA300" s="27"/>
    </row>
    <row r="301">
      <c r="C301" s="27"/>
      <c r="F301" s="27"/>
      <c r="I301" s="27"/>
      <c r="L301" s="27"/>
      <c r="O301" s="27"/>
      <c r="R301" s="27"/>
      <c r="U301" s="27"/>
      <c r="X301" s="27"/>
      <c r="AA301" s="27"/>
    </row>
    <row r="302">
      <c r="C302" s="27"/>
      <c r="F302" s="27"/>
      <c r="I302" s="27"/>
      <c r="L302" s="27"/>
      <c r="O302" s="27"/>
      <c r="R302" s="27"/>
      <c r="U302" s="27"/>
      <c r="X302" s="27"/>
      <c r="AA302" s="27"/>
    </row>
    <row r="303">
      <c r="C303" s="27"/>
      <c r="F303" s="27"/>
      <c r="I303" s="27"/>
      <c r="L303" s="27"/>
      <c r="O303" s="27"/>
      <c r="R303" s="27"/>
      <c r="U303" s="27"/>
      <c r="X303" s="27"/>
      <c r="AA303" s="27"/>
    </row>
    <row r="304">
      <c r="C304" s="27"/>
      <c r="F304" s="27"/>
      <c r="I304" s="27"/>
      <c r="L304" s="27"/>
      <c r="O304" s="27"/>
      <c r="R304" s="27"/>
      <c r="U304" s="27"/>
      <c r="X304" s="27"/>
      <c r="AA304" s="27"/>
    </row>
    <row r="305">
      <c r="C305" s="27"/>
      <c r="F305" s="27"/>
      <c r="I305" s="27"/>
      <c r="L305" s="27"/>
      <c r="O305" s="27"/>
      <c r="R305" s="27"/>
      <c r="U305" s="27"/>
      <c r="X305" s="27"/>
      <c r="AA305" s="27"/>
    </row>
    <row r="306">
      <c r="C306" s="27"/>
      <c r="F306" s="27"/>
      <c r="I306" s="27"/>
      <c r="L306" s="27"/>
      <c r="O306" s="27"/>
      <c r="R306" s="27"/>
      <c r="U306" s="27"/>
      <c r="X306" s="27"/>
      <c r="AA306" s="27"/>
    </row>
    <row r="307">
      <c r="C307" s="27"/>
      <c r="F307" s="27"/>
      <c r="I307" s="27"/>
      <c r="L307" s="27"/>
      <c r="O307" s="27"/>
      <c r="R307" s="27"/>
      <c r="U307" s="27"/>
      <c r="X307" s="27"/>
      <c r="AA307" s="27"/>
    </row>
    <row r="308">
      <c r="C308" s="27"/>
      <c r="F308" s="27"/>
      <c r="I308" s="27"/>
      <c r="L308" s="27"/>
      <c r="O308" s="27"/>
      <c r="R308" s="27"/>
      <c r="U308" s="27"/>
      <c r="X308" s="27"/>
      <c r="AA308" s="27"/>
    </row>
    <row r="309">
      <c r="C309" s="27"/>
      <c r="F309" s="27"/>
      <c r="I309" s="27"/>
      <c r="L309" s="27"/>
      <c r="O309" s="27"/>
      <c r="R309" s="27"/>
      <c r="U309" s="27"/>
      <c r="X309" s="27"/>
      <c r="AA309" s="27"/>
    </row>
    <row r="310">
      <c r="C310" s="27"/>
      <c r="F310" s="27"/>
      <c r="I310" s="27"/>
      <c r="L310" s="27"/>
      <c r="O310" s="27"/>
      <c r="R310" s="27"/>
      <c r="U310" s="27"/>
      <c r="X310" s="27"/>
      <c r="AA310" s="27"/>
    </row>
    <row r="311">
      <c r="C311" s="27"/>
      <c r="F311" s="27"/>
      <c r="I311" s="27"/>
      <c r="L311" s="27"/>
      <c r="O311" s="27"/>
      <c r="R311" s="27"/>
      <c r="U311" s="27"/>
      <c r="X311" s="27"/>
      <c r="AA311" s="27"/>
    </row>
    <row r="312">
      <c r="C312" s="27"/>
      <c r="F312" s="27"/>
      <c r="I312" s="27"/>
      <c r="L312" s="27"/>
      <c r="O312" s="27"/>
      <c r="R312" s="27"/>
      <c r="U312" s="27"/>
      <c r="X312" s="27"/>
      <c r="AA312" s="27"/>
    </row>
    <row r="313">
      <c r="C313" s="27"/>
      <c r="F313" s="27"/>
      <c r="I313" s="27"/>
      <c r="L313" s="27"/>
      <c r="O313" s="27"/>
      <c r="R313" s="27"/>
      <c r="U313" s="27"/>
      <c r="X313" s="27"/>
      <c r="AA313" s="27"/>
    </row>
    <row r="314">
      <c r="C314" s="27"/>
      <c r="F314" s="27"/>
      <c r="I314" s="27"/>
      <c r="L314" s="27"/>
      <c r="O314" s="27"/>
      <c r="R314" s="27"/>
      <c r="U314" s="27"/>
      <c r="X314" s="27"/>
      <c r="AA314" s="27"/>
    </row>
    <row r="315">
      <c r="C315" s="27"/>
      <c r="F315" s="27"/>
      <c r="I315" s="27"/>
      <c r="L315" s="27"/>
      <c r="O315" s="27"/>
      <c r="R315" s="27"/>
      <c r="U315" s="27"/>
      <c r="X315" s="27"/>
      <c r="AA315" s="27"/>
    </row>
    <row r="316">
      <c r="C316" s="27"/>
      <c r="F316" s="27"/>
      <c r="I316" s="27"/>
      <c r="L316" s="27"/>
      <c r="O316" s="27"/>
      <c r="R316" s="27"/>
      <c r="U316" s="27"/>
      <c r="X316" s="27"/>
      <c r="AA316" s="27"/>
    </row>
    <row r="317">
      <c r="C317" s="27"/>
      <c r="F317" s="27"/>
      <c r="I317" s="27"/>
      <c r="L317" s="27"/>
      <c r="O317" s="27"/>
      <c r="R317" s="27"/>
      <c r="U317" s="27"/>
      <c r="X317" s="27"/>
      <c r="AA317" s="27"/>
    </row>
    <row r="318">
      <c r="C318" s="27"/>
      <c r="F318" s="27"/>
      <c r="I318" s="27"/>
      <c r="L318" s="27"/>
      <c r="O318" s="27"/>
      <c r="R318" s="27"/>
      <c r="U318" s="27"/>
      <c r="X318" s="27"/>
      <c r="AA318" s="27"/>
    </row>
    <row r="319">
      <c r="C319" s="27"/>
      <c r="F319" s="27"/>
      <c r="I319" s="27"/>
      <c r="L319" s="27"/>
      <c r="O319" s="27"/>
      <c r="R319" s="27"/>
      <c r="U319" s="27"/>
      <c r="X319" s="27"/>
      <c r="AA319" s="27"/>
    </row>
    <row r="320">
      <c r="C320" s="27"/>
      <c r="F320" s="27"/>
      <c r="I320" s="27"/>
      <c r="L320" s="27"/>
      <c r="O320" s="27"/>
      <c r="R320" s="27"/>
      <c r="U320" s="27"/>
      <c r="X320" s="27"/>
      <c r="AA320" s="27"/>
    </row>
    <row r="321">
      <c r="C321" s="27"/>
      <c r="F321" s="27"/>
      <c r="I321" s="27"/>
      <c r="L321" s="27"/>
      <c r="O321" s="27"/>
      <c r="R321" s="27"/>
      <c r="U321" s="27"/>
      <c r="X321" s="27"/>
      <c r="AA321" s="27"/>
    </row>
    <row r="322">
      <c r="C322" s="27"/>
      <c r="F322" s="27"/>
      <c r="I322" s="27"/>
      <c r="L322" s="27"/>
      <c r="O322" s="27"/>
      <c r="R322" s="27"/>
      <c r="U322" s="27"/>
      <c r="X322" s="27"/>
      <c r="AA322" s="27"/>
    </row>
    <row r="323">
      <c r="C323" s="27"/>
      <c r="F323" s="27"/>
      <c r="I323" s="27"/>
      <c r="L323" s="27"/>
      <c r="O323" s="27"/>
      <c r="R323" s="27"/>
      <c r="U323" s="27"/>
      <c r="X323" s="27"/>
      <c r="AA323" s="27"/>
    </row>
    <row r="324">
      <c r="C324" s="27"/>
      <c r="F324" s="27"/>
      <c r="I324" s="27"/>
      <c r="L324" s="27"/>
      <c r="O324" s="27"/>
      <c r="R324" s="27"/>
      <c r="U324" s="27"/>
      <c r="X324" s="27"/>
      <c r="AA324" s="27"/>
    </row>
    <row r="325">
      <c r="C325" s="27"/>
      <c r="F325" s="27"/>
      <c r="I325" s="27"/>
      <c r="L325" s="27"/>
      <c r="O325" s="27"/>
      <c r="R325" s="27"/>
      <c r="U325" s="27"/>
      <c r="X325" s="27"/>
      <c r="AA325" s="27"/>
    </row>
    <row r="326">
      <c r="C326" s="27"/>
      <c r="F326" s="27"/>
      <c r="I326" s="27"/>
      <c r="L326" s="27"/>
      <c r="O326" s="27"/>
      <c r="R326" s="27"/>
      <c r="U326" s="27"/>
      <c r="X326" s="27"/>
      <c r="AA326" s="27"/>
    </row>
    <row r="327">
      <c r="C327" s="27"/>
      <c r="F327" s="27"/>
      <c r="I327" s="27"/>
      <c r="L327" s="27"/>
      <c r="O327" s="27"/>
      <c r="R327" s="27"/>
      <c r="U327" s="27"/>
      <c r="X327" s="27"/>
      <c r="AA327" s="27"/>
    </row>
    <row r="328">
      <c r="C328" s="27"/>
      <c r="F328" s="27"/>
      <c r="I328" s="27"/>
      <c r="L328" s="27"/>
      <c r="O328" s="27"/>
      <c r="R328" s="27"/>
      <c r="U328" s="27"/>
      <c r="X328" s="27"/>
      <c r="AA328" s="27"/>
    </row>
    <row r="329">
      <c r="C329" s="27"/>
      <c r="F329" s="27"/>
      <c r="I329" s="27"/>
      <c r="L329" s="27"/>
      <c r="O329" s="27"/>
      <c r="R329" s="27"/>
      <c r="U329" s="27"/>
      <c r="X329" s="27"/>
      <c r="AA329" s="27"/>
    </row>
    <row r="330">
      <c r="C330" s="27"/>
      <c r="F330" s="27"/>
      <c r="I330" s="27"/>
      <c r="L330" s="27"/>
      <c r="O330" s="27"/>
      <c r="R330" s="27"/>
      <c r="U330" s="27"/>
      <c r="X330" s="27"/>
      <c r="AA330" s="27"/>
    </row>
    <row r="331">
      <c r="C331" s="27"/>
      <c r="F331" s="27"/>
      <c r="I331" s="27"/>
      <c r="L331" s="27"/>
      <c r="O331" s="27"/>
      <c r="R331" s="27"/>
      <c r="U331" s="27"/>
      <c r="X331" s="27"/>
      <c r="AA331" s="27"/>
    </row>
    <row r="332">
      <c r="C332" s="27"/>
      <c r="F332" s="27"/>
      <c r="I332" s="27"/>
      <c r="L332" s="27"/>
      <c r="O332" s="27"/>
      <c r="R332" s="27"/>
      <c r="U332" s="27"/>
      <c r="X332" s="27"/>
      <c r="AA332" s="27"/>
    </row>
    <row r="333">
      <c r="C333" s="27"/>
      <c r="F333" s="27"/>
      <c r="I333" s="27"/>
      <c r="L333" s="27"/>
      <c r="O333" s="27"/>
      <c r="R333" s="27"/>
      <c r="U333" s="27"/>
      <c r="X333" s="27"/>
      <c r="AA333" s="27"/>
    </row>
    <row r="334">
      <c r="C334" s="27"/>
      <c r="F334" s="27"/>
      <c r="I334" s="27"/>
      <c r="L334" s="27"/>
      <c r="O334" s="27"/>
      <c r="R334" s="27"/>
      <c r="U334" s="27"/>
      <c r="X334" s="27"/>
      <c r="AA334" s="27"/>
    </row>
    <row r="335">
      <c r="C335" s="27"/>
      <c r="F335" s="27"/>
      <c r="I335" s="27"/>
      <c r="L335" s="27"/>
      <c r="O335" s="27"/>
      <c r="R335" s="27"/>
      <c r="U335" s="27"/>
      <c r="X335" s="27"/>
      <c r="AA335" s="27"/>
    </row>
    <row r="336">
      <c r="C336" s="27"/>
      <c r="F336" s="27"/>
      <c r="I336" s="27"/>
      <c r="L336" s="27"/>
      <c r="O336" s="27"/>
      <c r="R336" s="27"/>
      <c r="U336" s="27"/>
      <c r="X336" s="27"/>
      <c r="AA336" s="27"/>
    </row>
    <row r="337">
      <c r="C337" s="27"/>
      <c r="F337" s="27"/>
      <c r="I337" s="27"/>
      <c r="L337" s="27"/>
      <c r="O337" s="27"/>
      <c r="R337" s="27"/>
      <c r="U337" s="27"/>
      <c r="X337" s="27"/>
      <c r="AA337" s="27"/>
    </row>
    <row r="338">
      <c r="C338" s="27"/>
      <c r="F338" s="27"/>
      <c r="I338" s="27"/>
      <c r="L338" s="27"/>
      <c r="O338" s="27"/>
      <c r="R338" s="27"/>
      <c r="U338" s="27"/>
      <c r="X338" s="27"/>
      <c r="AA338" s="27"/>
    </row>
    <row r="339">
      <c r="C339" s="27"/>
      <c r="F339" s="27"/>
      <c r="I339" s="27"/>
      <c r="L339" s="27"/>
      <c r="O339" s="27"/>
      <c r="R339" s="27"/>
      <c r="U339" s="27"/>
      <c r="X339" s="27"/>
      <c r="AA339" s="27"/>
    </row>
    <row r="340">
      <c r="C340" s="27"/>
      <c r="F340" s="27"/>
      <c r="I340" s="27"/>
      <c r="L340" s="27"/>
      <c r="O340" s="27"/>
      <c r="R340" s="27"/>
      <c r="U340" s="27"/>
      <c r="X340" s="27"/>
      <c r="AA340" s="27"/>
    </row>
    <row r="341">
      <c r="C341" s="27"/>
      <c r="F341" s="27"/>
      <c r="I341" s="27"/>
      <c r="L341" s="27"/>
      <c r="O341" s="27"/>
      <c r="R341" s="27"/>
      <c r="U341" s="27"/>
      <c r="X341" s="27"/>
      <c r="AA341" s="27"/>
    </row>
    <row r="342">
      <c r="C342" s="27"/>
      <c r="F342" s="27"/>
      <c r="I342" s="27"/>
      <c r="L342" s="27"/>
      <c r="O342" s="27"/>
      <c r="R342" s="27"/>
      <c r="U342" s="27"/>
      <c r="X342" s="27"/>
      <c r="AA342" s="27"/>
    </row>
    <row r="343">
      <c r="C343" s="27"/>
      <c r="F343" s="27"/>
      <c r="I343" s="27"/>
      <c r="L343" s="27"/>
      <c r="O343" s="27"/>
      <c r="R343" s="27"/>
      <c r="U343" s="27"/>
      <c r="X343" s="27"/>
      <c r="AA343" s="27"/>
    </row>
    <row r="344">
      <c r="C344" s="27"/>
      <c r="F344" s="27"/>
      <c r="I344" s="27"/>
      <c r="L344" s="27"/>
      <c r="O344" s="27"/>
      <c r="R344" s="27"/>
      <c r="U344" s="27"/>
      <c r="X344" s="27"/>
      <c r="AA344" s="27"/>
    </row>
    <row r="345">
      <c r="C345" s="27"/>
      <c r="F345" s="27"/>
      <c r="I345" s="27"/>
      <c r="L345" s="27"/>
      <c r="O345" s="27"/>
      <c r="R345" s="27"/>
      <c r="U345" s="27"/>
      <c r="X345" s="27"/>
      <c r="AA345" s="27"/>
    </row>
    <row r="346">
      <c r="C346" s="27"/>
      <c r="F346" s="27"/>
      <c r="I346" s="27"/>
      <c r="L346" s="27"/>
      <c r="O346" s="27"/>
      <c r="R346" s="27"/>
      <c r="U346" s="27"/>
      <c r="X346" s="27"/>
      <c r="AA346" s="27"/>
    </row>
    <row r="347">
      <c r="C347" s="27"/>
      <c r="F347" s="27"/>
      <c r="I347" s="27"/>
      <c r="L347" s="27"/>
      <c r="O347" s="27"/>
      <c r="R347" s="27"/>
      <c r="U347" s="27"/>
      <c r="X347" s="27"/>
      <c r="AA347" s="27"/>
    </row>
    <row r="348">
      <c r="C348" s="27"/>
      <c r="F348" s="27"/>
      <c r="I348" s="27"/>
      <c r="L348" s="27"/>
      <c r="O348" s="27"/>
      <c r="R348" s="27"/>
      <c r="U348" s="27"/>
      <c r="X348" s="27"/>
      <c r="AA348" s="27"/>
    </row>
    <row r="349">
      <c r="C349" s="27"/>
      <c r="F349" s="27"/>
      <c r="I349" s="27"/>
      <c r="L349" s="27"/>
      <c r="O349" s="27"/>
      <c r="R349" s="27"/>
      <c r="U349" s="27"/>
      <c r="X349" s="27"/>
      <c r="AA349" s="27"/>
    </row>
    <row r="350">
      <c r="C350" s="27"/>
      <c r="F350" s="27"/>
      <c r="I350" s="27"/>
      <c r="L350" s="27"/>
      <c r="O350" s="27"/>
      <c r="R350" s="27"/>
      <c r="U350" s="27"/>
      <c r="X350" s="27"/>
      <c r="AA350" s="27"/>
    </row>
    <row r="351">
      <c r="C351" s="27"/>
      <c r="F351" s="27"/>
      <c r="I351" s="27"/>
      <c r="L351" s="27"/>
      <c r="O351" s="27"/>
      <c r="R351" s="27"/>
      <c r="U351" s="27"/>
      <c r="X351" s="27"/>
      <c r="AA351" s="27"/>
    </row>
    <row r="352">
      <c r="C352" s="27"/>
      <c r="F352" s="27"/>
      <c r="I352" s="27"/>
      <c r="L352" s="27"/>
      <c r="O352" s="27"/>
      <c r="R352" s="27"/>
      <c r="U352" s="27"/>
      <c r="X352" s="27"/>
      <c r="AA352" s="27"/>
    </row>
    <row r="353">
      <c r="C353" s="27"/>
      <c r="F353" s="27"/>
      <c r="I353" s="27"/>
      <c r="L353" s="27"/>
      <c r="O353" s="27"/>
      <c r="R353" s="27"/>
      <c r="U353" s="27"/>
      <c r="X353" s="27"/>
      <c r="AA353" s="27"/>
    </row>
    <row r="354">
      <c r="C354" s="27"/>
      <c r="F354" s="27"/>
      <c r="I354" s="27"/>
      <c r="L354" s="27"/>
      <c r="O354" s="27"/>
      <c r="R354" s="27"/>
      <c r="U354" s="27"/>
      <c r="X354" s="27"/>
      <c r="AA354" s="27"/>
    </row>
    <row r="355">
      <c r="C355" s="27"/>
      <c r="F355" s="27"/>
      <c r="I355" s="27"/>
      <c r="L355" s="27"/>
      <c r="O355" s="27"/>
      <c r="R355" s="27"/>
      <c r="U355" s="27"/>
      <c r="X355" s="27"/>
      <c r="AA355" s="27"/>
    </row>
    <row r="356">
      <c r="C356" s="27"/>
      <c r="F356" s="27"/>
      <c r="I356" s="27"/>
      <c r="L356" s="27"/>
      <c r="O356" s="27"/>
      <c r="R356" s="27"/>
      <c r="U356" s="27"/>
      <c r="X356" s="27"/>
      <c r="AA356" s="27"/>
    </row>
    <row r="357">
      <c r="C357" s="27"/>
      <c r="F357" s="27"/>
      <c r="I357" s="27"/>
      <c r="L357" s="27"/>
      <c r="O357" s="27"/>
      <c r="R357" s="27"/>
      <c r="U357" s="27"/>
      <c r="X357" s="27"/>
      <c r="AA357" s="27"/>
    </row>
    <row r="358">
      <c r="C358" s="27"/>
      <c r="F358" s="27"/>
      <c r="I358" s="27"/>
      <c r="L358" s="27"/>
      <c r="O358" s="27"/>
      <c r="R358" s="27"/>
      <c r="U358" s="27"/>
      <c r="X358" s="27"/>
      <c r="AA358" s="27"/>
    </row>
    <row r="359">
      <c r="C359" s="27"/>
      <c r="F359" s="27"/>
      <c r="I359" s="27"/>
      <c r="L359" s="27"/>
      <c r="O359" s="27"/>
      <c r="R359" s="27"/>
      <c r="U359" s="27"/>
      <c r="X359" s="27"/>
      <c r="AA359" s="27"/>
    </row>
    <row r="360">
      <c r="C360" s="27"/>
      <c r="F360" s="27"/>
      <c r="I360" s="27"/>
      <c r="L360" s="27"/>
      <c r="O360" s="27"/>
      <c r="R360" s="27"/>
      <c r="U360" s="27"/>
      <c r="X360" s="27"/>
      <c r="AA360" s="27"/>
    </row>
    <row r="361">
      <c r="C361" s="27"/>
      <c r="F361" s="27"/>
      <c r="I361" s="27"/>
      <c r="L361" s="27"/>
      <c r="O361" s="27"/>
      <c r="R361" s="27"/>
      <c r="U361" s="27"/>
      <c r="X361" s="27"/>
      <c r="AA361" s="27"/>
    </row>
    <row r="362">
      <c r="C362" s="27"/>
      <c r="F362" s="27"/>
      <c r="I362" s="27"/>
      <c r="L362" s="27"/>
      <c r="O362" s="27"/>
      <c r="R362" s="27"/>
      <c r="U362" s="27"/>
      <c r="X362" s="27"/>
      <c r="AA362" s="27"/>
    </row>
    <row r="363">
      <c r="C363" s="27"/>
      <c r="F363" s="27"/>
      <c r="I363" s="27"/>
      <c r="L363" s="27"/>
      <c r="O363" s="27"/>
      <c r="R363" s="27"/>
      <c r="U363" s="27"/>
      <c r="X363" s="27"/>
      <c r="AA363" s="27"/>
    </row>
    <row r="364">
      <c r="C364" s="27"/>
      <c r="F364" s="27"/>
      <c r="I364" s="27"/>
      <c r="L364" s="27"/>
      <c r="O364" s="27"/>
      <c r="R364" s="27"/>
      <c r="U364" s="27"/>
      <c r="X364" s="27"/>
      <c r="AA364" s="27"/>
    </row>
    <row r="365">
      <c r="C365" s="27"/>
      <c r="F365" s="27"/>
      <c r="I365" s="27"/>
      <c r="L365" s="27"/>
      <c r="O365" s="27"/>
      <c r="R365" s="27"/>
      <c r="U365" s="27"/>
      <c r="X365" s="27"/>
      <c r="AA365" s="27"/>
    </row>
    <row r="366">
      <c r="C366" s="27"/>
      <c r="F366" s="27"/>
      <c r="I366" s="27"/>
      <c r="L366" s="27"/>
      <c r="O366" s="27"/>
      <c r="R366" s="27"/>
      <c r="U366" s="27"/>
      <c r="X366" s="27"/>
      <c r="AA366" s="27"/>
    </row>
    <row r="367">
      <c r="C367" s="27"/>
      <c r="F367" s="27"/>
      <c r="I367" s="27"/>
      <c r="L367" s="27"/>
      <c r="O367" s="27"/>
      <c r="R367" s="27"/>
      <c r="U367" s="27"/>
      <c r="X367" s="27"/>
      <c r="AA367" s="27"/>
    </row>
    <row r="368">
      <c r="C368" s="27"/>
      <c r="F368" s="27"/>
      <c r="I368" s="27"/>
      <c r="L368" s="27"/>
      <c r="O368" s="27"/>
      <c r="R368" s="27"/>
      <c r="U368" s="27"/>
      <c r="X368" s="27"/>
      <c r="AA368" s="27"/>
    </row>
    <row r="369">
      <c r="C369" s="27"/>
      <c r="F369" s="27"/>
      <c r="I369" s="27"/>
      <c r="L369" s="27"/>
      <c r="O369" s="27"/>
      <c r="R369" s="27"/>
      <c r="U369" s="27"/>
      <c r="X369" s="27"/>
      <c r="AA369" s="27"/>
    </row>
    <row r="370">
      <c r="C370" s="27"/>
      <c r="F370" s="27"/>
      <c r="I370" s="27"/>
      <c r="L370" s="27"/>
      <c r="O370" s="27"/>
      <c r="R370" s="27"/>
      <c r="U370" s="27"/>
      <c r="X370" s="27"/>
      <c r="AA370" s="27"/>
    </row>
    <row r="371">
      <c r="C371" s="27"/>
      <c r="F371" s="27"/>
      <c r="I371" s="27"/>
      <c r="L371" s="27"/>
      <c r="O371" s="27"/>
      <c r="R371" s="27"/>
      <c r="U371" s="27"/>
      <c r="X371" s="27"/>
      <c r="AA371" s="27"/>
    </row>
    <row r="372">
      <c r="C372" s="27"/>
      <c r="F372" s="27"/>
      <c r="I372" s="27"/>
      <c r="L372" s="27"/>
      <c r="O372" s="27"/>
      <c r="R372" s="27"/>
      <c r="U372" s="27"/>
      <c r="X372" s="27"/>
      <c r="AA372" s="27"/>
    </row>
    <row r="373">
      <c r="C373" s="27"/>
      <c r="F373" s="27"/>
      <c r="I373" s="27"/>
      <c r="L373" s="27"/>
      <c r="O373" s="27"/>
      <c r="R373" s="27"/>
      <c r="U373" s="27"/>
      <c r="X373" s="27"/>
      <c r="AA373" s="27"/>
    </row>
    <row r="374">
      <c r="C374" s="27"/>
      <c r="F374" s="27"/>
      <c r="I374" s="27"/>
      <c r="L374" s="27"/>
      <c r="O374" s="27"/>
      <c r="R374" s="27"/>
      <c r="U374" s="27"/>
      <c r="X374" s="27"/>
      <c r="AA374" s="27"/>
    </row>
    <row r="375">
      <c r="C375" s="27"/>
      <c r="F375" s="27"/>
      <c r="I375" s="27"/>
      <c r="L375" s="27"/>
      <c r="O375" s="27"/>
      <c r="R375" s="27"/>
      <c r="U375" s="27"/>
      <c r="X375" s="27"/>
      <c r="AA375" s="27"/>
    </row>
    <row r="376">
      <c r="C376" s="27"/>
      <c r="F376" s="27"/>
      <c r="I376" s="27"/>
      <c r="L376" s="27"/>
      <c r="O376" s="27"/>
      <c r="R376" s="27"/>
      <c r="U376" s="27"/>
      <c r="X376" s="27"/>
      <c r="AA376" s="27"/>
    </row>
    <row r="377">
      <c r="C377" s="27"/>
      <c r="F377" s="27"/>
      <c r="I377" s="27"/>
      <c r="L377" s="27"/>
      <c r="O377" s="27"/>
      <c r="R377" s="27"/>
      <c r="U377" s="27"/>
      <c r="X377" s="27"/>
      <c r="AA377" s="27"/>
    </row>
    <row r="378">
      <c r="C378" s="27"/>
      <c r="F378" s="27"/>
      <c r="I378" s="27"/>
      <c r="L378" s="27"/>
      <c r="O378" s="27"/>
      <c r="R378" s="27"/>
      <c r="U378" s="27"/>
      <c r="X378" s="27"/>
      <c r="AA378" s="27"/>
    </row>
    <row r="379">
      <c r="C379" s="27"/>
      <c r="F379" s="27"/>
      <c r="I379" s="27"/>
      <c r="L379" s="27"/>
      <c r="O379" s="27"/>
      <c r="R379" s="27"/>
      <c r="U379" s="27"/>
      <c r="X379" s="27"/>
      <c r="AA379" s="27"/>
    </row>
    <row r="380">
      <c r="C380" s="27"/>
      <c r="F380" s="27"/>
      <c r="I380" s="27"/>
      <c r="L380" s="27"/>
      <c r="O380" s="27"/>
      <c r="R380" s="27"/>
      <c r="U380" s="27"/>
      <c r="X380" s="27"/>
      <c r="AA380" s="27"/>
    </row>
    <row r="381">
      <c r="C381" s="27"/>
      <c r="F381" s="27"/>
      <c r="I381" s="27"/>
      <c r="L381" s="27"/>
      <c r="O381" s="27"/>
      <c r="R381" s="27"/>
      <c r="U381" s="27"/>
      <c r="X381" s="27"/>
      <c r="AA381" s="27"/>
    </row>
    <row r="382">
      <c r="C382" s="27"/>
      <c r="F382" s="27"/>
      <c r="I382" s="27"/>
      <c r="L382" s="27"/>
      <c r="O382" s="27"/>
      <c r="R382" s="27"/>
      <c r="U382" s="27"/>
      <c r="X382" s="27"/>
      <c r="AA382" s="27"/>
    </row>
    <row r="383">
      <c r="C383" s="27"/>
      <c r="F383" s="27"/>
      <c r="I383" s="27"/>
      <c r="L383" s="27"/>
      <c r="O383" s="27"/>
      <c r="R383" s="27"/>
      <c r="U383" s="27"/>
      <c r="X383" s="27"/>
      <c r="AA383" s="27"/>
    </row>
    <row r="384">
      <c r="C384" s="27"/>
      <c r="F384" s="27"/>
      <c r="I384" s="27"/>
      <c r="L384" s="27"/>
      <c r="O384" s="27"/>
      <c r="R384" s="27"/>
      <c r="U384" s="27"/>
      <c r="X384" s="27"/>
      <c r="AA384" s="27"/>
    </row>
    <row r="385">
      <c r="C385" s="27"/>
      <c r="F385" s="27"/>
      <c r="I385" s="27"/>
      <c r="L385" s="27"/>
      <c r="O385" s="27"/>
      <c r="R385" s="27"/>
      <c r="U385" s="27"/>
      <c r="X385" s="27"/>
      <c r="AA385" s="27"/>
    </row>
    <row r="386">
      <c r="C386" s="27"/>
      <c r="F386" s="27"/>
      <c r="I386" s="27"/>
      <c r="L386" s="27"/>
      <c r="O386" s="27"/>
      <c r="R386" s="27"/>
      <c r="U386" s="27"/>
      <c r="X386" s="27"/>
      <c r="AA386" s="27"/>
    </row>
    <row r="387">
      <c r="C387" s="27"/>
      <c r="F387" s="27"/>
      <c r="I387" s="27"/>
      <c r="L387" s="27"/>
      <c r="O387" s="27"/>
      <c r="R387" s="27"/>
      <c r="U387" s="27"/>
      <c r="X387" s="27"/>
      <c r="AA387" s="27"/>
    </row>
    <row r="388">
      <c r="C388" s="27"/>
      <c r="F388" s="27"/>
      <c r="I388" s="27"/>
      <c r="L388" s="27"/>
      <c r="O388" s="27"/>
      <c r="R388" s="27"/>
      <c r="U388" s="27"/>
      <c r="X388" s="27"/>
      <c r="AA388" s="27"/>
    </row>
    <row r="389">
      <c r="C389" s="27"/>
      <c r="F389" s="27"/>
      <c r="I389" s="27"/>
      <c r="L389" s="27"/>
      <c r="O389" s="27"/>
      <c r="R389" s="27"/>
      <c r="U389" s="27"/>
      <c r="X389" s="27"/>
      <c r="AA389" s="27"/>
    </row>
    <row r="390">
      <c r="C390" s="27"/>
      <c r="F390" s="27"/>
      <c r="I390" s="27"/>
      <c r="L390" s="27"/>
      <c r="O390" s="27"/>
      <c r="R390" s="27"/>
      <c r="U390" s="27"/>
      <c r="X390" s="27"/>
      <c r="AA390" s="27"/>
    </row>
    <row r="391">
      <c r="C391" s="27"/>
      <c r="F391" s="27"/>
      <c r="I391" s="27"/>
      <c r="L391" s="27"/>
      <c r="O391" s="27"/>
      <c r="R391" s="27"/>
      <c r="U391" s="27"/>
      <c r="X391" s="27"/>
      <c r="AA391" s="27"/>
    </row>
    <row r="392">
      <c r="C392" s="27"/>
      <c r="F392" s="27"/>
      <c r="I392" s="27"/>
      <c r="L392" s="27"/>
      <c r="O392" s="27"/>
      <c r="R392" s="27"/>
      <c r="U392" s="27"/>
      <c r="X392" s="27"/>
      <c r="AA392" s="27"/>
    </row>
    <row r="393">
      <c r="C393" s="27"/>
      <c r="F393" s="27"/>
      <c r="I393" s="27"/>
      <c r="L393" s="27"/>
      <c r="O393" s="27"/>
      <c r="R393" s="27"/>
      <c r="U393" s="27"/>
      <c r="X393" s="27"/>
      <c r="AA393" s="27"/>
    </row>
    <row r="394">
      <c r="C394" s="27"/>
      <c r="F394" s="27"/>
      <c r="I394" s="27"/>
      <c r="L394" s="27"/>
      <c r="O394" s="27"/>
      <c r="R394" s="27"/>
      <c r="U394" s="27"/>
      <c r="X394" s="27"/>
      <c r="AA394" s="27"/>
    </row>
    <row r="395">
      <c r="C395" s="27"/>
      <c r="F395" s="27"/>
      <c r="I395" s="27"/>
      <c r="L395" s="27"/>
      <c r="O395" s="27"/>
      <c r="R395" s="27"/>
      <c r="U395" s="27"/>
      <c r="X395" s="27"/>
      <c r="AA395" s="27"/>
    </row>
    <row r="396">
      <c r="C396" s="27"/>
      <c r="F396" s="27"/>
      <c r="I396" s="27"/>
      <c r="L396" s="27"/>
      <c r="O396" s="27"/>
      <c r="R396" s="27"/>
      <c r="U396" s="27"/>
      <c r="X396" s="27"/>
      <c r="AA396" s="27"/>
    </row>
    <row r="397">
      <c r="C397" s="27"/>
      <c r="F397" s="27"/>
      <c r="I397" s="27"/>
      <c r="L397" s="27"/>
      <c r="O397" s="27"/>
      <c r="R397" s="27"/>
      <c r="U397" s="27"/>
      <c r="X397" s="27"/>
      <c r="AA397" s="27"/>
    </row>
    <row r="398">
      <c r="C398" s="27"/>
      <c r="F398" s="27"/>
      <c r="I398" s="27"/>
      <c r="L398" s="27"/>
      <c r="O398" s="27"/>
      <c r="R398" s="27"/>
      <c r="U398" s="27"/>
      <c r="X398" s="27"/>
      <c r="AA398" s="27"/>
    </row>
    <row r="399">
      <c r="C399" s="27"/>
      <c r="F399" s="27"/>
      <c r="I399" s="27"/>
      <c r="L399" s="27"/>
      <c r="O399" s="27"/>
      <c r="R399" s="27"/>
      <c r="U399" s="27"/>
      <c r="X399" s="27"/>
      <c r="AA399" s="27"/>
    </row>
    <row r="400">
      <c r="C400" s="27"/>
      <c r="F400" s="27"/>
      <c r="I400" s="27"/>
      <c r="L400" s="27"/>
      <c r="O400" s="27"/>
      <c r="R400" s="27"/>
      <c r="U400" s="27"/>
      <c r="X400" s="27"/>
      <c r="AA400" s="27"/>
    </row>
    <row r="401">
      <c r="C401" s="27"/>
      <c r="F401" s="27"/>
      <c r="I401" s="27"/>
      <c r="L401" s="27"/>
      <c r="O401" s="27"/>
      <c r="R401" s="27"/>
      <c r="U401" s="27"/>
      <c r="X401" s="27"/>
      <c r="AA401" s="27"/>
    </row>
    <row r="402">
      <c r="C402" s="27"/>
      <c r="F402" s="27"/>
      <c r="I402" s="27"/>
      <c r="L402" s="27"/>
      <c r="O402" s="27"/>
      <c r="R402" s="27"/>
      <c r="U402" s="27"/>
      <c r="X402" s="27"/>
      <c r="AA402" s="27"/>
    </row>
    <row r="403">
      <c r="C403" s="27"/>
      <c r="F403" s="27"/>
      <c r="I403" s="27"/>
      <c r="L403" s="27"/>
      <c r="O403" s="27"/>
      <c r="R403" s="27"/>
      <c r="U403" s="27"/>
      <c r="X403" s="27"/>
      <c r="AA403" s="27"/>
    </row>
    <row r="404">
      <c r="C404" s="27"/>
      <c r="F404" s="27"/>
      <c r="I404" s="27"/>
      <c r="L404" s="27"/>
      <c r="O404" s="27"/>
      <c r="R404" s="27"/>
      <c r="U404" s="27"/>
      <c r="X404" s="27"/>
      <c r="AA404" s="27"/>
    </row>
    <row r="405">
      <c r="C405" s="27"/>
      <c r="F405" s="27"/>
      <c r="I405" s="27"/>
      <c r="L405" s="27"/>
      <c r="O405" s="27"/>
      <c r="R405" s="27"/>
      <c r="U405" s="27"/>
      <c r="X405" s="27"/>
      <c r="AA405" s="27"/>
    </row>
    <row r="406">
      <c r="C406" s="27"/>
      <c r="F406" s="27"/>
      <c r="I406" s="27"/>
      <c r="L406" s="27"/>
      <c r="O406" s="27"/>
      <c r="R406" s="27"/>
      <c r="U406" s="27"/>
      <c r="X406" s="27"/>
      <c r="AA406" s="27"/>
    </row>
    <row r="407">
      <c r="C407" s="27"/>
      <c r="F407" s="27"/>
      <c r="I407" s="27"/>
      <c r="L407" s="27"/>
      <c r="O407" s="27"/>
      <c r="R407" s="27"/>
      <c r="U407" s="27"/>
      <c r="X407" s="27"/>
      <c r="AA407" s="27"/>
    </row>
    <row r="408">
      <c r="C408" s="27"/>
      <c r="F408" s="27"/>
      <c r="I408" s="27"/>
      <c r="L408" s="27"/>
      <c r="O408" s="27"/>
      <c r="R408" s="27"/>
      <c r="U408" s="27"/>
      <c r="X408" s="27"/>
      <c r="AA408" s="27"/>
    </row>
    <row r="409">
      <c r="C409" s="27"/>
      <c r="F409" s="27"/>
      <c r="I409" s="27"/>
      <c r="L409" s="27"/>
      <c r="O409" s="27"/>
      <c r="R409" s="27"/>
      <c r="U409" s="27"/>
      <c r="X409" s="27"/>
      <c r="AA409" s="27"/>
    </row>
    <row r="410">
      <c r="C410" s="27"/>
      <c r="F410" s="27"/>
      <c r="I410" s="27"/>
      <c r="L410" s="27"/>
      <c r="O410" s="27"/>
      <c r="R410" s="27"/>
      <c r="U410" s="27"/>
      <c r="X410" s="27"/>
      <c r="AA410" s="27"/>
    </row>
    <row r="411">
      <c r="C411" s="27"/>
      <c r="F411" s="27"/>
      <c r="I411" s="27"/>
      <c r="L411" s="27"/>
      <c r="O411" s="27"/>
      <c r="R411" s="27"/>
      <c r="U411" s="27"/>
      <c r="X411" s="27"/>
      <c r="AA411" s="27"/>
    </row>
    <row r="412">
      <c r="C412" s="27"/>
      <c r="F412" s="27"/>
      <c r="I412" s="27"/>
      <c r="L412" s="27"/>
      <c r="O412" s="27"/>
      <c r="R412" s="27"/>
      <c r="U412" s="27"/>
      <c r="X412" s="27"/>
      <c r="AA412" s="27"/>
    </row>
    <row r="413">
      <c r="C413" s="27"/>
      <c r="F413" s="27"/>
      <c r="I413" s="27"/>
      <c r="L413" s="27"/>
      <c r="O413" s="27"/>
      <c r="R413" s="27"/>
      <c r="U413" s="27"/>
      <c r="X413" s="27"/>
      <c r="AA413" s="27"/>
    </row>
    <row r="414">
      <c r="C414" s="27"/>
      <c r="F414" s="27"/>
      <c r="I414" s="27"/>
      <c r="L414" s="27"/>
      <c r="O414" s="27"/>
      <c r="R414" s="27"/>
      <c r="U414" s="27"/>
      <c r="X414" s="27"/>
      <c r="AA414" s="27"/>
    </row>
    <row r="415">
      <c r="C415" s="27"/>
      <c r="F415" s="27"/>
      <c r="I415" s="27"/>
      <c r="L415" s="27"/>
      <c r="O415" s="27"/>
      <c r="R415" s="27"/>
      <c r="U415" s="27"/>
      <c r="X415" s="27"/>
      <c r="AA415" s="27"/>
    </row>
    <row r="416">
      <c r="C416" s="27"/>
      <c r="F416" s="27"/>
      <c r="I416" s="27"/>
      <c r="L416" s="27"/>
      <c r="O416" s="27"/>
      <c r="R416" s="27"/>
      <c r="U416" s="27"/>
      <c r="X416" s="27"/>
      <c r="AA416" s="27"/>
    </row>
    <row r="417">
      <c r="C417" s="27"/>
      <c r="F417" s="27"/>
      <c r="I417" s="27"/>
      <c r="L417" s="27"/>
      <c r="O417" s="27"/>
      <c r="R417" s="27"/>
      <c r="U417" s="27"/>
      <c r="X417" s="27"/>
      <c r="AA417" s="27"/>
    </row>
    <row r="418">
      <c r="C418" s="27"/>
      <c r="F418" s="27"/>
      <c r="I418" s="27"/>
      <c r="L418" s="27"/>
      <c r="O418" s="27"/>
      <c r="R418" s="27"/>
      <c r="U418" s="27"/>
      <c r="X418" s="27"/>
      <c r="AA418" s="27"/>
    </row>
    <row r="419">
      <c r="C419" s="27"/>
      <c r="F419" s="27"/>
      <c r="I419" s="27"/>
      <c r="L419" s="27"/>
      <c r="O419" s="27"/>
      <c r="R419" s="27"/>
      <c r="U419" s="27"/>
      <c r="X419" s="27"/>
      <c r="AA419" s="27"/>
    </row>
    <row r="420">
      <c r="C420" s="27"/>
      <c r="F420" s="27"/>
      <c r="I420" s="27"/>
      <c r="L420" s="27"/>
      <c r="O420" s="27"/>
      <c r="R420" s="27"/>
      <c r="U420" s="27"/>
      <c r="X420" s="27"/>
      <c r="AA420" s="27"/>
    </row>
    <row r="421">
      <c r="C421" s="27"/>
      <c r="F421" s="27"/>
      <c r="I421" s="27"/>
      <c r="L421" s="27"/>
      <c r="O421" s="27"/>
      <c r="R421" s="27"/>
      <c r="U421" s="27"/>
      <c r="X421" s="27"/>
      <c r="AA421" s="27"/>
    </row>
    <row r="422">
      <c r="C422" s="27"/>
      <c r="F422" s="27"/>
      <c r="I422" s="27"/>
      <c r="L422" s="27"/>
      <c r="O422" s="27"/>
      <c r="R422" s="27"/>
      <c r="U422" s="27"/>
      <c r="X422" s="27"/>
      <c r="AA422" s="27"/>
    </row>
    <row r="423">
      <c r="C423" s="27"/>
      <c r="F423" s="27"/>
      <c r="I423" s="27"/>
      <c r="L423" s="27"/>
      <c r="O423" s="27"/>
      <c r="R423" s="27"/>
      <c r="U423" s="27"/>
      <c r="X423" s="27"/>
      <c r="AA423" s="27"/>
    </row>
    <row r="424">
      <c r="C424" s="27"/>
      <c r="F424" s="27"/>
      <c r="I424" s="27"/>
      <c r="L424" s="27"/>
      <c r="O424" s="27"/>
      <c r="R424" s="27"/>
      <c r="U424" s="27"/>
      <c r="X424" s="27"/>
      <c r="AA424" s="27"/>
    </row>
    <row r="425">
      <c r="C425" s="27"/>
      <c r="F425" s="27"/>
      <c r="I425" s="27"/>
      <c r="L425" s="27"/>
      <c r="O425" s="27"/>
      <c r="R425" s="27"/>
      <c r="U425" s="27"/>
      <c r="X425" s="27"/>
      <c r="AA425" s="27"/>
    </row>
    <row r="426">
      <c r="C426" s="27"/>
      <c r="F426" s="27"/>
      <c r="I426" s="27"/>
      <c r="L426" s="27"/>
      <c r="O426" s="27"/>
      <c r="R426" s="27"/>
      <c r="U426" s="27"/>
      <c r="X426" s="27"/>
      <c r="AA426" s="27"/>
    </row>
    <row r="427">
      <c r="C427" s="27"/>
      <c r="F427" s="27"/>
      <c r="I427" s="27"/>
      <c r="L427" s="27"/>
      <c r="O427" s="27"/>
      <c r="R427" s="27"/>
      <c r="U427" s="27"/>
      <c r="X427" s="27"/>
      <c r="AA427" s="27"/>
    </row>
    <row r="428">
      <c r="C428" s="27"/>
      <c r="F428" s="27"/>
      <c r="I428" s="27"/>
      <c r="L428" s="27"/>
      <c r="O428" s="27"/>
      <c r="R428" s="27"/>
      <c r="U428" s="27"/>
      <c r="X428" s="27"/>
      <c r="AA428" s="27"/>
    </row>
    <row r="429">
      <c r="C429" s="27"/>
      <c r="F429" s="27"/>
      <c r="I429" s="27"/>
      <c r="L429" s="27"/>
      <c r="O429" s="27"/>
      <c r="R429" s="27"/>
      <c r="U429" s="27"/>
      <c r="X429" s="27"/>
      <c r="AA429" s="27"/>
    </row>
    <row r="430">
      <c r="C430" s="27"/>
      <c r="F430" s="27"/>
      <c r="I430" s="27"/>
      <c r="L430" s="27"/>
      <c r="O430" s="27"/>
      <c r="R430" s="27"/>
      <c r="U430" s="27"/>
      <c r="X430" s="27"/>
      <c r="AA430" s="27"/>
    </row>
    <row r="431">
      <c r="C431" s="27"/>
      <c r="F431" s="27"/>
      <c r="I431" s="27"/>
      <c r="L431" s="27"/>
      <c r="O431" s="27"/>
      <c r="R431" s="27"/>
      <c r="U431" s="27"/>
      <c r="X431" s="27"/>
      <c r="AA431" s="27"/>
    </row>
    <row r="432">
      <c r="C432" s="27"/>
      <c r="F432" s="27"/>
      <c r="I432" s="27"/>
      <c r="L432" s="27"/>
      <c r="O432" s="27"/>
      <c r="R432" s="27"/>
      <c r="U432" s="27"/>
      <c r="X432" s="27"/>
      <c r="AA432" s="27"/>
    </row>
    <row r="433">
      <c r="C433" s="27"/>
      <c r="F433" s="27"/>
      <c r="I433" s="27"/>
      <c r="L433" s="27"/>
      <c r="O433" s="27"/>
      <c r="R433" s="27"/>
      <c r="U433" s="27"/>
      <c r="X433" s="27"/>
      <c r="AA433" s="27"/>
    </row>
    <row r="434">
      <c r="C434" s="27"/>
      <c r="F434" s="27"/>
      <c r="I434" s="27"/>
      <c r="L434" s="27"/>
      <c r="O434" s="27"/>
      <c r="R434" s="27"/>
      <c r="U434" s="27"/>
      <c r="X434" s="27"/>
      <c r="AA434" s="27"/>
    </row>
    <row r="435">
      <c r="C435" s="27"/>
      <c r="F435" s="27"/>
      <c r="I435" s="27"/>
      <c r="L435" s="27"/>
      <c r="O435" s="27"/>
      <c r="R435" s="27"/>
      <c r="U435" s="27"/>
      <c r="X435" s="27"/>
      <c r="AA435" s="27"/>
    </row>
    <row r="436">
      <c r="C436" s="27"/>
      <c r="F436" s="27"/>
      <c r="I436" s="27"/>
      <c r="L436" s="27"/>
      <c r="O436" s="27"/>
      <c r="R436" s="27"/>
      <c r="U436" s="27"/>
      <c r="X436" s="27"/>
      <c r="AA436" s="27"/>
    </row>
    <row r="437">
      <c r="C437" s="27"/>
      <c r="F437" s="27"/>
      <c r="I437" s="27"/>
      <c r="L437" s="27"/>
      <c r="O437" s="27"/>
      <c r="R437" s="27"/>
      <c r="U437" s="27"/>
      <c r="X437" s="27"/>
      <c r="AA437" s="27"/>
    </row>
    <row r="438">
      <c r="C438" s="27"/>
      <c r="F438" s="27"/>
      <c r="I438" s="27"/>
      <c r="L438" s="27"/>
      <c r="O438" s="27"/>
      <c r="R438" s="27"/>
      <c r="U438" s="27"/>
      <c r="X438" s="27"/>
      <c r="AA438" s="27"/>
    </row>
    <row r="439">
      <c r="C439" s="27"/>
      <c r="F439" s="27"/>
      <c r="I439" s="27"/>
      <c r="L439" s="27"/>
      <c r="O439" s="27"/>
      <c r="R439" s="27"/>
      <c r="U439" s="27"/>
      <c r="X439" s="27"/>
      <c r="AA439" s="27"/>
    </row>
    <row r="440">
      <c r="C440" s="27"/>
      <c r="F440" s="27"/>
      <c r="I440" s="27"/>
      <c r="L440" s="27"/>
      <c r="O440" s="27"/>
      <c r="R440" s="27"/>
      <c r="U440" s="27"/>
      <c r="X440" s="27"/>
      <c r="AA440" s="27"/>
    </row>
    <row r="441">
      <c r="C441" s="27"/>
      <c r="F441" s="27"/>
      <c r="I441" s="27"/>
      <c r="L441" s="27"/>
      <c r="O441" s="27"/>
      <c r="R441" s="27"/>
      <c r="U441" s="27"/>
      <c r="X441" s="27"/>
      <c r="AA441" s="27"/>
    </row>
    <row r="442">
      <c r="C442" s="27"/>
      <c r="F442" s="27"/>
      <c r="I442" s="27"/>
      <c r="L442" s="27"/>
      <c r="O442" s="27"/>
      <c r="R442" s="27"/>
      <c r="U442" s="27"/>
      <c r="X442" s="27"/>
      <c r="AA442" s="27"/>
    </row>
    <row r="443">
      <c r="C443" s="27"/>
      <c r="F443" s="27"/>
      <c r="I443" s="27"/>
      <c r="L443" s="27"/>
      <c r="O443" s="27"/>
      <c r="R443" s="27"/>
      <c r="U443" s="27"/>
      <c r="X443" s="27"/>
      <c r="AA443" s="27"/>
    </row>
    <row r="444">
      <c r="C444" s="27"/>
      <c r="F444" s="27"/>
      <c r="I444" s="27"/>
      <c r="L444" s="27"/>
      <c r="O444" s="27"/>
      <c r="R444" s="27"/>
      <c r="U444" s="27"/>
      <c r="X444" s="27"/>
      <c r="AA444" s="27"/>
    </row>
    <row r="445">
      <c r="C445" s="27"/>
      <c r="F445" s="27"/>
      <c r="I445" s="27"/>
      <c r="L445" s="27"/>
      <c r="O445" s="27"/>
      <c r="R445" s="27"/>
      <c r="U445" s="27"/>
      <c r="X445" s="27"/>
      <c r="AA445" s="27"/>
    </row>
    <row r="446">
      <c r="C446" s="27"/>
      <c r="F446" s="27"/>
      <c r="I446" s="27"/>
      <c r="L446" s="27"/>
      <c r="O446" s="27"/>
      <c r="R446" s="27"/>
      <c r="U446" s="27"/>
      <c r="X446" s="27"/>
      <c r="AA446" s="27"/>
    </row>
    <row r="447">
      <c r="C447" s="27"/>
      <c r="F447" s="27"/>
      <c r="I447" s="27"/>
      <c r="L447" s="27"/>
      <c r="O447" s="27"/>
      <c r="R447" s="27"/>
      <c r="U447" s="27"/>
      <c r="X447" s="27"/>
      <c r="AA447" s="27"/>
    </row>
    <row r="448">
      <c r="C448" s="27"/>
      <c r="F448" s="27"/>
      <c r="I448" s="27"/>
      <c r="L448" s="27"/>
      <c r="O448" s="27"/>
      <c r="R448" s="27"/>
      <c r="U448" s="27"/>
      <c r="X448" s="27"/>
      <c r="AA448" s="27"/>
    </row>
    <row r="449">
      <c r="C449" s="27"/>
      <c r="F449" s="27"/>
      <c r="I449" s="27"/>
      <c r="L449" s="27"/>
      <c r="O449" s="27"/>
      <c r="R449" s="27"/>
      <c r="U449" s="27"/>
      <c r="X449" s="27"/>
      <c r="AA449" s="27"/>
    </row>
    <row r="450">
      <c r="C450" s="27"/>
      <c r="F450" s="27"/>
      <c r="I450" s="27"/>
      <c r="L450" s="27"/>
      <c r="O450" s="27"/>
      <c r="R450" s="27"/>
      <c r="U450" s="27"/>
      <c r="X450" s="27"/>
      <c r="AA450" s="27"/>
    </row>
    <row r="451">
      <c r="C451" s="27"/>
      <c r="F451" s="27"/>
      <c r="I451" s="27"/>
      <c r="L451" s="27"/>
      <c r="O451" s="27"/>
      <c r="R451" s="27"/>
      <c r="U451" s="27"/>
      <c r="X451" s="27"/>
      <c r="AA451" s="27"/>
    </row>
    <row r="452">
      <c r="C452" s="27"/>
      <c r="F452" s="27"/>
      <c r="I452" s="27"/>
      <c r="L452" s="27"/>
      <c r="O452" s="27"/>
      <c r="R452" s="27"/>
      <c r="U452" s="27"/>
      <c r="X452" s="27"/>
      <c r="AA452" s="27"/>
    </row>
    <row r="453">
      <c r="C453" s="27"/>
      <c r="F453" s="27"/>
      <c r="I453" s="27"/>
      <c r="L453" s="27"/>
      <c r="O453" s="27"/>
      <c r="R453" s="27"/>
      <c r="U453" s="27"/>
      <c r="X453" s="27"/>
      <c r="AA453" s="27"/>
    </row>
    <row r="454">
      <c r="C454" s="27"/>
      <c r="F454" s="27"/>
      <c r="I454" s="27"/>
      <c r="L454" s="27"/>
      <c r="O454" s="27"/>
      <c r="R454" s="27"/>
      <c r="U454" s="27"/>
      <c r="X454" s="27"/>
      <c r="AA454" s="27"/>
    </row>
    <row r="455">
      <c r="C455" s="27"/>
      <c r="F455" s="27"/>
      <c r="I455" s="27"/>
      <c r="L455" s="27"/>
      <c r="O455" s="27"/>
      <c r="R455" s="27"/>
      <c r="U455" s="27"/>
      <c r="X455" s="27"/>
      <c r="AA455" s="27"/>
    </row>
    <row r="456">
      <c r="C456" s="27"/>
      <c r="F456" s="27"/>
      <c r="I456" s="27"/>
      <c r="L456" s="27"/>
      <c r="O456" s="27"/>
      <c r="R456" s="27"/>
      <c r="U456" s="27"/>
      <c r="X456" s="27"/>
      <c r="AA456" s="27"/>
    </row>
    <row r="457">
      <c r="C457" s="27"/>
      <c r="F457" s="27"/>
      <c r="I457" s="27"/>
      <c r="L457" s="27"/>
      <c r="O457" s="27"/>
      <c r="R457" s="27"/>
      <c r="U457" s="27"/>
      <c r="X457" s="27"/>
      <c r="AA457" s="27"/>
    </row>
    <row r="458">
      <c r="C458" s="27"/>
      <c r="F458" s="27"/>
      <c r="I458" s="27"/>
      <c r="L458" s="27"/>
      <c r="O458" s="27"/>
      <c r="R458" s="27"/>
      <c r="U458" s="27"/>
      <c r="X458" s="27"/>
      <c r="AA458" s="27"/>
    </row>
    <row r="459">
      <c r="C459" s="27"/>
      <c r="F459" s="27"/>
      <c r="I459" s="27"/>
      <c r="L459" s="27"/>
      <c r="O459" s="27"/>
      <c r="R459" s="27"/>
      <c r="U459" s="27"/>
      <c r="X459" s="27"/>
      <c r="AA459" s="27"/>
    </row>
    <row r="460">
      <c r="C460" s="27"/>
      <c r="F460" s="27"/>
      <c r="I460" s="27"/>
      <c r="L460" s="27"/>
      <c r="O460" s="27"/>
      <c r="R460" s="27"/>
      <c r="U460" s="27"/>
      <c r="X460" s="27"/>
      <c r="AA460" s="27"/>
    </row>
    <row r="461">
      <c r="C461" s="27"/>
      <c r="F461" s="27"/>
      <c r="I461" s="27"/>
      <c r="L461" s="27"/>
      <c r="O461" s="27"/>
      <c r="R461" s="27"/>
      <c r="U461" s="27"/>
      <c r="X461" s="27"/>
      <c r="AA461" s="27"/>
    </row>
    <row r="462">
      <c r="C462" s="27"/>
      <c r="F462" s="27"/>
      <c r="I462" s="27"/>
      <c r="L462" s="27"/>
      <c r="O462" s="27"/>
      <c r="R462" s="27"/>
      <c r="U462" s="27"/>
      <c r="X462" s="27"/>
      <c r="AA462" s="27"/>
    </row>
    <row r="463">
      <c r="C463" s="27"/>
      <c r="F463" s="27"/>
      <c r="I463" s="27"/>
      <c r="L463" s="27"/>
      <c r="O463" s="27"/>
      <c r="R463" s="27"/>
      <c r="U463" s="27"/>
      <c r="X463" s="27"/>
      <c r="AA463" s="27"/>
    </row>
    <row r="464">
      <c r="C464" s="27"/>
      <c r="F464" s="27"/>
      <c r="I464" s="27"/>
      <c r="L464" s="27"/>
      <c r="O464" s="27"/>
      <c r="R464" s="27"/>
      <c r="U464" s="27"/>
      <c r="X464" s="27"/>
      <c r="AA464" s="27"/>
    </row>
    <row r="465">
      <c r="C465" s="27"/>
      <c r="F465" s="27"/>
      <c r="I465" s="27"/>
      <c r="L465" s="27"/>
      <c r="O465" s="27"/>
      <c r="R465" s="27"/>
      <c r="U465" s="27"/>
      <c r="X465" s="27"/>
      <c r="AA465" s="27"/>
    </row>
    <row r="466">
      <c r="C466" s="27"/>
      <c r="F466" s="27"/>
      <c r="I466" s="27"/>
      <c r="L466" s="27"/>
      <c r="O466" s="27"/>
      <c r="R466" s="27"/>
      <c r="U466" s="27"/>
      <c r="X466" s="27"/>
      <c r="AA466" s="27"/>
    </row>
    <row r="467">
      <c r="C467" s="27"/>
      <c r="F467" s="27"/>
      <c r="I467" s="27"/>
      <c r="L467" s="27"/>
      <c r="O467" s="27"/>
      <c r="R467" s="27"/>
      <c r="U467" s="27"/>
      <c r="X467" s="27"/>
      <c r="AA467" s="27"/>
    </row>
    <row r="468">
      <c r="C468" s="27"/>
      <c r="F468" s="27"/>
      <c r="I468" s="27"/>
      <c r="L468" s="27"/>
      <c r="O468" s="27"/>
      <c r="R468" s="27"/>
      <c r="U468" s="27"/>
      <c r="X468" s="27"/>
      <c r="AA468" s="27"/>
    </row>
    <row r="469">
      <c r="C469" s="27"/>
      <c r="F469" s="27"/>
      <c r="I469" s="27"/>
      <c r="L469" s="27"/>
      <c r="O469" s="27"/>
      <c r="R469" s="27"/>
      <c r="U469" s="27"/>
      <c r="X469" s="27"/>
      <c r="AA469" s="27"/>
    </row>
    <row r="470">
      <c r="C470" s="27"/>
      <c r="F470" s="27"/>
      <c r="I470" s="27"/>
      <c r="L470" s="27"/>
      <c r="O470" s="27"/>
      <c r="R470" s="27"/>
      <c r="U470" s="27"/>
      <c r="X470" s="27"/>
      <c r="AA470" s="27"/>
    </row>
    <row r="471">
      <c r="C471" s="27"/>
      <c r="F471" s="27"/>
      <c r="I471" s="27"/>
      <c r="L471" s="27"/>
      <c r="O471" s="27"/>
      <c r="R471" s="27"/>
      <c r="U471" s="27"/>
      <c r="X471" s="27"/>
      <c r="AA471" s="27"/>
    </row>
    <row r="472">
      <c r="C472" s="27"/>
      <c r="F472" s="27"/>
      <c r="I472" s="27"/>
      <c r="L472" s="27"/>
      <c r="O472" s="27"/>
      <c r="R472" s="27"/>
      <c r="U472" s="27"/>
      <c r="X472" s="27"/>
      <c r="AA472" s="27"/>
    </row>
    <row r="473">
      <c r="C473" s="27"/>
      <c r="F473" s="27"/>
      <c r="I473" s="27"/>
      <c r="L473" s="27"/>
      <c r="O473" s="27"/>
      <c r="R473" s="27"/>
      <c r="U473" s="27"/>
      <c r="X473" s="27"/>
      <c r="AA473" s="27"/>
    </row>
    <row r="474">
      <c r="C474" s="27"/>
      <c r="F474" s="27"/>
      <c r="I474" s="27"/>
      <c r="L474" s="27"/>
      <c r="O474" s="27"/>
      <c r="R474" s="27"/>
      <c r="U474" s="27"/>
      <c r="X474" s="27"/>
      <c r="AA474" s="27"/>
    </row>
    <row r="475">
      <c r="C475" s="27"/>
      <c r="F475" s="27"/>
      <c r="I475" s="27"/>
      <c r="L475" s="27"/>
      <c r="O475" s="27"/>
      <c r="R475" s="27"/>
      <c r="U475" s="27"/>
      <c r="X475" s="27"/>
      <c r="AA475" s="27"/>
    </row>
    <row r="476">
      <c r="C476" s="27"/>
      <c r="F476" s="27"/>
      <c r="I476" s="27"/>
      <c r="L476" s="27"/>
      <c r="O476" s="27"/>
      <c r="R476" s="27"/>
      <c r="U476" s="27"/>
      <c r="X476" s="27"/>
      <c r="AA476" s="27"/>
    </row>
    <row r="477">
      <c r="C477" s="27"/>
      <c r="F477" s="27"/>
      <c r="I477" s="27"/>
      <c r="L477" s="27"/>
      <c r="O477" s="27"/>
      <c r="R477" s="27"/>
      <c r="U477" s="27"/>
      <c r="X477" s="27"/>
      <c r="AA477" s="27"/>
    </row>
    <row r="478">
      <c r="C478" s="27"/>
      <c r="F478" s="27"/>
      <c r="I478" s="27"/>
      <c r="L478" s="27"/>
      <c r="O478" s="27"/>
      <c r="R478" s="27"/>
      <c r="U478" s="27"/>
      <c r="X478" s="27"/>
      <c r="AA478" s="27"/>
    </row>
    <row r="479">
      <c r="C479" s="27"/>
      <c r="F479" s="27"/>
      <c r="I479" s="27"/>
      <c r="L479" s="27"/>
      <c r="O479" s="27"/>
      <c r="R479" s="27"/>
      <c r="U479" s="27"/>
      <c r="X479" s="27"/>
      <c r="AA479" s="27"/>
    </row>
    <row r="480">
      <c r="C480" s="27"/>
      <c r="F480" s="27"/>
      <c r="I480" s="27"/>
      <c r="L480" s="27"/>
      <c r="O480" s="27"/>
      <c r="R480" s="27"/>
      <c r="U480" s="27"/>
      <c r="X480" s="27"/>
      <c r="AA480" s="27"/>
    </row>
    <row r="481">
      <c r="C481" s="27"/>
      <c r="F481" s="27"/>
      <c r="I481" s="27"/>
      <c r="L481" s="27"/>
      <c r="O481" s="27"/>
      <c r="R481" s="27"/>
      <c r="U481" s="27"/>
      <c r="X481" s="27"/>
      <c r="AA481" s="27"/>
    </row>
    <row r="482">
      <c r="C482" s="27"/>
      <c r="F482" s="27"/>
      <c r="I482" s="27"/>
      <c r="L482" s="27"/>
      <c r="O482" s="27"/>
      <c r="R482" s="27"/>
      <c r="U482" s="27"/>
      <c r="X482" s="27"/>
      <c r="AA482" s="27"/>
    </row>
    <row r="483">
      <c r="C483" s="27"/>
      <c r="F483" s="27"/>
      <c r="I483" s="27"/>
      <c r="L483" s="27"/>
      <c r="O483" s="27"/>
      <c r="R483" s="27"/>
      <c r="U483" s="27"/>
      <c r="X483" s="27"/>
      <c r="AA483" s="27"/>
    </row>
    <row r="484">
      <c r="C484" s="27"/>
      <c r="F484" s="27"/>
      <c r="I484" s="27"/>
      <c r="L484" s="27"/>
      <c r="O484" s="27"/>
      <c r="R484" s="27"/>
      <c r="U484" s="27"/>
      <c r="X484" s="27"/>
      <c r="AA484" s="27"/>
    </row>
    <row r="485">
      <c r="C485" s="27"/>
      <c r="F485" s="27"/>
      <c r="I485" s="27"/>
      <c r="L485" s="27"/>
      <c r="O485" s="27"/>
      <c r="R485" s="27"/>
      <c r="U485" s="27"/>
      <c r="X485" s="27"/>
      <c r="AA485" s="27"/>
    </row>
    <row r="486">
      <c r="C486" s="27"/>
      <c r="F486" s="27"/>
      <c r="I486" s="27"/>
      <c r="L486" s="27"/>
      <c r="O486" s="27"/>
      <c r="R486" s="27"/>
      <c r="U486" s="27"/>
      <c r="X486" s="27"/>
      <c r="AA486" s="27"/>
    </row>
    <row r="487">
      <c r="C487" s="27"/>
      <c r="F487" s="27"/>
      <c r="I487" s="27"/>
      <c r="L487" s="27"/>
      <c r="O487" s="27"/>
      <c r="R487" s="27"/>
      <c r="U487" s="27"/>
      <c r="X487" s="27"/>
      <c r="AA487" s="27"/>
    </row>
    <row r="488">
      <c r="C488" s="27"/>
      <c r="F488" s="27"/>
      <c r="I488" s="27"/>
      <c r="L488" s="27"/>
      <c r="O488" s="27"/>
      <c r="R488" s="27"/>
      <c r="U488" s="27"/>
      <c r="X488" s="27"/>
      <c r="AA488" s="27"/>
    </row>
    <row r="489">
      <c r="C489" s="27"/>
      <c r="F489" s="27"/>
      <c r="I489" s="27"/>
      <c r="L489" s="27"/>
      <c r="O489" s="27"/>
      <c r="R489" s="27"/>
      <c r="U489" s="27"/>
      <c r="X489" s="27"/>
      <c r="AA489" s="27"/>
    </row>
    <row r="490">
      <c r="C490" s="27"/>
      <c r="F490" s="27"/>
      <c r="I490" s="27"/>
      <c r="L490" s="27"/>
      <c r="O490" s="27"/>
      <c r="R490" s="27"/>
      <c r="U490" s="27"/>
      <c r="X490" s="27"/>
      <c r="AA490" s="27"/>
    </row>
    <row r="491">
      <c r="C491" s="27"/>
      <c r="F491" s="27"/>
      <c r="I491" s="27"/>
      <c r="L491" s="27"/>
      <c r="O491" s="27"/>
      <c r="R491" s="27"/>
      <c r="U491" s="27"/>
      <c r="X491" s="27"/>
      <c r="AA491" s="27"/>
    </row>
    <row r="492">
      <c r="C492" s="27"/>
      <c r="F492" s="27"/>
      <c r="I492" s="27"/>
      <c r="L492" s="27"/>
      <c r="O492" s="27"/>
      <c r="R492" s="27"/>
      <c r="U492" s="27"/>
      <c r="X492" s="27"/>
      <c r="AA492" s="27"/>
    </row>
    <row r="493">
      <c r="C493" s="27"/>
      <c r="F493" s="27"/>
      <c r="I493" s="27"/>
      <c r="L493" s="27"/>
      <c r="O493" s="27"/>
      <c r="R493" s="27"/>
      <c r="U493" s="27"/>
      <c r="X493" s="27"/>
      <c r="AA493" s="27"/>
    </row>
    <row r="494">
      <c r="C494" s="27"/>
      <c r="F494" s="27"/>
      <c r="I494" s="27"/>
      <c r="L494" s="27"/>
      <c r="O494" s="27"/>
      <c r="R494" s="27"/>
      <c r="U494" s="27"/>
      <c r="X494" s="27"/>
      <c r="AA494" s="27"/>
    </row>
    <row r="495">
      <c r="C495" s="27"/>
      <c r="F495" s="27"/>
      <c r="I495" s="27"/>
      <c r="L495" s="27"/>
      <c r="O495" s="27"/>
      <c r="R495" s="27"/>
      <c r="U495" s="27"/>
      <c r="X495" s="27"/>
      <c r="AA495" s="27"/>
    </row>
    <row r="496">
      <c r="C496" s="27"/>
      <c r="F496" s="27"/>
      <c r="I496" s="27"/>
      <c r="L496" s="27"/>
      <c r="O496" s="27"/>
      <c r="R496" s="27"/>
      <c r="U496" s="27"/>
      <c r="X496" s="27"/>
      <c r="AA496" s="27"/>
    </row>
    <row r="497">
      <c r="C497" s="27"/>
      <c r="F497" s="27"/>
      <c r="I497" s="27"/>
      <c r="L497" s="27"/>
      <c r="O497" s="27"/>
      <c r="R497" s="27"/>
      <c r="U497" s="27"/>
      <c r="X497" s="27"/>
      <c r="AA497" s="27"/>
    </row>
    <row r="498">
      <c r="C498" s="27"/>
      <c r="F498" s="27"/>
      <c r="I498" s="27"/>
      <c r="L498" s="27"/>
      <c r="O498" s="27"/>
      <c r="R498" s="27"/>
      <c r="U498" s="27"/>
      <c r="X498" s="27"/>
      <c r="AA498" s="27"/>
    </row>
    <row r="499">
      <c r="C499" s="27"/>
      <c r="F499" s="27"/>
      <c r="I499" s="27"/>
      <c r="L499" s="27"/>
      <c r="O499" s="27"/>
      <c r="R499" s="27"/>
      <c r="U499" s="27"/>
      <c r="X499" s="27"/>
      <c r="AA499" s="27"/>
    </row>
    <row r="500">
      <c r="C500" s="27"/>
      <c r="F500" s="27"/>
      <c r="I500" s="27"/>
      <c r="L500" s="27"/>
      <c r="O500" s="27"/>
      <c r="R500" s="27"/>
      <c r="U500" s="27"/>
      <c r="X500" s="27"/>
      <c r="AA500" s="27"/>
    </row>
    <row r="501">
      <c r="C501" s="27"/>
      <c r="F501" s="27"/>
      <c r="I501" s="27"/>
      <c r="L501" s="27"/>
      <c r="O501" s="27"/>
      <c r="R501" s="27"/>
      <c r="U501" s="27"/>
      <c r="X501" s="27"/>
      <c r="AA501" s="27"/>
    </row>
    <row r="502">
      <c r="C502" s="27"/>
      <c r="F502" s="27"/>
      <c r="I502" s="27"/>
      <c r="L502" s="27"/>
      <c r="O502" s="27"/>
      <c r="R502" s="27"/>
      <c r="U502" s="27"/>
      <c r="X502" s="27"/>
      <c r="AA502" s="27"/>
    </row>
    <row r="503">
      <c r="C503" s="27"/>
      <c r="F503" s="27"/>
      <c r="I503" s="27"/>
      <c r="L503" s="27"/>
      <c r="O503" s="27"/>
      <c r="R503" s="27"/>
      <c r="U503" s="27"/>
      <c r="X503" s="27"/>
      <c r="AA503" s="27"/>
    </row>
    <row r="504">
      <c r="C504" s="27"/>
      <c r="F504" s="27"/>
      <c r="I504" s="27"/>
      <c r="L504" s="27"/>
      <c r="O504" s="27"/>
      <c r="R504" s="27"/>
      <c r="U504" s="27"/>
      <c r="X504" s="27"/>
      <c r="AA504" s="27"/>
    </row>
    <row r="505">
      <c r="C505" s="27"/>
      <c r="F505" s="27"/>
      <c r="I505" s="27"/>
      <c r="L505" s="27"/>
      <c r="O505" s="27"/>
      <c r="R505" s="27"/>
      <c r="U505" s="27"/>
      <c r="X505" s="27"/>
      <c r="AA505" s="27"/>
    </row>
    <row r="506">
      <c r="C506" s="27"/>
      <c r="F506" s="27"/>
      <c r="I506" s="27"/>
      <c r="L506" s="27"/>
      <c r="O506" s="27"/>
      <c r="R506" s="27"/>
      <c r="U506" s="27"/>
      <c r="X506" s="27"/>
      <c r="AA506" s="27"/>
    </row>
    <row r="507">
      <c r="C507" s="27"/>
      <c r="F507" s="27"/>
      <c r="I507" s="27"/>
      <c r="L507" s="27"/>
      <c r="O507" s="27"/>
      <c r="R507" s="27"/>
      <c r="U507" s="27"/>
      <c r="X507" s="27"/>
      <c r="AA507" s="27"/>
    </row>
    <row r="508">
      <c r="C508" s="27"/>
      <c r="F508" s="27"/>
      <c r="I508" s="27"/>
      <c r="L508" s="27"/>
      <c r="O508" s="27"/>
      <c r="R508" s="27"/>
      <c r="U508" s="27"/>
      <c r="X508" s="27"/>
      <c r="AA508" s="27"/>
    </row>
    <row r="509">
      <c r="C509" s="27"/>
      <c r="F509" s="27"/>
      <c r="I509" s="27"/>
      <c r="L509" s="27"/>
      <c r="O509" s="27"/>
      <c r="R509" s="27"/>
      <c r="U509" s="27"/>
      <c r="X509" s="27"/>
      <c r="AA509" s="27"/>
    </row>
    <row r="510">
      <c r="C510" s="27"/>
      <c r="F510" s="27"/>
      <c r="I510" s="27"/>
      <c r="L510" s="27"/>
      <c r="O510" s="27"/>
      <c r="R510" s="27"/>
      <c r="U510" s="27"/>
      <c r="X510" s="27"/>
      <c r="AA510" s="27"/>
    </row>
    <row r="511">
      <c r="C511" s="27"/>
      <c r="F511" s="27"/>
      <c r="I511" s="27"/>
      <c r="L511" s="27"/>
      <c r="O511" s="27"/>
      <c r="R511" s="27"/>
      <c r="U511" s="27"/>
      <c r="X511" s="27"/>
      <c r="AA511" s="27"/>
    </row>
    <row r="512">
      <c r="C512" s="27"/>
      <c r="F512" s="27"/>
      <c r="I512" s="27"/>
      <c r="L512" s="27"/>
      <c r="O512" s="27"/>
      <c r="R512" s="27"/>
      <c r="U512" s="27"/>
      <c r="X512" s="27"/>
      <c r="AA512" s="27"/>
    </row>
    <row r="513">
      <c r="C513" s="27"/>
      <c r="F513" s="27"/>
      <c r="I513" s="27"/>
      <c r="L513" s="27"/>
      <c r="O513" s="27"/>
      <c r="R513" s="27"/>
      <c r="U513" s="27"/>
      <c r="X513" s="27"/>
      <c r="AA513" s="27"/>
    </row>
    <row r="514">
      <c r="C514" s="27"/>
      <c r="F514" s="27"/>
      <c r="I514" s="27"/>
      <c r="L514" s="27"/>
      <c r="O514" s="27"/>
      <c r="R514" s="27"/>
      <c r="U514" s="27"/>
      <c r="X514" s="27"/>
      <c r="AA514" s="27"/>
    </row>
    <row r="515">
      <c r="C515" s="27"/>
      <c r="F515" s="27"/>
      <c r="I515" s="27"/>
      <c r="L515" s="27"/>
      <c r="O515" s="27"/>
      <c r="R515" s="27"/>
      <c r="U515" s="27"/>
      <c r="X515" s="27"/>
      <c r="AA515" s="27"/>
    </row>
    <row r="516">
      <c r="C516" s="27"/>
      <c r="F516" s="27"/>
      <c r="I516" s="27"/>
      <c r="L516" s="27"/>
      <c r="O516" s="27"/>
      <c r="R516" s="27"/>
      <c r="U516" s="27"/>
      <c r="X516" s="27"/>
      <c r="AA516" s="27"/>
    </row>
    <row r="517">
      <c r="C517" s="27"/>
      <c r="F517" s="27"/>
      <c r="I517" s="27"/>
      <c r="L517" s="27"/>
      <c r="O517" s="27"/>
      <c r="R517" s="27"/>
      <c r="U517" s="27"/>
      <c r="X517" s="27"/>
      <c r="AA517" s="27"/>
    </row>
    <row r="518">
      <c r="C518" s="27"/>
      <c r="F518" s="27"/>
      <c r="I518" s="27"/>
      <c r="L518" s="27"/>
      <c r="O518" s="27"/>
      <c r="R518" s="27"/>
      <c r="U518" s="27"/>
      <c r="X518" s="27"/>
      <c r="AA518" s="27"/>
    </row>
    <row r="519">
      <c r="C519" s="27"/>
      <c r="F519" s="27"/>
      <c r="I519" s="27"/>
      <c r="L519" s="27"/>
      <c r="O519" s="27"/>
      <c r="R519" s="27"/>
      <c r="U519" s="27"/>
      <c r="X519" s="27"/>
      <c r="AA519" s="27"/>
    </row>
    <row r="520">
      <c r="C520" s="27"/>
      <c r="F520" s="27"/>
      <c r="I520" s="27"/>
      <c r="L520" s="27"/>
      <c r="O520" s="27"/>
      <c r="R520" s="27"/>
      <c r="U520" s="27"/>
      <c r="X520" s="27"/>
      <c r="AA520" s="27"/>
    </row>
    <row r="521">
      <c r="C521" s="27"/>
      <c r="F521" s="27"/>
      <c r="I521" s="27"/>
      <c r="L521" s="27"/>
      <c r="O521" s="27"/>
      <c r="R521" s="27"/>
      <c r="U521" s="27"/>
      <c r="X521" s="27"/>
      <c r="AA521" s="27"/>
    </row>
    <row r="522">
      <c r="C522" s="27"/>
      <c r="F522" s="27"/>
      <c r="I522" s="27"/>
      <c r="L522" s="27"/>
      <c r="O522" s="27"/>
      <c r="R522" s="27"/>
      <c r="U522" s="27"/>
      <c r="X522" s="27"/>
      <c r="AA522" s="27"/>
    </row>
    <row r="523">
      <c r="C523" s="27"/>
      <c r="F523" s="27"/>
      <c r="I523" s="27"/>
      <c r="L523" s="27"/>
      <c r="O523" s="27"/>
      <c r="R523" s="27"/>
      <c r="U523" s="27"/>
      <c r="X523" s="27"/>
      <c r="AA523" s="27"/>
    </row>
    <row r="524">
      <c r="C524" s="27"/>
      <c r="F524" s="27"/>
      <c r="I524" s="27"/>
      <c r="L524" s="27"/>
      <c r="O524" s="27"/>
      <c r="R524" s="27"/>
      <c r="U524" s="27"/>
      <c r="X524" s="27"/>
      <c r="AA524" s="27"/>
    </row>
    <row r="525">
      <c r="C525" s="27"/>
      <c r="F525" s="27"/>
      <c r="I525" s="27"/>
      <c r="L525" s="27"/>
      <c r="O525" s="27"/>
      <c r="R525" s="27"/>
      <c r="U525" s="27"/>
      <c r="X525" s="27"/>
      <c r="AA525" s="27"/>
    </row>
    <row r="526">
      <c r="C526" s="27"/>
      <c r="F526" s="27"/>
      <c r="I526" s="27"/>
      <c r="L526" s="27"/>
      <c r="O526" s="27"/>
      <c r="R526" s="27"/>
      <c r="U526" s="27"/>
      <c r="X526" s="27"/>
      <c r="AA526" s="27"/>
    </row>
    <row r="527">
      <c r="C527" s="27"/>
      <c r="F527" s="27"/>
      <c r="I527" s="27"/>
      <c r="L527" s="27"/>
      <c r="O527" s="27"/>
      <c r="R527" s="27"/>
      <c r="U527" s="27"/>
      <c r="X527" s="27"/>
      <c r="AA527" s="27"/>
    </row>
    <row r="528">
      <c r="C528" s="27"/>
      <c r="F528" s="27"/>
      <c r="I528" s="27"/>
      <c r="L528" s="27"/>
      <c r="O528" s="27"/>
      <c r="R528" s="27"/>
      <c r="U528" s="27"/>
      <c r="X528" s="27"/>
      <c r="AA528" s="27"/>
    </row>
    <row r="529">
      <c r="C529" s="27"/>
      <c r="F529" s="27"/>
      <c r="I529" s="27"/>
      <c r="L529" s="27"/>
      <c r="O529" s="27"/>
      <c r="R529" s="27"/>
      <c r="U529" s="27"/>
      <c r="X529" s="27"/>
      <c r="AA529" s="27"/>
    </row>
    <row r="530">
      <c r="C530" s="27"/>
      <c r="F530" s="27"/>
      <c r="I530" s="27"/>
      <c r="L530" s="27"/>
      <c r="O530" s="27"/>
      <c r="R530" s="27"/>
      <c r="U530" s="27"/>
      <c r="X530" s="27"/>
      <c r="AA530" s="27"/>
    </row>
    <row r="531">
      <c r="C531" s="27"/>
      <c r="F531" s="27"/>
      <c r="I531" s="27"/>
      <c r="L531" s="27"/>
      <c r="O531" s="27"/>
      <c r="R531" s="27"/>
      <c r="U531" s="27"/>
      <c r="X531" s="27"/>
      <c r="AA531" s="27"/>
    </row>
    <row r="532">
      <c r="C532" s="27"/>
      <c r="F532" s="27"/>
      <c r="I532" s="27"/>
      <c r="L532" s="27"/>
      <c r="O532" s="27"/>
      <c r="R532" s="27"/>
      <c r="U532" s="27"/>
      <c r="X532" s="27"/>
      <c r="AA532" s="27"/>
    </row>
    <row r="533">
      <c r="C533" s="27"/>
      <c r="F533" s="27"/>
      <c r="I533" s="27"/>
      <c r="L533" s="27"/>
      <c r="O533" s="27"/>
      <c r="R533" s="27"/>
      <c r="U533" s="27"/>
      <c r="X533" s="27"/>
      <c r="AA533" s="27"/>
    </row>
    <row r="534">
      <c r="C534" s="27"/>
      <c r="F534" s="27"/>
      <c r="I534" s="27"/>
      <c r="L534" s="27"/>
      <c r="O534" s="27"/>
      <c r="R534" s="27"/>
      <c r="U534" s="27"/>
      <c r="X534" s="27"/>
      <c r="AA534" s="27"/>
    </row>
    <row r="535">
      <c r="C535" s="27"/>
      <c r="F535" s="27"/>
      <c r="I535" s="27"/>
      <c r="L535" s="27"/>
      <c r="O535" s="27"/>
      <c r="R535" s="27"/>
      <c r="U535" s="27"/>
      <c r="X535" s="27"/>
      <c r="AA535" s="27"/>
    </row>
    <row r="536">
      <c r="C536" s="27"/>
      <c r="F536" s="27"/>
      <c r="I536" s="27"/>
      <c r="L536" s="27"/>
      <c r="O536" s="27"/>
      <c r="R536" s="27"/>
      <c r="U536" s="27"/>
      <c r="X536" s="27"/>
      <c r="AA536" s="27"/>
    </row>
    <row r="537">
      <c r="C537" s="27"/>
      <c r="F537" s="27"/>
      <c r="I537" s="27"/>
      <c r="L537" s="27"/>
      <c r="O537" s="27"/>
      <c r="R537" s="27"/>
      <c r="U537" s="27"/>
      <c r="X537" s="27"/>
      <c r="AA537" s="27"/>
    </row>
    <row r="538">
      <c r="C538" s="27"/>
      <c r="F538" s="27"/>
      <c r="I538" s="27"/>
      <c r="L538" s="27"/>
      <c r="O538" s="27"/>
      <c r="R538" s="27"/>
      <c r="U538" s="27"/>
      <c r="X538" s="27"/>
      <c r="AA538" s="27"/>
    </row>
    <row r="539">
      <c r="C539" s="27"/>
      <c r="F539" s="27"/>
      <c r="I539" s="27"/>
      <c r="L539" s="27"/>
      <c r="O539" s="27"/>
      <c r="R539" s="27"/>
      <c r="U539" s="27"/>
      <c r="X539" s="27"/>
      <c r="AA539" s="27"/>
    </row>
    <row r="540">
      <c r="C540" s="27"/>
      <c r="F540" s="27"/>
      <c r="I540" s="27"/>
      <c r="L540" s="27"/>
      <c r="O540" s="27"/>
      <c r="R540" s="27"/>
      <c r="U540" s="27"/>
      <c r="X540" s="27"/>
      <c r="AA540" s="27"/>
    </row>
    <row r="541">
      <c r="C541" s="27"/>
      <c r="F541" s="27"/>
      <c r="I541" s="27"/>
      <c r="L541" s="27"/>
      <c r="O541" s="27"/>
      <c r="R541" s="27"/>
      <c r="U541" s="27"/>
      <c r="X541" s="27"/>
      <c r="AA541" s="27"/>
    </row>
    <row r="542">
      <c r="C542" s="27"/>
      <c r="F542" s="27"/>
      <c r="I542" s="27"/>
      <c r="L542" s="27"/>
      <c r="O542" s="27"/>
      <c r="R542" s="27"/>
      <c r="U542" s="27"/>
      <c r="X542" s="27"/>
      <c r="AA542" s="27"/>
    </row>
    <row r="543">
      <c r="C543" s="27"/>
      <c r="F543" s="27"/>
      <c r="I543" s="27"/>
      <c r="L543" s="27"/>
      <c r="O543" s="27"/>
      <c r="R543" s="27"/>
      <c r="U543" s="27"/>
      <c r="X543" s="27"/>
      <c r="AA543" s="27"/>
    </row>
    <row r="544">
      <c r="C544" s="27"/>
      <c r="F544" s="27"/>
      <c r="I544" s="27"/>
      <c r="L544" s="27"/>
      <c r="O544" s="27"/>
      <c r="R544" s="27"/>
      <c r="U544" s="27"/>
      <c r="X544" s="27"/>
      <c r="AA544" s="27"/>
    </row>
    <row r="545">
      <c r="C545" s="27"/>
      <c r="F545" s="27"/>
      <c r="I545" s="27"/>
      <c r="L545" s="27"/>
      <c r="O545" s="27"/>
      <c r="R545" s="27"/>
      <c r="U545" s="27"/>
      <c r="X545" s="27"/>
      <c r="AA545" s="27"/>
    </row>
    <row r="546">
      <c r="C546" s="27"/>
      <c r="F546" s="27"/>
      <c r="I546" s="27"/>
      <c r="L546" s="27"/>
      <c r="O546" s="27"/>
      <c r="R546" s="27"/>
      <c r="U546" s="27"/>
      <c r="X546" s="27"/>
      <c r="AA546" s="27"/>
    </row>
    <row r="547">
      <c r="C547" s="27"/>
      <c r="F547" s="27"/>
      <c r="I547" s="27"/>
      <c r="L547" s="27"/>
      <c r="O547" s="27"/>
      <c r="R547" s="27"/>
      <c r="U547" s="27"/>
      <c r="X547" s="27"/>
      <c r="AA547" s="27"/>
    </row>
    <row r="548">
      <c r="C548" s="27"/>
      <c r="F548" s="27"/>
      <c r="I548" s="27"/>
      <c r="L548" s="27"/>
      <c r="O548" s="27"/>
      <c r="R548" s="27"/>
      <c r="U548" s="27"/>
      <c r="X548" s="27"/>
      <c r="AA548" s="27"/>
    </row>
    <row r="549">
      <c r="C549" s="27"/>
      <c r="F549" s="27"/>
      <c r="I549" s="27"/>
      <c r="L549" s="27"/>
      <c r="O549" s="27"/>
      <c r="R549" s="27"/>
      <c r="U549" s="27"/>
      <c r="X549" s="27"/>
      <c r="AA549" s="27"/>
    </row>
    <row r="550">
      <c r="C550" s="27"/>
      <c r="F550" s="27"/>
      <c r="I550" s="27"/>
      <c r="L550" s="27"/>
      <c r="O550" s="27"/>
      <c r="R550" s="27"/>
      <c r="U550" s="27"/>
      <c r="X550" s="27"/>
      <c r="AA550" s="27"/>
    </row>
    <row r="551">
      <c r="C551" s="27"/>
      <c r="F551" s="27"/>
      <c r="I551" s="27"/>
      <c r="L551" s="27"/>
      <c r="O551" s="27"/>
      <c r="R551" s="27"/>
      <c r="U551" s="27"/>
      <c r="X551" s="27"/>
      <c r="AA551" s="27"/>
    </row>
    <row r="552">
      <c r="C552" s="27"/>
      <c r="F552" s="27"/>
      <c r="I552" s="27"/>
      <c r="L552" s="27"/>
      <c r="O552" s="27"/>
      <c r="R552" s="27"/>
      <c r="U552" s="27"/>
      <c r="X552" s="27"/>
      <c r="AA552" s="27"/>
    </row>
    <row r="553">
      <c r="C553" s="27"/>
      <c r="F553" s="27"/>
      <c r="I553" s="27"/>
      <c r="L553" s="27"/>
      <c r="O553" s="27"/>
      <c r="R553" s="27"/>
      <c r="U553" s="27"/>
      <c r="X553" s="27"/>
      <c r="AA553" s="27"/>
    </row>
    <row r="554">
      <c r="C554" s="27"/>
      <c r="F554" s="27"/>
      <c r="I554" s="27"/>
      <c r="L554" s="27"/>
      <c r="O554" s="27"/>
      <c r="R554" s="27"/>
      <c r="U554" s="27"/>
      <c r="X554" s="27"/>
      <c r="AA554" s="27"/>
    </row>
    <row r="555">
      <c r="C555" s="27"/>
      <c r="F555" s="27"/>
      <c r="I555" s="27"/>
      <c r="L555" s="27"/>
      <c r="O555" s="27"/>
      <c r="R555" s="27"/>
      <c r="U555" s="27"/>
      <c r="X555" s="27"/>
      <c r="AA555" s="27"/>
    </row>
    <row r="556">
      <c r="C556" s="27"/>
      <c r="F556" s="27"/>
      <c r="I556" s="27"/>
      <c r="L556" s="27"/>
      <c r="O556" s="27"/>
      <c r="R556" s="27"/>
      <c r="U556" s="27"/>
      <c r="X556" s="27"/>
      <c r="AA556" s="27"/>
    </row>
    <row r="557">
      <c r="C557" s="27"/>
      <c r="F557" s="27"/>
      <c r="I557" s="27"/>
      <c r="L557" s="27"/>
      <c r="O557" s="27"/>
      <c r="R557" s="27"/>
      <c r="U557" s="27"/>
      <c r="X557" s="27"/>
      <c r="AA557" s="27"/>
    </row>
    <row r="558">
      <c r="C558" s="27"/>
      <c r="F558" s="27"/>
      <c r="I558" s="27"/>
      <c r="L558" s="27"/>
      <c r="O558" s="27"/>
      <c r="R558" s="27"/>
      <c r="U558" s="27"/>
      <c r="X558" s="27"/>
      <c r="AA558" s="27"/>
    </row>
    <row r="559">
      <c r="C559" s="27"/>
      <c r="F559" s="27"/>
      <c r="I559" s="27"/>
      <c r="L559" s="27"/>
      <c r="O559" s="27"/>
      <c r="R559" s="27"/>
      <c r="U559" s="27"/>
      <c r="X559" s="27"/>
      <c r="AA559" s="27"/>
    </row>
    <row r="560">
      <c r="C560" s="27"/>
      <c r="F560" s="27"/>
      <c r="I560" s="27"/>
      <c r="L560" s="27"/>
      <c r="O560" s="27"/>
      <c r="R560" s="27"/>
      <c r="U560" s="27"/>
      <c r="X560" s="27"/>
      <c r="AA560" s="27"/>
    </row>
    <row r="561">
      <c r="C561" s="27"/>
      <c r="F561" s="27"/>
      <c r="I561" s="27"/>
      <c r="L561" s="27"/>
      <c r="O561" s="27"/>
      <c r="R561" s="27"/>
      <c r="U561" s="27"/>
      <c r="X561" s="27"/>
      <c r="AA561" s="27"/>
    </row>
    <row r="562">
      <c r="C562" s="27"/>
      <c r="F562" s="27"/>
      <c r="I562" s="27"/>
      <c r="L562" s="27"/>
      <c r="O562" s="27"/>
      <c r="R562" s="27"/>
      <c r="U562" s="27"/>
      <c r="X562" s="27"/>
      <c r="AA562" s="27"/>
    </row>
    <row r="563">
      <c r="C563" s="27"/>
      <c r="F563" s="27"/>
      <c r="I563" s="27"/>
      <c r="L563" s="27"/>
      <c r="O563" s="27"/>
      <c r="R563" s="27"/>
      <c r="U563" s="27"/>
      <c r="X563" s="27"/>
      <c r="AA563" s="27"/>
    </row>
    <row r="564">
      <c r="C564" s="27"/>
      <c r="F564" s="27"/>
      <c r="I564" s="27"/>
      <c r="L564" s="27"/>
      <c r="O564" s="27"/>
      <c r="R564" s="27"/>
      <c r="U564" s="27"/>
      <c r="X564" s="27"/>
      <c r="AA564" s="27"/>
    </row>
    <row r="565">
      <c r="C565" s="27"/>
      <c r="F565" s="27"/>
      <c r="I565" s="27"/>
      <c r="L565" s="27"/>
      <c r="O565" s="27"/>
      <c r="R565" s="27"/>
      <c r="U565" s="27"/>
      <c r="X565" s="27"/>
      <c r="AA565" s="27"/>
    </row>
    <row r="566">
      <c r="C566" s="27"/>
      <c r="F566" s="27"/>
      <c r="I566" s="27"/>
      <c r="L566" s="27"/>
      <c r="O566" s="27"/>
      <c r="R566" s="27"/>
      <c r="U566" s="27"/>
      <c r="X566" s="27"/>
      <c r="AA566" s="27"/>
    </row>
    <row r="567">
      <c r="C567" s="27"/>
      <c r="F567" s="27"/>
      <c r="I567" s="27"/>
      <c r="L567" s="27"/>
      <c r="O567" s="27"/>
      <c r="R567" s="27"/>
      <c r="U567" s="27"/>
      <c r="X567" s="27"/>
      <c r="AA567" s="27"/>
    </row>
    <row r="568">
      <c r="C568" s="27"/>
      <c r="F568" s="27"/>
      <c r="I568" s="27"/>
      <c r="L568" s="27"/>
      <c r="O568" s="27"/>
      <c r="R568" s="27"/>
      <c r="U568" s="27"/>
      <c r="X568" s="27"/>
      <c r="AA568" s="27"/>
    </row>
    <row r="569">
      <c r="C569" s="27"/>
      <c r="F569" s="27"/>
      <c r="I569" s="27"/>
      <c r="L569" s="27"/>
      <c r="O569" s="27"/>
      <c r="R569" s="27"/>
      <c r="U569" s="27"/>
      <c r="X569" s="27"/>
      <c r="AA569" s="27"/>
    </row>
    <row r="570">
      <c r="C570" s="27"/>
      <c r="F570" s="27"/>
      <c r="I570" s="27"/>
      <c r="L570" s="27"/>
      <c r="O570" s="27"/>
      <c r="R570" s="27"/>
      <c r="U570" s="27"/>
      <c r="X570" s="27"/>
      <c r="AA570" s="27"/>
    </row>
    <row r="571">
      <c r="C571" s="27"/>
      <c r="F571" s="27"/>
      <c r="I571" s="27"/>
      <c r="L571" s="27"/>
      <c r="O571" s="27"/>
      <c r="R571" s="27"/>
      <c r="U571" s="27"/>
      <c r="X571" s="27"/>
      <c r="AA571" s="27"/>
    </row>
    <row r="572">
      <c r="C572" s="27"/>
      <c r="F572" s="27"/>
      <c r="I572" s="27"/>
      <c r="L572" s="27"/>
      <c r="O572" s="27"/>
      <c r="R572" s="27"/>
      <c r="U572" s="27"/>
      <c r="X572" s="27"/>
      <c r="AA572" s="27"/>
    </row>
    <row r="573">
      <c r="C573" s="27"/>
      <c r="F573" s="27"/>
      <c r="I573" s="27"/>
      <c r="L573" s="27"/>
      <c r="O573" s="27"/>
      <c r="R573" s="27"/>
      <c r="U573" s="27"/>
      <c r="X573" s="27"/>
      <c r="AA573" s="27"/>
    </row>
    <row r="574">
      <c r="C574" s="27"/>
      <c r="F574" s="27"/>
      <c r="I574" s="27"/>
      <c r="L574" s="27"/>
      <c r="O574" s="27"/>
      <c r="R574" s="27"/>
      <c r="U574" s="27"/>
      <c r="X574" s="27"/>
      <c r="AA574" s="27"/>
    </row>
    <row r="575">
      <c r="C575" s="27"/>
      <c r="F575" s="27"/>
      <c r="I575" s="27"/>
      <c r="L575" s="27"/>
      <c r="O575" s="27"/>
      <c r="R575" s="27"/>
      <c r="U575" s="27"/>
      <c r="X575" s="27"/>
      <c r="AA575" s="27"/>
    </row>
    <row r="576">
      <c r="C576" s="27"/>
      <c r="F576" s="27"/>
      <c r="I576" s="27"/>
      <c r="L576" s="27"/>
      <c r="O576" s="27"/>
      <c r="R576" s="27"/>
      <c r="U576" s="27"/>
      <c r="X576" s="27"/>
      <c r="AA576" s="27"/>
    </row>
    <row r="577">
      <c r="C577" s="27"/>
      <c r="F577" s="27"/>
      <c r="I577" s="27"/>
      <c r="L577" s="27"/>
      <c r="O577" s="27"/>
      <c r="R577" s="27"/>
      <c r="U577" s="27"/>
      <c r="X577" s="27"/>
      <c r="AA577" s="27"/>
    </row>
    <row r="578">
      <c r="C578" s="27"/>
      <c r="F578" s="27"/>
      <c r="I578" s="27"/>
      <c r="L578" s="27"/>
      <c r="O578" s="27"/>
      <c r="R578" s="27"/>
      <c r="U578" s="27"/>
      <c r="X578" s="27"/>
      <c r="AA578" s="27"/>
    </row>
    <row r="579">
      <c r="C579" s="27"/>
      <c r="F579" s="27"/>
      <c r="I579" s="27"/>
      <c r="L579" s="27"/>
      <c r="O579" s="27"/>
      <c r="R579" s="27"/>
      <c r="U579" s="27"/>
      <c r="X579" s="27"/>
      <c r="AA579" s="27"/>
    </row>
    <row r="580">
      <c r="C580" s="27"/>
      <c r="F580" s="27"/>
      <c r="I580" s="27"/>
      <c r="L580" s="27"/>
      <c r="O580" s="27"/>
      <c r="R580" s="27"/>
      <c r="U580" s="27"/>
      <c r="X580" s="27"/>
      <c r="AA580" s="27"/>
    </row>
    <row r="581">
      <c r="C581" s="27"/>
      <c r="F581" s="27"/>
      <c r="I581" s="27"/>
      <c r="L581" s="27"/>
      <c r="O581" s="27"/>
      <c r="R581" s="27"/>
      <c r="U581" s="27"/>
      <c r="X581" s="27"/>
      <c r="AA581" s="27"/>
    </row>
    <row r="582">
      <c r="C582" s="27"/>
      <c r="F582" s="27"/>
      <c r="I582" s="27"/>
      <c r="L582" s="27"/>
      <c r="O582" s="27"/>
      <c r="R582" s="27"/>
      <c r="U582" s="27"/>
      <c r="X582" s="27"/>
      <c r="AA582" s="27"/>
    </row>
    <row r="583">
      <c r="C583" s="27"/>
      <c r="F583" s="27"/>
      <c r="I583" s="27"/>
      <c r="L583" s="27"/>
      <c r="O583" s="27"/>
      <c r="R583" s="27"/>
      <c r="U583" s="27"/>
      <c r="X583" s="27"/>
      <c r="AA583" s="27"/>
    </row>
    <row r="584">
      <c r="C584" s="27"/>
      <c r="F584" s="27"/>
      <c r="I584" s="27"/>
      <c r="L584" s="27"/>
      <c r="O584" s="27"/>
      <c r="R584" s="27"/>
      <c r="U584" s="27"/>
      <c r="X584" s="27"/>
      <c r="AA584" s="27"/>
    </row>
    <row r="585">
      <c r="C585" s="27"/>
      <c r="F585" s="27"/>
      <c r="I585" s="27"/>
      <c r="L585" s="27"/>
      <c r="O585" s="27"/>
      <c r="R585" s="27"/>
      <c r="U585" s="27"/>
      <c r="X585" s="27"/>
      <c r="AA585" s="27"/>
    </row>
    <row r="586">
      <c r="C586" s="27"/>
      <c r="F586" s="27"/>
      <c r="I586" s="27"/>
      <c r="L586" s="27"/>
      <c r="O586" s="27"/>
      <c r="R586" s="27"/>
      <c r="U586" s="27"/>
      <c r="X586" s="27"/>
      <c r="AA586" s="27"/>
    </row>
    <row r="587">
      <c r="C587" s="27"/>
      <c r="F587" s="27"/>
      <c r="I587" s="27"/>
      <c r="L587" s="27"/>
      <c r="O587" s="27"/>
      <c r="R587" s="27"/>
      <c r="U587" s="27"/>
      <c r="X587" s="27"/>
      <c r="AA587" s="27"/>
    </row>
    <row r="588">
      <c r="C588" s="27"/>
      <c r="F588" s="27"/>
      <c r="I588" s="27"/>
      <c r="L588" s="27"/>
      <c r="O588" s="27"/>
      <c r="R588" s="27"/>
      <c r="U588" s="27"/>
      <c r="X588" s="27"/>
      <c r="AA588" s="27"/>
    </row>
    <row r="589">
      <c r="C589" s="27"/>
      <c r="F589" s="27"/>
      <c r="I589" s="27"/>
      <c r="L589" s="27"/>
      <c r="O589" s="27"/>
      <c r="R589" s="27"/>
      <c r="U589" s="27"/>
      <c r="X589" s="27"/>
      <c r="AA589" s="27"/>
    </row>
    <row r="590">
      <c r="C590" s="27"/>
      <c r="F590" s="27"/>
      <c r="I590" s="27"/>
      <c r="L590" s="27"/>
      <c r="O590" s="27"/>
      <c r="R590" s="27"/>
      <c r="U590" s="27"/>
      <c r="X590" s="27"/>
      <c r="AA590" s="27"/>
    </row>
    <row r="591">
      <c r="C591" s="27"/>
      <c r="F591" s="27"/>
      <c r="I591" s="27"/>
      <c r="L591" s="27"/>
      <c r="O591" s="27"/>
      <c r="R591" s="27"/>
      <c r="U591" s="27"/>
      <c r="X591" s="27"/>
      <c r="AA591" s="27"/>
    </row>
    <row r="592">
      <c r="C592" s="27"/>
      <c r="F592" s="27"/>
      <c r="I592" s="27"/>
      <c r="L592" s="27"/>
      <c r="O592" s="27"/>
      <c r="R592" s="27"/>
      <c r="U592" s="27"/>
      <c r="X592" s="27"/>
      <c r="AA592" s="27"/>
    </row>
    <row r="593">
      <c r="C593" s="27"/>
      <c r="F593" s="27"/>
      <c r="I593" s="27"/>
      <c r="L593" s="27"/>
      <c r="O593" s="27"/>
      <c r="R593" s="27"/>
      <c r="U593" s="27"/>
      <c r="X593" s="27"/>
      <c r="AA593" s="27"/>
    </row>
    <row r="594">
      <c r="C594" s="27"/>
      <c r="F594" s="27"/>
      <c r="I594" s="27"/>
      <c r="L594" s="27"/>
      <c r="O594" s="27"/>
      <c r="R594" s="27"/>
      <c r="U594" s="27"/>
      <c r="X594" s="27"/>
      <c r="AA594" s="27"/>
    </row>
    <row r="595">
      <c r="C595" s="27"/>
      <c r="F595" s="27"/>
      <c r="I595" s="27"/>
      <c r="L595" s="27"/>
      <c r="O595" s="27"/>
      <c r="R595" s="27"/>
      <c r="U595" s="27"/>
      <c r="X595" s="27"/>
      <c r="AA595" s="27"/>
    </row>
    <row r="596">
      <c r="C596" s="27"/>
      <c r="F596" s="27"/>
      <c r="I596" s="27"/>
      <c r="L596" s="27"/>
      <c r="O596" s="27"/>
      <c r="R596" s="27"/>
      <c r="U596" s="27"/>
      <c r="X596" s="27"/>
      <c r="AA596" s="27"/>
    </row>
    <row r="597">
      <c r="C597" s="27"/>
      <c r="F597" s="27"/>
      <c r="I597" s="27"/>
      <c r="L597" s="27"/>
      <c r="O597" s="27"/>
      <c r="R597" s="27"/>
      <c r="U597" s="27"/>
      <c r="X597" s="27"/>
      <c r="AA597" s="27"/>
    </row>
    <row r="598">
      <c r="C598" s="27"/>
      <c r="F598" s="27"/>
      <c r="I598" s="27"/>
      <c r="L598" s="27"/>
      <c r="O598" s="27"/>
      <c r="R598" s="27"/>
      <c r="U598" s="27"/>
      <c r="X598" s="27"/>
      <c r="AA598" s="27"/>
    </row>
    <row r="599">
      <c r="C599" s="27"/>
      <c r="F599" s="27"/>
      <c r="I599" s="27"/>
      <c r="L599" s="27"/>
      <c r="O599" s="27"/>
      <c r="R599" s="27"/>
      <c r="U599" s="27"/>
      <c r="X599" s="27"/>
      <c r="AA599" s="27"/>
    </row>
    <row r="600">
      <c r="C600" s="27"/>
      <c r="F600" s="27"/>
      <c r="I600" s="27"/>
      <c r="L600" s="27"/>
      <c r="O600" s="27"/>
      <c r="R600" s="27"/>
      <c r="U600" s="27"/>
      <c r="X600" s="27"/>
      <c r="AA600" s="27"/>
    </row>
    <row r="601">
      <c r="C601" s="27"/>
      <c r="F601" s="27"/>
      <c r="I601" s="27"/>
      <c r="L601" s="27"/>
      <c r="O601" s="27"/>
      <c r="R601" s="27"/>
      <c r="U601" s="27"/>
      <c r="X601" s="27"/>
      <c r="AA601" s="27"/>
    </row>
    <row r="602">
      <c r="C602" s="27"/>
      <c r="F602" s="27"/>
      <c r="I602" s="27"/>
      <c r="L602" s="27"/>
      <c r="O602" s="27"/>
      <c r="R602" s="27"/>
      <c r="U602" s="27"/>
      <c r="X602" s="27"/>
      <c r="AA602" s="27"/>
    </row>
    <row r="603">
      <c r="C603" s="27"/>
      <c r="F603" s="27"/>
      <c r="I603" s="27"/>
      <c r="L603" s="27"/>
      <c r="O603" s="27"/>
      <c r="R603" s="27"/>
      <c r="U603" s="27"/>
      <c r="X603" s="27"/>
      <c r="AA603" s="27"/>
    </row>
    <row r="604">
      <c r="C604" s="27"/>
      <c r="F604" s="27"/>
      <c r="I604" s="27"/>
      <c r="L604" s="27"/>
      <c r="O604" s="27"/>
      <c r="R604" s="27"/>
      <c r="U604" s="27"/>
      <c r="X604" s="27"/>
      <c r="AA604" s="27"/>
    </row>
    <row r="605">
      <c r="C605" s="27"/>
      <c r="F605" s="27"/>
      <c r="I605" s="27"/>
      <c r="L605" s="27"/>
      <c r="O605" s="27"/>
      <c r="R605" s="27"/>
      <c r="U605" s="27"/>
      <c r="X605" s="27"/>
      <c r="AA605" s="27"/>
    </row>
    <row r="606">
      <c r="C606" s="27"/>
      <c r="F606" s="27"/>
      <c r="I606" s="27"/>
      <c r="L606" s="27"/>
      <c r="O606" s="27"/>
      <c r="R606" s="27"/>
      <c r="U606" s="27"/>
      <c r="X606" s="27"/>
      <c r="AA606" s="27"/>
    </row>
    <row r="607">
      <c r="C607" s="27"/>
      <c r="F607" s="27"/>
      <c r="I607" s="27"/>
      <c r="L607" s="27"/>
      <c r="O607" s="27"/>
      <c r="R607" s="27"/>
      <c r="U607" s="27"/>
      <c r="X607" s="27"/>
      <c r="AA607" s="27"/>
    </row>
    <row r="608">
      <c r="C608" s="27"/>
      <c r="F608" s="27"/>
      <c r="I608" s="27"/>
      <c r="L608" s="27"/>
      <c r="O608" s="27"/>
      <c r="R608" s="27"/>
      <c r="U608" s="27"/>
      <c r="X608" s="27"/>
      <c r="AA608" s="27"/>
    </row>
    <row r="609">
      <c r="C609" s="27"/>
      <c r="F609" s="27"/>
      <c r="I609" s="27"/>
      <c r="L609" s="27"/>
      <c r="O609" s="27"/>
      <c r="R609" s="27"/>
      <c r="U609" s="27"/>
      <c r="X609" s="27"/>
      <c r="AA609" s="27"/>
    </row>
    <row r="610">
      <c r="C610" s="27"/>
      <c r="F610" s="27"/>
      <c r="I610" s="27"/>
      <c r="L610" s="27"/>
      <c r="O610" s="27"/>
      <c r="R610" s="27"/>
      <c r="U610" s="27"/>
      <c r="X610" s="27"/>
      <c r="AA610" s="27"/>
    </row>
    <row r="611">
      <c r="C611" s="27"/>
      <c r="F611" s="27"/>
      <c r="I611" s="27"/>
      <c r="L611" s="27"/>
      <c r="O611" s="27"/>
      <c r="R611" s="27"/>
      <c r="U611" s="27"/>
      <c r="X611" s="27"/>
      <c r="AA611" s="27"/>
    </row>
    <row r="612">
      <c r="C612" s="27"/>
      <c r="F612" s="27"/>
      <c r="I612" s="27"/>
      <c r="L612" s="27"/>
      <c r="O612" s="27"/>
      <c r="R612" s="27"/>
      <c r="U612" s="27"/>
      <c r="X612" s="27"/>
      <c r="AA612" s="27"/>
    </row>
    <row r="613">
      <c r="C613" s="27"/>
      <c r="F613" s="27"/>
      <c r="I613" s="27"/>
      <c r="L613" s="27"/>
      <c r="O613" s="27"/>
      <c r="R613" s="27"/>
      <c r="U613" s="27"/>
      <c r="X613" s="27"/>
      <c r="AA613" s="27"/>
    </row>
    <row r="614">
      <c r="C614" s="27"/>
      <c r="F614" s="27"/>
      <c r="I614" s="27"/>
      <c r="L614" s="27"/>
      <c r="O614" s="27"/>
      <c r="R614" s="27"/>
      <c r="U614" s="27"/>
      <c r="X614" s="27"/>
      <c r="AA614" s="27"/>
    </row>
    <row r="615">
      <c r="C615" s="27"/>
      <c r="F615" s="27"/>
      <c r="I615" s="27"/>
      <c r="L615" s="27"/>
      <c r="O615" s="27"/>
      <c r="R615" s="27"/>
      <c r="U615" s="27"/>
      <c r="X615" s="27"/>
      <c r="AA615" s="27"/>
    </row>
    <row r="616">
      <c r="C616" s="27"/>
      <c r="F616" s="27"/>
      <c r="I616" s="27"/>
      <c r="L616" s="27"/>
      <c r="O616" s="27"/>
      <c r="R616" s="27"/>
      <c r="U616" s="27"/>
      <c r="X616" s="27"/>
      <c r="AA616" s="27"/>
    </row>
    <row r="617">
      <c r="C617" s="27"/>
      <c r="F617" s="27"/>
      <c r="I617" s="27"/>
      <c r="L617" s="27"/>
      <c r="O617" s="27"/>
      <c r="R617" s="27"/>
      <c r="U617" s="27"/>
      <c r="X617" s="27"/>
      <c r="AA617" s="27"/>
    </row>
    <row r="618">
      <c r="C618" s="27"/>
      <c r="F618" s="27"/>
      <c r="I618" s="27"/>
      <c r="L618" s="27"/>
      <c r="O618" s="27"/>
      <c r="R618" s="27"/>
      <c r="U618" s="27"/>
      <c r="X618" s="27"/>
      <c r="AA618" s="27"/>
    </row>
    <row r="619">
      <c r="C619" s="27"/>
      <c r="F619" s="27"/>
      <c r="I619" s="27"/>
      <c r="L619" s="27"/>
      <c r="O619" s="27"/>
      <c r="R619" s="27"/>
      <c r="U619" s="27"/>
      <c r="X619" s="27"/>
      <c r="AA619" s="27"/>
    </row>
    <row r="620">
      <c r="C620" s="27"/>
      <c r="F620" s="27"/>
      <c r="I620" s="27"/>
      <c r="L620" s="27"/>
      <c r="O620" s="27"/>
      <c r="R620" s="27"/>
      <c r="U620" s="27"/>
      <c r="X620" s="27"/>
      <c r="AA620" s="27"/>
    </row>
    <row r="621">
      <c r="C621" s="27"/>
      <c r="F621" s="27"/>
      <c r="I621" s="27"/>
      <c r="L621" s="27"/>
      <c r="O621" s="27"/>
      <c r="R621" s="27"/>
      <c r="U621" s="27"/>
      <c r="X621" s="27"/>
      <c r="AA621" s="27"/>
    </row>
    <row r="622">
      <c r="C622" s="27"/>
      <c r="F622" s="27"/>
      <c r="I622" s="27"/>
      <c r="L622" s="27"/>
      <c r="O622" s="27"/>
      <c r="R622" s="27"/>
      <c r="U622" s="27"/>
      <c r="X622" s="27"/>
      <c r="AA622" s="27"/>
    </row>
    <row r="623">
      <c r="C623" s="27"/>
      <c r="F623" s="27"/>
      <c r="I623" s="27"/>
      <c r="L623" s="27"/>
      <c r="O623" s="27"/>
      <c r="R623" s="27"/>
      <c r="U623" s="27"/>
      <c r="X623" s="27"/>
      <c r="AA623" s="27"/>
    </row>
    <row r="624">
      <c r="C624" s="27"/>
      <c r="F624" s="27"/>
      <c r="I624" s="27"/>
      <c r="L624" s="27"/>
      <c r="O624" s="27"/>
      <c r="R624" s="27"/>
      <c r="U624" s="27"/>
      <c r="X624" s="27"/>
      <c r="AA624" s="27"/>
    </row>
    <row r="625">
      <c r="C625" s="27"/>
      <c r="F625" s="27"/>
      <c r="I625" s="27"/>
      <c r="L625" s="27"/>
      <c r="O625" s="27"/>
      <c r="R625" s="27"/>
      <c r="U625" s="27"/>
      <c r="X625" s="27"/>
      <c r="AA625" s="27"/>
    </row>
    <row r="626">
      <c r="C626" s="27"/>
      <c r="F626" s="27"/>
      <c r="I626" s="27"/>
      <c r="L626" s="27"/>
      <c r="O626" s="27"/>
      <c r="R626" s="27"/>
      <c r="U626" s="27"/>
      <c r="X626" s="27"/>
      <c r="AA626" s="27"/>
    </row>
    <row r="627">
      <c r="C627" s="27"/>
      <c r="F627" s="27"/>
      <c r="I627" s="27"/>
      <c r="L627" s="27"/>
      <c r="O627" s="27"/>
      <c r="R627" s="27"/>
      <c r="U627" s="27"/>
      <c r="X627" s="27"/>
      <c r="AA627" s="27"/>
    </row>
    <row r="628">
      <c r="C628" s="27"/>
      <c r="F628" s="27"/>
      <c r="I628" s="27"/>
      <c r="L628" s="27"/>
      <c r="O628" s="27"/>
      <c r="R628" s="27"/>
      <c r="U628" s="27"/>
      <c r="X628" s="27"/>
      <c r="AA628" s="27"/>
    </row>
    <row r="629">
      <c r="C629" s="27"/>
      <c r="F629" s="27"/>
      <c r="I629" s="27"/>
      <c r="L629" s="27"/>
      <c r="O629" s="27"/>
      <c r="R629" s="27"/>
      <c r="U629" s="27"/>
      <c r="X629" s="27"/>
      <c r="AA629" s="27"/>
    </row>
    <row r="630">
      <c r="C630" s="27"/>
      <c r="F630" s="27"/>
      <c r="I630" s="27"/>
      <c r="L630" s="27"/>
      <c r="O630" s="27"/>
      <c r="R630" s="27"/>
      <c r="U630" s="27"/>
      <c r="X630" s="27"/>
      <c r="AA630" s="27"/>
    </row>
    <row r="631">
      <c r="C631" s="27"/>
      <c r="F631" s="27"/>
      <c r="I631" s="27"/>
      <c r="L631" s="27"/>
      <c r="O631" s="27"/>
      <c r="R631" s="27"/>
      <c r="U631" s="27"/>
      <c r="X631" s="27"/>
      <c r="AA631" s="27"/>
    </row>
    <row r="632">
      <c r="C632" s="27"/>
      <c r="F632" s="27"/>
      <c r="I632" s="27"/>
      <c r="L632" s="27"/>
      <c r="O632" s="27"/>
      <c r="R632" s="27"/>
      <c r="U632" s="27"/>
      <c r="X632" s="27"/>
      <c r="AA632" s="27"/>
    </row>
    <row r="633">
      <c r="C633" s="27"/>
      <c r="F633" s="27"/>
      <c r="I633" s="27"/>
      <c r="L633" s="27"/>
      <c r="O633" s="27"/>
      <c r="R633" s="27"/>
      <c r="U633" s="27"/>
      <c r="X633" s="27"/>
      <c r="AA633" s="27"/>
    </row>
    <row r="634">
      <c r="C634" s="27"/>
      <c r="F634" s="27"/>
      <c r="I634" s="27"/>
      <c r="L634" s="27"/>
      <c r="O634" s="27"/>
      <c r="R634" s="27"/>
      <c r="U634" s="27"/>
      <c r="X634" s="27"/>
      <c r="AA634" s="27"/>
    </row>
    <row r="635">
      <c r="C635" s="27"/>
      <c r="F635" s="27"/>
      <c r="I635" s="27"/>
      <c r="L635" s="27"/>
      <c r="O635" s="27"/>
      <c r="R635" s="27"/>
      <c r="U635" s="27"/>
      <c r="X635" s="27"/>
      <c r="AA635" s="27"/>
    </row>
    <row r="636">
      <c r="C636" s="27"/>
      <c r="F636" s="27"/>
      <c r="I636" s="27"/>
      <c r="L636" s="27"/>
      <c r="O636" s="27"/>
      <c r="R636" s="27"/>
      <c r="U636" s="27"/>
      <c r="X636" s="27"/>
      <c r="AA636" s="27"/>
    </row>
    <row r="637">
      <c r="C637" s="27"/>
      <c r="F637" s="27"/>
      <c r="I637" s="27"/>
      <c r="L637" s="27"/>
      <c r="O637" s="27"/>
      <c r="R637" s="27"/>
      <c r="U637" s="27"/>
      <c r="X637" s="27"/>
      <c r="AA637" s="27"/>
    </row>
    <row r="638">
      <c r="C638" s="27"/>
      <c r="F638" s="27"/>
      <c r="I638" s="27"/>
      <c r="L638" s="27"/>
      <c r="O638" s="27"/>
      <c r="R638" s="27"/>
      <c r="U638" s="27"/>
      <c r="X638" s="27"/>
      <c r="AA638" s="27"/>
    </row>
    <row r="639">
      <c r="C639" s="27"/>
      <c r="F639" s="27"/>
      <c r="I639" s="27"/>
      <c r="L639" s="27"/>
      <c r="O639" s="27"/>
      <c r="R639" s="27"/>
      <c r="U639" s="27"/>
      <c r="X639" s="27"/>
      <c r="AA639" s="27"/>
    </row>
    <row r="640">
      <c r="C640" s="27"/>
      <c r="F640" s="27"/>
      <c r="I640" s="27"/>
      <c r="L640" s="27"/>
      <c r="O640" s="27"/>
      <c r="R640" s="27"/>
      <c r="U640" s="27"/>
      <c r="X640" s="27"/>
      <c r="AA640" s="27"/>
    </row>
    <row r="641">
      <c r="C641" s="27"/>
      <c r="F641" s="27"/>
      <c r="I641" s="27"/>
      <c r="L641" s="27"/>
      <c r="O641" s="27"/>
      <c r="R641" s="27"/>
      <c r="U641" s="27"/>
      <c r="X641" s="27"/>
      <c r="AA641" s="27"/>
    </row>
    <row r="642">
      <c r="C642" s="27"/>
      <c r="F642" s="27"/>
      <c r="I642" s="27"/>
      <c r="L642" s="27"/>
      <c r="O642" s="27"/>
      <c r="R642" s="27"/>
      <c r="U642" s="27"/>
      <c r="X642" s="27"/>
      <c r="AA642" s="27"/>
    </row>
    <row r="643">
      <c r="C643" s="27"/>
      <c r="F643" s="27"/>
      <c r="I643" s="27"/>
      <c r="L643" s="27"/>
      <c r="O643" s="27"/>
      <c r="R643" s="27"/>
      <c r="U643" s="27"/>
      <c r="X643" s="27"/>
      <c r="AA643" s="27"/>
    </row>
    <row r="644">
      <c r="C644" s="27"/>
      <c r="F644" s="27"/>
      <c r="I644" s="27"/>
      <c r="L644" s="27"/>
      <c r="O644" s="27"/>
      <c r="R644" s="27"/>
      <c r="U644" s="27"/>
      <c r="X644" s="27"/>
      <c r="AA644" s="27"/>
    </row>
    <row r="645">
      <c r="C645" s="27"/>
      <c r="F645" s="27"/>
      <c r="I645" s="27"/>
      <c r="L645" s="27"/>
      <c r="O645" s="27"/>
      <c r="R645" s="27"/>
      <c r="U645" s="27"/>
      <c r="X645" s="27"/>
      <c r="AA645" s="27"/>
    </row>
    <row r="646">
      <c r="C646" s="27"/>
      <c r="F646" s="27"/>
      <c r="I646" s="27"/>
      <c r="L646" s="27"/>
      <c r="O646" s="27"/>
      <c r="R646" s="27"/>
      <c r="U646" s="27"/>
      <c r="X646" s="27"/>
      <c r="AA646" s="27"/>
    </row>
    <row r="647">
      <c r="C647" s="27"/>
      <c r="F647" s="27"/>
      <c r="I647" s="27"/>
      <c r="L647" s="27"/>
      <c r="O647" s="27"/>
      <c r="R647" s="27"/>
      <c r="U647" s="27"/>
      <c r="X647" s="27"/>
      <c r="AA647" s="27"/>
    </row>
    <row r="648">
      <c r="C648" s="27"/>
      <c r="F648" s="27"/>
      <c r="I648" s="27"/>
      <c r="L648" s="27"/>
      <c r="O648" s="27"/>
      <c r="R648" s="27"/>
      <c r="U648" s="27"/>
      <c r="X648" s="27"/>
      <c r="AA648" s="27"/>
    </row>
    <row r="649">
      <c r="C649" s="27"/>
      <c r="F649" s="27"/>
      <c r="I649" s="27"/>
      <c r="L649" s="27"/>
      <c r="O649" s="27"/>
      <c r="R649" s="27"/>
      <c r="U649" s="27"/>
      <c r="X649" s="27"/>
      <c r="AA649" s="27"/>
    </row>
    <row r="650">
      <c r="C650" s="27"/>
      <c r="F650" s="27"/>
      <c r="I650" s="27"/>
      <c r="L650" s="27"/>
      <c r="O650" s="27"/>
      <c r="R650" s="27"/>
      <c r="U650" s="27"/>
      <c r="X650" s="27"/>
      <c r="AA650" s="27"/>
    </row>
    <row r="651">
      <c r="C651" s="27"/>
      <c r="F651" s="27"/>
      <c r="I651" s="27"/>
      <c r="L651" s="27"/>
      <c r="O651" s="27"/>
      <c r="R651" s="27"/>
      <c r="U651" s="27"/>
      <c r="X651" s="27"/>
      <c r="AA651" s="27"/>
    </row>
    <row r="652">
      <c r="C652" s="27"/>
      <c r="F652" s="27"/>
      <c r="I652" s="27"/>
      <c r="L652" s="27"/>
      <c r="O652" s="27"/>
      <c r="R652" s="27"/>
      <c r="U652" s="27"/>
      <c r="X652" s="27"/>
      <c r="AA652" s="27"/>
    </row>
    <row r="653">
      <c r="C653" s="27"/>
      <c r="F653" s="27"/>
      <c r="I653" s="27"/>
      <c r="L653" s="27"/>
      <c r="O653" s="27"/>
      <c r="R653" s="27"/>
      <c r="U653" s="27"/>
      <c r="X653" s="27"/>
      <c r="AA653" s="27"/>
    </row>
    <row r="654">
      <c r="C654" s="27"/>
      <c r="F654" s="27"/>
      <c r="I654" s="27"/>
      <c r="L654" s="27"/>
      <c r="O654" s="27"/>
      <c r="R654" s="27"/>
      <c r="U654" s="27"/>
      <c r="X654" s="27"/>
      <c r="AA654" s="27"/>
    </row>
    <row r="655">
      <c r="C655" s="27"/>
      <c r="F655" s="27"/>
      <c r="I655" s="27"/>
      <c r="L655" s="27"/>
      <c r="O655" s="27"/>
      <c r="R655" s="27"/>
      <c r="U655" s="27"/>
      <c r="X655" s="27"/>
      <c r="AA655" s="27"/>
    </row>
    <row r="656">
      <c r="C656" s="27"/>
      <c r="F656" s="27"/>
      <c r="I656" s="27"/>
      <c r="L656" s="27"/>
      <c r="O656" s="27"/>
      <c r="R656" s="27"/>
      <c r="U656" s="27"/>
      <c r="X656" s="27"/>
      <c r="AA656" s="27"/>
    </row>
    <row r="657">
      <c r="C657" s="27"/>
      <c r="F657" s="27"/>
      <c r="I657" s="27"/>
      <c r="L657" s="27"/>
      <c r="O657" s="27"/>
      <c r="R657" s="27"/>
      <c r="U657" s="27"/>
      <c r="X657" s="27"/>
      <c r="AA657" s="27"/>
    </row>
    <row r="658">
      <c r="C658" s="27"/>
      <c r="F658" s="27"/>
      <c r="I658" s="27"/>
      <c r="L658" s="27"/>
      <c r="O658" s="27"/>
      <c r="R658" s="27"/>
      <c r="U658" s="27"/>
      <c r="X658" s="27"/>
      <c r="AA658" s="27"/>
    </row>
    <row r="659">
      <c r="C659" s="27"/>
      <c r="F659" s="27"/>
      <c r="I659" s="27"/>
      <c r="L659" s="27"/>
      <c r="O659" s="27"/>
      <c r="R659" s="27"/>
      <c r="U659" s="27"/>
      <c r="X659" s="27"/>
      <c r="AA659" s="27"/>
    </row>
    <row r="660">
      <c r="C660" s="27"/>
      <c r="F660" s="27"/>
      <c r="I660" s="27"/>
      <c r="L660" s="27"/>
      <c r="O660" s="27"/>
      <c r="R660" s="27"/>
      <c r="U660" s="27"/>
      <c r="X660" s="27"/>
      <c r="AA660" s="27"/>
    </row>
    <row r="661">
      <c r="C661" s="27"/>
      <c r="F661" s="27"/>
      <c r="I661" s="27"/>
      <c r="L661" s="27"/>
      <c r="O661" s="27"/>
      <c r="R661" s="27"/>
      <c r="U661" s="27"/>
      <c r="X661" s="27"/>
      <c r="AA661" s="27"/>
    </row>
    <row r="662">
      <c r="C662" s="27"/>
      <c r="F662" s="27"/>
      <c r="I662" s="27"/>
      <c r="L662" s="27"/>
      <c r="O662" s="27"/>
      <c r="R662" s="27"/>
      <c r="U662" s="27"/>
      <c r="X662" s="27"/>
      <c r="AA662" s="27"/>
    </row>
    <row r="663">
      <c r="C663" s="27"/>
      <c r="F663" s="27"/>
      <c r="I663" s="27"/>
      <c r="L663" s="27"/>
      <c r="O663" s="27"/>
      <c r="R663" s="27"/>
      <c r="U663" s="27"/>
      <c r="X663" s="27"/>
      <c r="AA663" s="27"/>
    </row>
    <row r="664">
      <c r="C664" s="27"/>
      <c r="F664" s="27"/>
      <c r="I664" s="27"/>
      <c r="L664" s="27"/>
      <c r="O664" s="27"/>
      <c r="R664" s="27"/>
      <c r="U664" s="27"/>
      <c r="X664" s="27"/>
      <c r="AA664" s="27"/>
    </row>
    <row r="665">
      <c r="C665" s="27"/>
      <c r="F665" s="27"/>
      <c r="I665" s="27"/>
      <c r="L665" s="27"/>
      <c r="O665" s="27"/>
      <c r="R665" s="27"/>
      <c r="U665" s="27"/>
      <c r="X665" s="27"/>
      <c r="AA665" s="27"/>
    </row>
    <row r="666">
      <c r="C666" s="27"/>
      <c r="F666" s="27"/>
      <c r="I666" s="27"/>
      <c r="L666" s="27"/>
      <c r="O666" s="27"/>
      <c r="R666" s="27"/>
      <c r="U666" s="27"/>
      <c r="X666" s="27"/>
      <c r="AA666" s="27"/>
    </row>
    <row r="667">
      <c r="C667" s="27"/>
      <c r="F667" s="27"/>
      <c r="I667" s="27"/>
      <c r="L667" s="27"/>
      <c r="O667" s="27"/>
      <c r="R667" s="27"/>
      <c r="U667" s="27"/>
      <c r="X667" s="27"/>
      <c r="AA667" s="27"/>
    </row>
    <row r="668">
      <c r="C668" s="27"/>
      <c r="F668" s="27"/>
      <c r="I668" s="27"/>
      <c r="L668" s="27"/>
      <c r="O668" s="27"/>
      <c r="R668" s="27"/>
      <c r="U668" s="27"/>
      <c r="X668" s="27"/>
      <c r="AA668" s="27"/>
    </row>
    <row r="669">
      <c r="C669" s="27"/>
      <c r="F669" s="27"/>
      <c r="I669" s="27"/>
      <c r="L669" s="27"/>
      <c r="O669" s="27"/>
      <c r="R669" s="27"/>
      <c r="U669" s="27"/>
      <c r="X669" s="27"/>
      <c r="AA669" s="27"/>
    </row>
    <row r="670">
      <c r="C670" s="27"/>
      <c r="F670" s="27"/>
      <c r="I670" s="27"/>
      <c r="L670" s="27"/>
      <c r="O670" s="27"/>
      <c r="R670" s="27"/>
      <c r="U670" s="27"/>
      <c r="X670" s="27"/>
      <c r="AA670" s="27"/>
    </row>
    <row r="671">
      <c r="C671" s="27"/>
      <c r="F671" s="27"/>
      <c r="I671" s="27"/>
      <c r="L671" s="27"/>
      <c r="O671" s="27"/>
      <c r="R671" s="27"/>
      <c r="U671" s="27"/>
      <c r="X671" s="27"/>
      <c r="AA671" s="27"/>
    </row>
    <row r="672">
      <c r="C672" s="27"/>
      <c r="F672" s="27"/>
      <c r="I672" s="27"/>
      <c r="L672" s="27"/>
      <c r="O672" s="27"/>
      <c r="R672" s="27"/>
      <c r="U672" s="27"/>
      <c r="X672" s="27"/>
      <c r="AA672" s="27"/>
    </row>
    <row r="673">
      <c r="C673" s="27"/>
      <c r="F673" s="27"/>
      <c r="I673" s="27"/>
      <c r="L673" s="27"/>
      <c r="O673" s="27"/>
      <c r="R673" s="27"/>
      <c r="U673" s="27"/>
      <c r="X673" s="27"/>
      <c r="AA673" s="27"/>
    </row>
    <row r="674">
      <c r="C674" s="27"/>
      <c r="F674" s="27"/>
      <c r="I674" s="27"/>
      <c r="L674" s="27"/>
      <c r="O674" s="27"/>
      <c r="R674" s="27"/>
      <c r="U674" s="27"/>
      <c r="X674" s="27"/>
      <c r="AA674" s="27"/>
    </row>
    <row r="675">
      <c r="C675" s="27"/>
      <c r="F675" s="27"/>
      <c r="I675" s="27"/>
      <c r="L675" s="27"/>
      <c r="O675" s="27"/>
      <c r="R675" s="27"/>
      <c r="U675" s="27"/>
      <c r="X675" s="27"/>
      <c r="AA675" s="27"/>
    </row>
    <row r="676">
      <c r="C676" s="27"/>
      <c r="F676" s="27"/>
      <c r="I676" s="27"/>
      <c r="L676" s="27"/>
      <c r="O676" s="27"/>
      <c r="R676" s="27"/>
      <c r="U676" s="27"/>
      <c r="X676" s="27"/>
      <c r="AA676" s="27"/>
    </row>
    <row r="677">
      <c r="C677" s="27"/>
      <c r="F677" s="27"/>
      <c r="I677" s="27"/>
      <c r="L677" s="27"/>
      <c r="O677" s="27"/>
      <c r="R677" s="27"/>
      <c r="U677" s="27"/>
      <c r="X677" s="27"/>
      <c r="AA677" s="27"/>
    </row>
    <row r="678">
      <c r="C678" s="27"/>
      <c r="F678" s="27"/>
      <c r="I678" s="27"/>
      <c r="L678" s="27"/>
      <c r="O678" s="27"/>
      <c r="R678" s="27"/>
      <c r="U678" s="27"/>
      <c r="X678" s="27"/>
      <c r="AA678" s="27"/>
    </row>
    <row r="679">
      <c r="C679" s="27"/>
      <c r="F679" s="27"/>
      <c r="I679" s="27"/>
      <c r="L679" s="27"/>
      <c r="O679" s="27"/>
      <c r="R679" s="27"/>
      <c r="U679" s="27"/>
      <c r="X679" s="27"/>
      <c r="AA679" s="27"/>
    </row>
    <row r="680">
      <c r="C680" s="27"/>
      <c r="F680" s="27"/>
      <c r="I680" s="27"/>
      <c r="L680" s="27"/>
      <c r="O680" s="27"/>
      <c r="R680" s="27"/>
      <c r="U680" s="27"/>
      <c r="X680" s="27"/>
      <c r="AA680" s="27"/>
    </row>
    <row r="681">
      <c r="C681" s="27"/>
      <c r="F681" s="27"/>
      <c r="I681" s="27"/>
      <c r="L681" s="27"/>
      <c r="O681" s="27"/>
      <c r="R681" s="27"/>
      <c r="U681" s="27"/>
      <c r="X681" s="27"/>
      <c r="AA681" s="27"/>
    </row>
    <row r="682">
      <c r="C682" s="27"/>
      <c r="F682" s="27"/>
      <c r="I682" s="27"/>
      <c r="L682" s="27"/>
      <c r="O682" s="27"/>
      <c r="R682" s="27"/>
      <c r="U682" s="27"/>
      <c r="X682" s="27"/>
      <c r="AA682" s="27"/>
    </row>
    <row r="683">
      <c r="C683" s="27"/>
      <c r="F683" s="27"/>
      <c r="I683" s="27"/>
      <c r="L683" s="27"/>
      <c r="O683" s="27"/>
      <c r="R683" s="27"/>
      <c r="U683" s="27"/>
      <c r="X683" s="27"/>
      <c r="AA683" s="27"/>
    </row>
    <row r="684">
      <c r="C684" s="27"/>
      <c r="F684" s="27"/>
      <c r="I684" s="27"/>
      <c r="L684" s="27"/>
      <c r="O684" s="27"/>
      <c r="R684" s="27"/>
      <c r="U684" s="27"/>
      <c r="X684" s="27"/>
      <c r="AA684" s="27"/>
    </row>
    <row r="685">
      <c r="C685" s="27"/>
      <c r="F685" s="27"/>
      <c r="I685" s="27"/>
      <c r="L685" s="27"/>
      <c r="O685" s="27"/>
      <c r="R685" s="27"/>
      <c r="U685" s="27"/>
      <c r="X685" s="27"/>
      <c r="AA685" s="27"/>
    </row>
    <row r="686">
      <c r="C686" s="27"/>
      <c r="F686" s="27"/>
      <c r="I686" s="27"/>
      <c r="L686" s="27"/>
      <c r="O686" s="27"/>
      <c r="R686" s="27"/>
      <c r="U686" s="27"/>
      <c r="X686" s="27"/>
      <c r="AA686" s="27"/>
    </row>
    <row r="687">
      <c r="C687" s="27"/>
      <c r="F687" s="27"/>
      <c r="I687" s="27"/>
      <c r="L687" s="27"/>
      <c r="O687" s="27"/>
      <c r="R687" s="27"/>
      <c r="U687" s="27"/>
      <c r="X687" s="27"/>
      <c r="AA687" s="27"/>
    </row>
    <row r="688">
      <c r="C688" s="27"/>
      <c r="F688" s="27"/>
      <c r="I688" s="27"/>
      <c r="L688" s="27"/>
      <c r="O688" s="27"/>
      <c r="R688" s="27"/>
      <c r="U688" s="27"/>
      <c r="X688" s="27"/>
      <c r="AA688" s="27"/>
    </row>
    <row r="689">
      <c r="C689" s="27"/>
      <c r="F689" s="27"/>
      <c r="I689" s="27"/>
      <c r="L689" s="27"/>
      <c r="O689" s="27"/>
      <c r="R689" s="27"/>
      <c r="U689" s="27"/>
      <c r="X689" s="27"/>
      <c r="AA689" s="27"/>
    </row>
    <row r="690">
      <c r="C690" s="27"/>
      <c r="F690" s="27"/>
      <c r="I690" s="27"/>
      <c r="L690" s="27"/>
      <c r="O690" s="27"/>
      <c r="R690" s="27"/>
      <c r="U690" s="27"/>
      <c r="X690" s="27"/>
      <c r="AA690" s="27"/>
    </row>
    <row r="691">
      <c r="C691" s="27"/>
      <c r="F691" s="27"/>
      <c r="I691" s="27"/>
      <c r="L691" s="27"/>
      <c r="O691" s="27"/>
      <c r="R691" s="27"/>
      <c r="U691" s="27"/>
      <c r="X691" s="27"/>
      <c r="AA691" s="27"/>
    </row>
    <row r="692">
      <c r="C692" s="27"/>
      <c r="F692" s="27"/>
      <c r="I692" s="27"/>
      <c r="L692" s="27"/>
      <c r="O692" s="27"/>
      <c r="R692" s="27"/>
      <c r="U692" s="27"/>
      <c r="X692" s="27"/>
      <c r="AA692" s="27"/>
    </row>
    <row r="693">
      <c r="C693" s="27"/>
      <c r="F693" s="27"/>
      <c r="I693" s="27"/>
      <c r="L693" s="27"/>
      <c r="O693" s="27"/>
      <c r="R693" s="27"/>
      <c r="U693" s="27"/>
      <c r="X693" s="27"/>
      <c r="AA693" s="27"/>
    </row>
    <row r="694">
      <c r="C694" s="27"/>
      <c r="F694" s="27"/>
      <c r="I694" s="27"/>
      <c r="L694" s="27"/>
      <c r="O694" s="27"/>
      <c r="R694" s="27"/>
      <c r="U694" s="27"/>
      <c r="X694" s="27"/>
      <c r="AA694" s="27"/>
    </row>
    <row r="695">
      <c r="C695" s="27"/>
      <c r="F695" s="27"/>
      <c r="I695" s="27"/>
      <c r="L695" s="27"/>
      <c r="O695" s="27"/>
      <c r="R695" s="27"/>
      <c r="U695" s="27"/>
      <c r="X695" s="27"/>
      <c r="AA695" s="27"/>
    </row>
    <row r="696">
      <c r="C696" s="27"/>
      <c r="F696" s="27"/>
      <c r="I696" s="27"/>
      <c r="L696" s="27"/>
      <c r="O696" s="27"/>
      <c r="R696" s="27"/>
      <c r="U696" s="27"/>
      <c r="X696" s="27"/>
      <c r="AA696" s="27"/>
    </row>
    <row r="697">
      <c r="C697" s="27"/>
      <c r="F697" s="27"/>
      <c r="I697" s="27"/>
      <c r="L697" s="27"/>
      <c r="O697" s="27"/>
      <c r="R697" s="27"/>
      <c r="U697" s="27"/>
      <c r="X697" s="27"/>
      <c r="AA697" s="27"/>
    </row>
    <row r="698">
      <c r="C698" s="27"/>
      <c r="F698" s="27"/>
      <c r="I698" s="27"/>
      <c r="L698" s="27"/>
      <c r="O698" s="27"/>
      <c r="R698" s="27"/>
      <c r="U698" s="27"/>
      <c r="X698" s="27"/>
      <c r="AA698" s="27"/>
    </row>
    <row r="699">
      <c r="C699" s="27"/>
      <c r="F699" s="27"/>
      <c r="I699" s="27"/>
      <c r="L699" s="27"/>
      <c r="O699" s="27"/>
      <c r="R699" s="27"/>
      <c r="U699" s="27"/>
      <c r="X699" s="27"/>
      <c r="AA699" s="27"/>
    </row>
    <row r="700">
      <c r="C700" s="27"/>
      <c r="F700" s="27"/>
      <c r="I700" s="27"/>
      <c r="L700" s="27"/>
      <c r="O700" s="27"/>
      <c r="R700" s="27"/>
      <c r="U700" s="27"/>
      <c r="X700" s="27"/>
      <c r="AA700" s="27"/>
    </row>
    <row r="701">
      <c r="C701" s="27"/>
      <c r="F701" s="27"/>
      <c r="I701" s="27"/>
      <c r="L701" s="27"/>
      <c r="O701" s="27"/>
      <c r="R701" s="27"/>
      <c r="U701" s="27"/>
      <c r="X701" s="27"/>
      <c r="AA701" s="27"/>
    </row>
    <row r="702">
      <c r="C702" s="27"/>
      <c r="F702" s="27"/>
      <c r="I702" s="27"/>
      <c r="L702" s="27"/>
      <c r="O702" s="27"/>
      <c r="R702" s="27"/>
      <c r="U702" s="27"/>
      <c r="X702" s="27"/>
      <c r="AA702" s="27"/>
    </row>
    <row r="703">
      <c r="C703" s="27"/>
      <c r="F703" s="27"/>
      <c r="I703" s="27"/>
      <c r="L703" s="27"/>
      <c r="O703" s="27"/>
      <c r="R703" s="27"/>
      <c r="U703" s="27"/>
      <c r="X703" s="27"/>
      <c r="AA703" s="27"/>
    </row>
    <row r="704">
      <c r="C704" s="27"/>
      <c r="F704" s="27"/>
      <c r="I704" s="27"/>
      <c r="L704" s="27"/>
      <c r="O704" s="27"/>
      <c r="R704" s="27"/>
      <c r="U704" s="27"/>
      <c r="X704" s="27"/>
      <c r="AA704" s="27"/>
    </row>
    <row r="705">
      <c r="C705" s="27"/>
      <c r="F705" s="27"/>
      <c r="I705" s="27"/>
      <c r="L705" s="27"/>
      <c r="O705" s="27"/>
      <c r="R705" s="27"/>
      <c r="U705" s="27"/>
      <c r="X705" s="27"/>
      <c r="AA705" s="27"/>
    </row>
    <row r="706">
      <c r="C706" s="27"/>
      <c r="F706" s="27"/>
      <c r="I706" s="27"/>
      <c r="L706" s="27"/>
      <c r="O706" s="27"/>
      <c r="R706" s="27"/>
      <c r="U706" s="27"/>
      <c r="X706" s="27"/>
      <c r="AA706" s="27"/>
    </row>
    <row r="707">
      <c r="C707" s="27"/>
      <c r="F707" s="27"/>
      <c r="I707" s="27"/>
      <c r="L707" s="27"/>
      <c r="O707" s="27"/>
      <c r="R707" s="27"/>
      <c r="U707" s="27"/>
      <c r="X707" s="27"/>
      <c r="AA707" s="27"/>
    </row>
    <row r="708">
      <c r="C708" s="27"/>
      <c r="F708" s="27"/>
      <c r="I708" s="27"/>
      <c r="L708" s="27"/>
      <c r="O708" s="27"/>
      <c r="R708" s="27"/>
      <c r="U708" s="27"/>
      <c r="X708" s="27"/>
      <c r="AA708" s="27"/>
    </row>
    <row r="709">
      <c r="C709" s="27"/>
      <c r="F709" s="27"/>
      <c r="I709" s="27"/>
      <c r="L709" s="27"/>
      <c r="O709" s="27"/>
      <c r="R709" s="27"/>
      <c r="U709" s="27"/>
      <c r="X709" s="27"/>
      <c r="AA709" s="27"/>
    </row>
    <row r="710">
      <c r="C710" s="27"/>
      <c r="F710" s="27"/>
      <c r="I710" s="27"/>
      <c r="L710" s="27"/>
      <c r="O710" s="27"/>
      <c r="R710" s="27"/>
      <c r="U710" s="27"/>
      <c r="X710" s="27"/>
      <c r="AA710" s="27"/>
    </row>
    <row r="711">
      <c r="C711" s="27"/>
      <c r="F711" s="27"/>
      <c r="I711" s="27"/>
      <c r="L711" s="27"/>
      <c r="O711" s="27"/>
      <c r="R711" s="27"/>
      <c r="U711" s="27"/>
      <c r="X711" s="27"/>
      <c r="AA711" s="27"/>
    </row>
    <row r="712">
      <c r="C712" s="27"/>
      <c r="F712" s="27"/>
      <c r="I712" s="27"/>
      <c r="L712" s="27"/>
      <c r="O712" s="27"/>
      <c r="R712" s="27"/>
      <c r="U712" s="27"/>
      <c r="X712" s="27"/>
      <c r="AA712" s="27"/>
    </row>
    <row r="713">
      <c r="C713" s="27"/>
      <c r="F713" s="27"/>
      <c r="I713" s="27"/>
      <c r="L713" s="27"/>
      <c r="O713" s="27"/>
      <c r="R713" s="27"/>
      <c r="U713" s="27"/>
      <c r="X713" s="27"/>
      <c r="AA713" s="27"/>
    </row>
    <row r="714">
      <c r="C714" s="27"/>
      <c r="F714" s="27"/>
      <c r="I714" s="27"/>
      <c r="L714" s="27"/>
      <c r="O714" s="27"/>
      <c r="R714" s="27"/>
      <c r="U714" s="27"/>
      <c r="X714" s="27"/>
      <c r="AA714" s="27"/>
    </row>
    <row r="715">
      <c r="C715" s="27"/>
      <c r="F715" s="27"/>
      <c r="I715" s="27"/>
      <c r="L715" s="27"/>
      <c r="O715" s="27"/>
      <c r="R715" s="27"/>
      <c r="U715" s="27"/>
      <c r="X715" s="27"/>
      <c r="AA715" s="27"/>
    </row>
    <row r="716">
      <c r="C716" s="27"/>
      <c r="F716" s="27"/>
      <c r="I716" s="27"/>
      <c r="L716" s="27"/>
      <c r="O716" s="27"/>
      <c r="R716" s="27"/>
      <c r="U716" s="27"/>
      <c r="X716" s="27"/>
      <c r="AA716" s="27"/>
    </row>
    <row r="717">
      <c r="C717" s="27"/>
      <c r="F717" s="27"/>
      <c r="I717" s="27"/>
      <c r="L717" s="27"/>
      <c r="O717" s="27"/>
      <c r="R717" s="27"/>
      <c r="U717" s="27"/>
      <c r="X717" s="27"/>
      <c r="AA717" s="27"/>
    </row>
    <row r="718">
      <c r="C718" s="27"/>
      <c r="F718" s="27"/>
      <c r="I718" s="27"/>
      <c r="L718" s="27"/>
      <c r="O718" s="27"/>
      <c r="R718" s="27"/>
      <c r="U718" s="27"/>
      <c r="X718" s="27"/>
      <c r="AA718" s="27"/>
    </row>
    <row r="719">
      <c r="C719" s="27"/>
      <c r="F719" s="27"/>
      <c r="I719" s="27"/>
      <c r="L719" s="27"/>
      <c r="O719" s="27"/>
      <c r="R719" s="27"/>
      <c r="U719" s="27"/>
      <c r="X719" s="27"/>
      <c r="AA719" s="27"/>
    </row>
    <row r="720">
      <c r="C720" s="27"/>
      <c r="F720" s="27"/>
      <c r="I720" s="27"/>
      <c r="L720" s="27"/>
      <c r="O720" s="27"/>
      <c r="R720" s="27"/>
      <c r="U720" s="27"/>
      <c r="X720" s="27"/>
      <c r="AA720" s="27"/>
    </row>
    <row r="721">
      <c r="C721" s="27"/>
      <c r="F721" s="27"/>
      <c r="I721" s="27"/>
      <c r="L721" s="27"/>
      <c r="O721" s="27"/>
      <c r="R721" s="27"/>
      <c r="U721" s="27"/>
      <c r="X721" s="27"/>
      <c r="AA721" s="27"/>
    </row>
    <row r="722">
      <c r="C722" s="27"/>
      <c r="F722" s="27"/>
      <c r="I722" s="27"/>
      <c r="L722" s="27"/>
      <c r="O722" s="27"/>
      <c r="R722" s="27"/>
      <c r="U722" s="27"/>
      <c r="X722" s="27"/>
      <c r="AA722" s="27"/>
    </row>
    <row r="723">
      <c r="C723" s="27"/>
      <c r="F723" s="27"/>
      <c r="I723" s="27"/>
      <c r="L723" s="27"/>
      <c r="O723" s="27"/>
      <c r="R723" s="27"/>
      <c r="U723" s="27"/>
      <c r="X723" s="27"/>
      <c r="AA723" s="27"/>
    </row>
    <row r="724">
      <c r="C724" s="27"/>
      <c r="F724" s="27"/>
      <c r="I724" s="27"/>
      <c r="L724" s="27"/>
      <c r="O724" s="27"/>
      <c r="R724" s="27"/>
      <c r="U724" s="27"/>
      <c r="X724" s="27"/>
      <c r="AA724" s="27"/>
    </row>
    <row r="725">
      <c r="C725" s="27"/>
      <c r="F725" s="27"/>
      <c r="I725" s="27"/>
      <c r="L725" s="27"/>
      <c r="O725" s="27"/>
      <c r="R725" s="27"/>
      <c r="U725" s="27"/>
      <c r="X725" s="27"/>
      <c r="AA725" s="27"/>
    </row>
    <row r="726">
      <c r="C726" s="27"/>
      <c r="F726" s="27"/>
      <c r="I726" s="27"/>
      <c r="L726" s="27"/>
      <c r="O726" s="27"/>
      <c r="R726" s="27"/>
      <c r="U726" s="27"/>
      <c r="X726" s="27"/>
      <c r="AA726" s="27"/>
    </row>
    <row r="727">
      <c r="C727" s="27"/>
      <c r="F727" s="27"/>
      <c r="I727" s="27"/>
      <c r="L727" s="27"/>
      <c r="O727" s="27"/>
      <c r="R727" s="27"/>
      <c r="U727" s="27"/>
      <c r="X727" s="27"/>
      <c r="AA727" s="27"/>
    </row>
    <row r="728">
      <c r="C728" s="27"/>
      <c r="F728" s="27"/>
      <c r="I728" s="27"/>
      <c r="L728" s="27"/>
      <c r="O728" s="27"/>
      <c r="R728" s="27"/>
      <c r="U728" s="27"/>
      <c r="X728" s="27"/>
      <c r="AA728" s="27"/>
    </row>
    <row r="729">
      <c r="C729" s="27"/>
      <c r="F729" s="27"/>
      <c r="I729" s="27"/>
      <c r="L729" s="27"/>
      <c r="O729" s="27"/>
      <c r="R729" s="27"/>
      <c r="U729" s="27"/>
      <c r="X729" s="27"/>
      <c r="AA729" s="27"/>
    </row>
    <row r="730">
      <c r="C730" s="27"/>
      <c r="F730" s="27"/>
      <c r="I730" s="27"/>
      <c r="L730" s="27"/>
      <c r="O730" s="27"/>
      <c r="R730" s="27"/>
      <c r="U730" s="27"/>
      <c r="X730" s="27"/>
      <c r="AA730" s="27"/>
    </row>
    <row r="731">
      <c r="C731" s="27"/>
      <c r="F731" s="27"/>
      <c r="I731" s="27"/>
      <c r="L731" s="27"/>
      <c r="O731" s="27"/>
      <c r="R731" s="27"/>
      <c r="U731" s="27"/>
      <c r="X731" s="27"/>
      <c r="AA731" s="27"/>
    </row>
    <row r="732">
      <c r="C732" s="27"/>
      <c r="F732" s="27"/>
      <c r="I732" s="27"/>
      <c r="L732" s="27"/>
      <c r="O732" s="27"/>
      <c r="R732" s="27"/>
      <c r="U732" s="27"/>
      <c r="X732" s="27"/>
      <c r="AA732" s="27"/>
    </row>
    <row r="733">
      <c r="C733" s="27"/>
      <c r="F733" s="27"/>
      <c r="I733" s="27"/>
      <c r="L733" s="27"/>
      <c r="O733" s="27"/>
      <c r="R733" s="27"/>
      <c r="U733" s="27"/>
      <c r="X733" s="27"/>
      <c r="AA733" s="27"/>
    </row>
    <row r="734">
      <c r="C734" s="27"/>
      <c r="F734" s="27"/>
      <c r="I734" s="27"/>
      <c r="L734" s="27"/>
      <c r="O734" s="27"/>
      <c r="R734" s="27"/>
      <c r="U734" s="27"/>
      <c r="X734" s="27"/>
      <c r="AA734" s="27"/>
    </row>
    <row r="735">
      <c r="C735" s="27"/>
      <c r="F735" s="27"/>
      <c r="I735" s="27"/>
      <c r="L735" s="27"/>
      <c r="O735" s="27"/>
      <c r="R735" s="27"/>
      <c r="U735" s="27"/>
      <c r="X735" s="27"/>
      <c r="AA735" s="27"/>
    </row>
    <row r="736">
      <c r="C736" s="27"/>
      <c r="F736" s="27"/>
      <c r="I736" s="27"/>
      <c r="L736" s="27"/>
      <c r="O736" s="27"/>
      <c r="R736" s="27"/>
      <c r="U736" s="27"/>
      <c r="X736" s="27"/>
      <c r="AA736" s="27"/>
    </row>
    <row r="737">
      <c r="C737" s="27"/>
      <c r="F737" s="27"/>
      <c r="I737" s="27"/>
      <c r="L737" s="27"/>
      <c r="O737" s="27"/>
      <c r="R737" s="27"/>
      <c r="U737" s="27"/>
      <c r="X737" s="27"/>
      <c r="AA737" s="27"/>
    </row>
    <row r="738">
      <c r="C738" s="27"/>
      <c r="F738" s="27"/>
      <c r="I738" s="27"/>
      <c r="L738" s="27"/>
      <c r="O738" s="27"/>
      <c r="R738" s="27"/>
      <c r="U738" s="27"/>
      <c r="X738" s="27"/>
      <c r="AA738" s="27"/>
    </row>
    <row r="739">
      <c r="C739" s="27"/>
      <c r="F739" s="27"/>
      <c r="I739" s="27"/>
      <c r="L739" s="27"/>
      <c r="O739" s="27"/>
      <c r="R739" s="27"/>
      <c r="U739" s="27"/>
      <c r="X739" s="27"/>
      <c r="AA739" s="27"/>
    </row>
    <row r="740">
      <c r="C740" s="27"/>
      <c r="F740" s="27"/>
      <c r="I740" s="27"/>
      <c r="L740" s="27"/>
      <c r="O740" s="27"/>
      <c r="R740" s="27"/>
      <c r="U740" s="27"/>
      <c r="X740" s="27"/>
      <c r="AA740" s="27"/>
    </row>
    <row r="741">
      <c r="C741" s="27"/>
      <c r="F741" s="27"/>
      <c r="I741" s="27"/>
      <c r="L741" s="27"/>
      <c r="O741" s="27"/>
      <c r="R741" s="27"/>
      <c r="U741" s="27"/>
      <c r="X741" s="27"/>
      <c r="AA741" s="27"/>
    </row>
    <row r="742">
      <c r="C742" s="27"/>
      <c r="F742" s="27"/>
      <c r="I742" s="27"/>
      <c r="L742" s="27"/>
      <c r="O742" s="27"/>
      <c r="R742" s="27"/>
      <c r="U742" s="27"/>
      <c r="X742" s="27"/>
      <c r="AA742" s="27"/>
    </row>
    <row r="743">
      <c r="C743" s="27"/>
      <c r="F743" s="27"/>
      <c r="I743" s="27"/>
      <c r="L743" s="27"/>
      <c r="O743" s="27"/>
      <c r="R743" s="27"/>
      <c r="U743" s="27"/>
      <c r="X743" s="27"/>
      <c r="AA743" s="27"/>
    </row>
    <row r="744">
      <c r="C744" s="27"/>
      <c r="F744" s="27"/>
      <c r="I744" s="27"/>
      <c r="L744" s="27"/>
      <c r="O744" s="27"/>
      <c r="R744" s="27"/>
      <c r="U744" s="27"/>
      <c r="X744" s="27"/>
      <c r="AA744" s="27"/>
    </row>
    <row r="745">
      <c r="C745" s="27"/>
      <c r="F745" s="27"/>
      <c r="I745" s="27"/>
      <c r="L745" s="27"/>
      <c r="O745" s="27"/>
      <c r="R745" s="27"/>
      <c r="U745" s="27"/>
      <c r="X745" s="27"/>
      <c r="AA745" s="27"/>
    </row>
    <row r="746">
      <c r="C746" s="27"/>
      <c r="F746" s="27"/>
      <c r="I746" s="27"/>
      <c r="L746" s="27"/>
      <c r="O746" s="27"/>
      <c r="R746" s="27"/>
      <c r="U746" s="27"/>
      <c r="X746" s="27"/>
      <c r="AA746" s="27"/>
    </row>
    <row r="747">
      <c r="C747" s="27"/>
      <c r="F747" s="27"/>
      <c r="I747" s="27"/>
      <c r="L747" s="27"/>
      <c r="O747" s="27"/>
      <c r="R747" s="27"/>
      <c r="U747" s="27"/>
      <c r="X747" s="27"/>
      <c r="AA747" s="27"/>
    </row>
    <row r="748">
      <c r="C748" s="27"/>
      <c r="F748" s="27"/>
      <c r="I748" s="27"/>
      <c r="L748" s="27"/>
      <c r="O748" s="27"/>
      <c r="R748" s="27"/>
      <c r="U748" s="27"/>
      <c r="X748" s="27"/>
      <c r="AA748" s="27"/>
    </row>
    <row r="749">
      <c r="C749" s="27"/>
      <c r="F749" s="27"/>
      <c r="I749" s="27"/>
      <c r="L749" s="27"/>
      <c r="O749" s="27"/>
      <c r="R749" s="27"/>
      <c r="U749" s="27"/>
      <c r="X749" s="27"/>
      <c r="AA749" s="27"/>
    </row>
    <row r="750">
      <c r="C750" s="27"/>
      <c r="F750" s="27"/>
      <c r="I750" s="27"/>
      <c r="L750" s="27"/>
      <c r="O750" s="27"/>
      <c r="R750" s="27"/>
      <c r="U750" s="27"/>
      <c r="X750" s="27"/>
      <c r="AA750" s="27"/>
    </row>
    <row r="751">
      <c r="C751" s="27"/>
      <c r="F751" s="27"/>
      <c r="I751" s="27"/>
      <c r="L751" s="27"/>
      <c r="O751" s="27"/>
      <c r="R751" s="27"/>
      <c r="U751" s="27"/>
      <c r="X751" s="27"/>
      <c r="AA751" s="27"/>
    </row>
    <row r="752">
      <c r="C752" s="27"/>
      <c r="F752" s="27"/>
      <c r="I752" s="27"/>
      <c r="L752" s="27"/>
      <c r="O752" s="27"/>
      <c r="R752" s="27"/>
      <c r="U752" s="27"/>
      <c r="X752" s="27"/>
      <c r="AA752" s="27"/>
    </row>
    <row r="753">
      <c r="C753" s="27"/>
      <c r="F753" s="27"/>
      <c r="I753" s="27"/>
      <c r="L753" s="27"/>
      <c r="O753" s="27"/>
      <c r="R753" s="27"/>
      <c r="U753" s="27"/>
      <c r="X753" s="27"/>
      <c r="AA753" s="27"/>
    </row>
    <row r="754">
      <c r="C754" s="27"/>
      <c r="F754" s="27"/>
      <c r="I754" s="27"/>
      <c r="L754" s="27"/>
      <c r="O754" s="27"/>
      <c r="R754" s="27"/>
      <c r="U754" s="27"/>
      <c r="X754" s="27"/>
      <c r="AA754" s="27"/>
    </row>
    <row r="755">
      <c r="C755" s="27"/>
      <c r="F755" s="27"/>
      <c r="I755" s="27"/>
      <c r="L755" s="27"/>
      <c r="O755" s="27"/>
      <c r="R755" s="27"/>
      <c r="U755" s="27"/>
      <c r="X755" s="27"/>
      <c r="AA755" s="27"/>
    </row>
    <row r="756">
      <c r="C756" s="27"/>
      <c r="F756" s="27"/>
      <c r="I756" s="27"/>
      <c r="L756" s="27"/>
      <c r="O756" s="27"/>
      <c r="R756" s="27"/>
      <c r="U756" s="27"/>
      <c r="X756" s="27"/>
      <c r="AA756" s="27"/>
    </row>
    <row r="757">
      <c r="C757" s="27"/>
      <c r="F757" s="27"/>
      <c r="I757" s="27"/>
      <c r="L757" s="27"/>
      <c r="O757" s="27"/>
      <c r="R757" s="27"/>
      <c r="U757" s="27"/>
      <c r="X757" s="27"/>
      <c r="AA757" s="27"/>
    </row>
    <row r="758">
      <c r="C758" s="27"/>
      <c r="F758" s="27"/>
      <c r="I758" s="27"/>
      <c r="L758" s="27"/>
      <c r="O758" s="27"/>
      <c r="R758" s="27"/>
      <c r="U758" s="27"/>
      <c r="X758" s="27"/>
      <c r="AA758" s="27"/>
    </row>
    <row r="759">
      <c r="C759" s="27"/>
      <c r="F759" s="27"/>
      <c r="I759" s="27"/>
      <c r="L759" s="27"/>
      <c r="O759" s="27"/>
      <c r="R759" s="27"/>
      <c r="U759" s="27"/>
      <c r="X759" s="27"/>
      <c r="AA759" s="27"/>
    </row>
    <row r="760">
      <c r="C760" s="27"/>
      <c r="F760" s="27"/>
      <c r="I760" s="27"/>
      <c r="L760" s="27"/>
      <c r="O760" s="27"/>
      <c r="R760" s="27"/>
      <c r="U760" s="27"/>
      <c r="X760" s="27"/>
      <c r="AA760" s="27"/>
    </row>
    <row r="761">
      <c r="C761" s="27"/>
      <c r="F761" s="27"/>
      <c r="I761" s="27"/>
      <c r="L761" s="27"/>
      <c r="O761" s="27"/>
      <c r="R761" s="27"/>
      <c r="U761" s="27"/>
      <c r="X761" s="27"/>
      <c r="AA761" s="27"/>
    </row>
    <row r="762">
      <c r="C762" s="27"/>
      <c r="F762" s="27"/>
      <c r="I762" s="27"/>
      <c r="L762" s="27"/>
      <c r="O762" s="27"/>
      <c r="R762" s="27"/>
      <c r="U762" s="27"/>
      <c r="X762" s="27"/>
      <c r="AA762" s="27"/>
    </row>
    <row r="763">
      <c r="C763" s="27"/>
      <c r="F763" s="27"/>
      <c r="I763" s="27"/>
      <c r="L763" s="27"/>
      <c r="O763" s="27"/>
      <c r="R763" s="27"/>
      <c r="U763" s="27"/>
      <c r="X763" s="27"/>
      <c r="AA763" s="27"/>
    </row>
    <row r="764">
      <c r="C764" s="27"/>
      <c r="F764" s="27"/>
      <c r="I764" s="27"/>
      <c r="L764" s="27"/>
      <c r="O764" s="27"/>
      <c r="R764" s="27"/>
      <c r="U764" s="27"/>
      <c r="X764" s="27"/>
      <c r="AA764" s="27"/>
    </row>
    <row r="765">
      <c r="C765" s="27"/>
      <c r="F765" s="27"/>
      <c r="I765" s="27"/>
      <c r="L765" s="27"/>
      <c r="O765" s="27"/>
      <c r="R765" s="27"/>
      <c r="U765" s="27"/>
      <c r="X765" s="27"/>
      <c r="AA765" s="27"/>
    </row>
    <row r="766">
      <c r="C766" s="27"/>
      <c r="F766" s="27"/>
      <c r="I766" s="27"/>
      <c r="L766" s="27"/>
      <c r="O766" s="27"/>
      <c r="R766" s="27"/>
      <c r="U766" s="27"/>
      <c r="X766" s="27"/>
      <c r="AA766" s="27"/>
    </row>
    <row r="767">
      <c r="C767" s="27"/>
      <c r="F767" s="27"/>
      <c r="I767" s="27"/>
      <c r="L767" s="27"/>
      <c r="O767" s="27"/>
      <c r="R767" s="27"/>
      <c r="U767" s="27"/>
      <c r="X767" s="27"/>
      <c r="AA767" s="27"/>
    </row>
    <row r="768">
      <c r="C768" s="27"/>
      <c r="F768" s="27"/>
      <c r="I768" s="27"/>
      <c r="L768" s="27"/>
      <c r="O768" s="27"/>
      <c r="R768" s="27"/>
      <c r="U768" s="27"/>
      <c r="X768" s="27"/>
      <c r="AA768" s="27"/>
    </row>
    <row r="769">
      <c r="C769" s="27"/>
      <c r="F769" s="27"/>
      <c r="I769" s="27"/>
      <c r="L769" s="27"/>
      <c r="O769" s="27"/>
      <c r="R769" s="27"/>
      <c r="U769" s="27"/>
      <c r="X769" s="27"/>
      <c r="AA769" s="27"/>
    </row>
    <row r="770">
      <c r="C770" s="27"/>
      <c r="F770" s="27"/>
      <c r="I770" s="27"/>
      <c r="L770" s="27"/>
      <c r="O770" s="27"/>
      <c r="R770" s="27"/>
      <c r="U770" s="27"/>
      <c r="X770" s="27"/>
      <c r="AA770" s="27"/>
    </row>
    <row r="771">
      <c r="C771" s="27"/>
      <c r="F771" s="27"/>
      <c r="I771" s="27"/>
      <c r="L771" s="27"/>
      <c r="O771" s="27"/>
      <c r="R771" s="27"/>
      <c r="U771" s="27"/>
      <c r="X771" s="27"/>
      <c r="AA771" s="27"/>
    </row>
    <row r="772">
      <c r="C772" s="27"/>
      <c r="F772" s="27"/>
      <c r="I772" s="27"/>
      <c r="L772" s="27"/>
      <c r="O772" s="27"/>
      <c r="R772" s="27"/>
      <c r="U772" s="27"/>
      <c r="X772" s="27"/>
      <c r="AA772" s="27"/>
    </row>
    <row r="773">
      <c r="C773" s="27"/>
      <c r="F773" s="27"/>
      <c r="I773" s="27"/>
      <c r="L773" s="27"/>
      <c r="O773" s="27"/>
      <c r="R773" s="27"/>
      <c r="U773" s="27"/>
      <c r="X773" s="27"/>
      <c r="AA773" s="27"/>
    </row>
    <row r="774">
      <c r="C774" s="27"/>
      <c r="F774" s="27"/>
      <c r="I774" s="27"/>
      <c r="L774" s="27"/>
      <c r="O774" s="27"/>
      <c r="R774" s="27"/>
      <c r="U774" s="27"/>
      <c r="X774" s="27"/>
      <c r="AA774" s="27"/>
    </row>
    <row r="775">
      <c r="C775" s="27"/>
      <c r="F775" s="27"/>
      <c r="I775" s="27"/>
      <c r="L775" s="27"/>
      <c r="O775" s="27"/>
      <c r="R775" s="27"/>
      <c r="U775" s="27"/>
      <c r="X775" s="27"/>
      <c r="AA775" s="27"/>
    </row>
    <row r="776">
      <c r="C776" s="27"/>
      <c r="F776" s="27"/>
      <c r="I776" s="27"/>
      <c r="L776" s="27"/>
      <c r="O776" s="27"/>
      <c r="R776" s="27"/>
      <c r="U776" s="27"/>
      <c r="X776" s="27"/>
      <c r="AA776" s="27"/>
    </row>
    <row r="777">
      <c r="C777" s="27"/>
      <c r="F777" s="27"/>
      <c r="I777" s="27"/>
      <c r="L777" s="27"/>
      <c r="O777" s="27"/>
      <c r="R777" s="27"/>
      <c r="U777" s="27"/>
      <c r="X777" s="27"/>
      <c r="AA777" s="27"/>
    </row>
    <row r="778">
      <c r="C778" s="27"/>
      <c r="F778" s="27"/>
      <c r="I778" s="27"/>
      <c r="L778" s="27"/>
      <c r="O778" s="27"/>
      <c r="R778" s="27"/>
      <c r="U778" s="27"/>
      <c r="X778" s="27"/>
      <c r="AA778" s="27"/>
    </row>
    <row r="779">
      <c r="C779" s="27"/>
      <c r="F779" s="27"/>
      <c r="I779" s="27"/>
      <c r="L779" s="27"/>
      <c r="O779" s="27"/>
      <c r="R779" s="27"/>
      <c r="U779" s="27"/>
      <c r="X779" s="27"/>
      <c r="AA779" s="27"/>
    </row>
    <row r="780">
      <c r="C780" s="27"/>
      <c r="F780" s="27"/>
      <c r="I780" s="27"/>
      <c r="L780" s="27"/>
      <c r="O780" s="27"/>
      <c r="R780" s="27"/>
      <c r="U780" s="27"/>
      <c r="X780" s="27"/>
      <c r="AA780" s="27"/>
    </row>
    <row r="781">
      <c r="C781" s="27"/>
      <c r="F781" s="27"/>
      <c r="I781" s="27"/>
      <c r="L781" s="27"/>
      <c r="O781" s="27"/>
      <c r="R781" s="27"/>
      <c r="U781" s="27"/>
      <c r="X781" s="27"/>
      <c r="AA781" s="27"/>
    </row>
    <row r="782">
      <c r="C782" s="27"/>
      <c r="F782" s="27"/>
      <c r="I782" s="27"/>
      <c r="L782" s="27"/>
      <c r="O782" s="27"/>
      <c r="R782" s="27"/>
      <c r="U782" s="27"/>
      <c r="X782" s="27"/>
      <c r="AA782" s="27"/>
    </row>
    <row r="783">
      <c r="C783" s="27"/>
      <c r="F783" s="27"/>
      <c r="I783" s="27"/>
      <c r="L783" s="27"/>
      <c r="O783" s="27"/>
      <c r="R783" s="27"/>
      <c r="U783" s="27"/>
      <c r="X783" s="27"/>
      <c r="AA783" s="27"/>
    </row>
    <row r="784">
      <c r="C784" s="27"/>
      <c r="F784" s="27"/>
      <c r="I784" s="27"/>
      <c r="L784" s="27"/>
      <c r="O784" s="27"/>
      <c r="R784" s="27"/>
      <c r="U784" s="27"/>
      <c r="X784" s="27"/>
      <c r="AA784" s="27"/>
    </row>
    <row r="785">
      <c r="C785" s="27"/>
      <c r="F785" s="27"/>
      <c r="I785" s="27"/>
      <c r="L785" s="27"/>
      <c r="O785" s="27"/>
      <c r="R785" s="27"/>
      <c r="U785" s="27"/>
      <c r="X785" s="27"/>
      <c r="AA785" s="27"/>
    </row>
    <row r="786">
      <c r="C786" s="27"/>
      <c r="F786" s="27"/>
      <c r="I786" s="27"/>
      <c r="L786" s="27"/>
      <c r="O786" s="27"/>
      <c r="R786" s="27"/>
      <c r="U786" s="27"/>
      <c r="X786" s="27"/>
      <c r="AA786" s="27"/>
    </row>
    <row r="787">
      <c r="C787" s="27"/>
      <c r="F787" s="27"/>
      <c r="I787" s="27"/>
      <c r="L787" s="27"/>
      <c r="O787" s="27"/>
      <c r="R787" s="27"/>
      <c r="U787" s="27"/>
      <c r="X787" s="27"/>
      <c r="AA787" s="27"/>
    </row>
    <row r="788">
      <c r="C788" s="27"/>
      <c r="F788" s="27"/>
      <c r="I788" s="27"/>
      <c r="L788" s="27"/>
      <c r="O788" s="27"/>
      <c r="R788" s="27"/>
      <c r="U788" s="27"/>
      <c r="X788" s="27"/>
      <c r="AA788" s="27"/>
    </row>
    <row r="789">
      <c r="C789" s="27"/>
      <c r="F789" s="27"/>
      <c r="I789" s="27"/>
      <c r="L789" s="27"/>
      <c r="O789" s="27"/>
      <c r="R789" s="27"/>
      <c r="U789" s="27"/>
      <c r="X789" s="27"/>
      <c r="AA789" s="27"/>
    </row>
    <row r="790">
      <c r="C790" s="27"/>
      <c r="F790" s="27"/>
      <c r="I790" s="27"/>
      <c r="L790" s="27"/>
      <c r="O790" s="27"/>
      <c r="R790" s="27"/>
      <c r="U790" s="27"/>
      <c r="X790" s="27"/>
      <c r="AA790" s="27"/>
    </row>
    <row r="791">
      <c r="C791" s="27"/>
      <c r="F791" s="27"/>
      <c r="I791" s="27"/>
      <c r="L791" s="27"/>
      <c r="O791" s="27"/>
      <c r="R791" s="27"/>
      <c r="U791" s="27"/>
      <c r="X791" s="27"/>
      <c r="AA791" s="27"/>
    </row>
    <row r="792">
      <c r="C792" s="27"/>
      <c r="F792" s="27"/>
      <c r="I792" s="27"/>
      <c r="L792" s="27"/>
      <c r="O792" s="27"/>
      <c r="R792" s="27"/>
      <c r="U792" s="27"/>
      <c r="X792" s="27"/>
      <c r="AA792" s="27"/>
    </row>
    <row r="793">
      <c r="C793" s="27"/>
      <c r="F793" s="27"/>
      <c r="I793" s="27"/>
      <c r="L793" s="27"/>
      <c r="O793" s="27"/>
      <c r="R793" s="27"/>
      <c r="U793" s="27"/>
      <c r="X793" s="27"/>
      <c r="AA793" s="27"/>
    </row>
    <row r="794">
      <c r="C794" s="27"/>
      <c r="F794" s="27"/>
      <c r="I794" s="27"/>
      <c r="L794" s="27"/>
      <c r="O794" s="27"/>
      <c r="R794" s="27"/>
      <c r="U794" s="27"/>
      <c r="X794" s="27"/>
      <c r="AA794" s="27"/>
    </row>
    <row r="795">
      <c r="C795" s="27"/>
      <c r="F795" s="27"/>
      <c r="I795" s="27"/>
      <c r="L795" s="27"/>
      <c r="O795" s="27"/>
      <c r="R795" s="27"/>
      <c r="U795" s="27"/>
      <c r="X795" s="27"/>
      <c r="AA795" s="27"/>
    </row>
    <row r="796">
      <c r="C796" s="27"/>
      <c r="F796" s="27"/>
      <c r="I796" s="27"/>
      <c r="L796" s="27"/>
      <c r="O796" s="27"/>
      <c r="R796" s="27"/>
      <c r="U796" s="27"/>
      <c r="X796" s="27"/>
      <c r="AA796" s="27"/>
    </row>
    <row r="797">
      <c r="C797" s="27"/>
      <c r="F797" s="27"/>
      <c r="I797" s="27"/>
      <c r="L797" s="27"/>
      <c r="O797" s="27"/>
      <c r="R797" s="27"/>
      <c r="U797" s="27"/>
      <c r="X797" s="27"/>
      <c r="AA797" s="27"/>
    </row>
    <row r="798">
      <c r="C798" s="27"/>
      <c r="F798" s="27"/>
      <c r="I798" s="27"/>
      <c r="L798" s="27"/>
      <c r="O798" s="27"/>
      <c r="R798" s="27"/>
      <c r="U798" s="27"/>
      <c r="X798" s="27"/>
      <c r="AA798" s="27"/>
    </row>
    <row r="799">
      <c r="C799" s="27"/>
      <c r="F799" s="27"/>
      <c r="I799" s="27"/>
      <c r="L799" s="27"/>
      <c r="O799" s="27"/>
      <c r="R799" s="27"/>
      <c r="U799" s="27"/>
      <c r="X799" s="27"/>
      <c r="AA799" s="27"/>
    </row>
    <row r="800">
      <c r="C800" s="27"/>
      <c r="F800" s="27"/>
      <c r="I800" s="27"/>
      <c r="L800" s="27"/>
      <c r="O800" s="27"/>
      <c r="R800" s="27"/>
      <c r="U800" s="27"/>
      <c r="X800" s="27"/>
      <c r="AA800" s="27"/>
    </row>
    <row r="801">
      <c r="C801" s="27"/>
      <c r="F801" s="27"/>
      <c r="I801" s="27"/>
      <c r="L801" s="27"/>
      <c r="O801" s="27"/>
      <c r="R801" s="27"/>
      <c r="U801" s="27"/>
      <c r="X801" s="27"/>
      <c r="AA801" s="27"/>
    </row>
    <row r="802">
      <c r="C802" s="27"/>
      <c r="F802" s="27"/>
      <c r="I802" s="27"/>
      <c r="L802" s="27"/>
      <c r="O802" s="27"/>
      <c r="R802" s="27"/>
      <c r="U802" s="27"/>
      <c r="X802" s="27"/>
      <c r="AA802" s="27"/>
    </row>
    <row r="803">
      <c r="C803" s="27"/>
      <c r="F803" s="27"/>
      <c r="I803" s="27"/>
      <c r="L803" s="27"/>
      <c r="O803" s="27"/>
      <c r="R803" s="27"/>
      <c r="U803" s="27"/>
      <c r="X803" s="27"/>
      <c r="AA803" s="27"/>
    </row>
    <row r="804">
      <c r="C804" s="27"/>
      <c r="F804" s="27"/>
      <c r="I804" s="27"/>
      <c r="L804" s="27"/>
      <c r="O804" s="27"/>
      <c r="R804" s="27"/>
      <c r="U804" s="27"/>
      <c r="X804" s="27"/>
      <c r="AA804" s="27"/>
    </row>
    <row r="805">
      <c r="C805" s="27"/>
      <c r="F805" s="27"/>
      <c r="I805" s="27"/>
      <c r="L805" s="27"/>
      <c r="O805" s="27"/>
      <c r="R805" s="27"/>
      <c r="U805" s="27"/>
      <c r="X805" s="27"/>
      <c r="AA805" s="27"/>
    </row>
    <row r="806">
      <c r="C806" s="27"/>
      <c r="F806" s="27"/>
      <c r="I806" s="27"/>
      <c r="L806" s="27"/>
      <c r="O806" s="27"/>
      <c r="R806" s="27"/>
      <c r="U806" s="27"/>
      <c r="X806" s="27"/>
      <c r="AA806" s="27"/>
    </row>
    <row r="807">
      <c r="C807" s="27"/>
      <c r="F807" s="27"/>
      <c r="I807" s="27"/>
      <c r="L807" s="27"/>
      <c r="O807" s="27"/>
      <c r="R807" s="27"/>
      <c r="U807" s="27"/>
      <c r="X807" s="27"/>
      <c r="AA807" s="27"/>
    </row>
    <row r="808">
      <c r="C808" s="27"/>
      <c r="F808" s="27"/>
      <c r="I808" s="27"/>
      <c r="L808" s="27"/>
      <c r="O808" s="27"/>
      <c r="R808" s="27"/>
      <c r="U808" s="27"/>
      <c r="X808" s="27"/>
      <c r="AA808" s="27"/>
    </row>
    <row r="809">
      <c r="C809" s="27"/>
      <c r="F809" s="27"/>
      <c r="I809" s="27"/>
      <c r="L809" s="27"/>
      <c r="O809" s="27"/>
      <c r="R809" s="27"/>
      <c r="U809" s="27"/>
      <c r="X809" s="27"/>
      <c r="AA809" s="27"/>
    </row>
    <row r="810">
      <c r="C810" s="27"/>
      <c r="F810" s="27"/>
      <c r="I810" s="27"/>
      <c r="L810" s="27"/>
      <c r="O810" s="27"/>
      <c r="R810" s="27"/>
      <c r="U810" s="27"/>
      <c r="X810" s="27"/>
      <c r="AA810" s="27"/>
    </row>
    <row r="811">
      <c r="C811" s="27"/>
      <c r="F811" s="27"/>
      <c r="I811" s="27"/>
      <c r="L811" s="27"/>
      <c r="O811" s="27"/>
      <c r="R811" s="27"/>
      <c r="U811" s="27"/>
      <c r="X811" s="27"/>
      <c r="AA811" s="27"/>
    </row>
    <row r="812">
      <c r="C812" s="27"/>
      <c r="F812" s="27"/>
      <c r="I812" s="27"/>
      <c r="L812" s="27"/>
      <c r="O812" s="27"/>
      <c r="R812" s="27"/>
      <c r="U812" s="27"/>
      <c r="X812" s="27"/>
      <c r="AA812" s="27"/>
    </row>
    <row r="813">
      <c r="C813" s="27"/>
      <c r="F813" s="27"/>
      <c r="I813" s="27"/>
      <c r="L813" s="27"/>
      <c r="O813" s="27"/>
      <c r="R813" s="27"/>
      <c r="U813" s="27"/>
      <c r="X813" s="27"/>
      <c r="AA813" s="27"/>
    </row>
    <row r="814">
      <c r="C814" s="27"/>
      <c r="F814" s="27"/>
      <c r="I814" s="27"/>
      <c r="L814" s="27"/>
      <c r="O814" s="27"/>
      <c r="R814" s="27"/>
      <c r="U814" s="27"/>
      <c r="X814" s="27"/>
      <c r="AA814" s="27"/>
    </row>
    <row r="815">
      <c r="C815" s="27"/>
      <c r="F815" s="27"/>
      <c r="I815" s="27"/>
      <c r="L815" s="27"/>
      <c r="O815" s="27"/>
      <c r="R815" s="27"/>
      <c r="U815" s="27"/>
      <c r="X815" s="27"/>
      <c r="AA815" s="27"/>
    </row>
    <row r="816">
      <c r="C816" s="27"/>
      <c r="F816" s="27"/>
      <c r="I816" s="27"/>
      <c r="L816" s="27"/>
      <c r="O816" s="27"/>
      <c r="R816" s="27"/>
      <c r="U816" s="27"/>
      <c r="X816" s="27"/>
      <c r="AA816" s="27"/>
    </row>
    <row r="817">
      <c r="C817" s="27"/>
      <c r="F817" s="27"/>
      <c r="I817" s="27"/>
      <c r="L817" s="27"/>
      <c r="O817" s="27"/>
      <c r="R817" s="27"/>
      <c r="U817" s="27"/>
      <c r="X817" s="27"/>
      <c r="AA817" s="27"/>
    </row>
    <row r="818">
      <c r="C818" s="27"/>
      <c r="F818" s="27"/>
      <c r="I818" s="27"/>
      <c r="L818" s="27"/>
      <c r="O818" s="27"/>
      <c r="R818" s="27"/>
      <c r="U818" s="27"/>
      <c r="X818" s="27"/>
      <c r="AA818" s="27"/>
    </row>
    <row r="819">
      <c r="C819" s="27"/>
      <c r="F819" s="27"/>
      <c r="I819" s="27"/>
      <c r="L819" s="27"/>
      <c r="O819" s="27"/>
      <c r="R819" s="27"/>
      <c r="U819" s="27"/>
      <c r="X819" s="27"/>
      <c r="AA819" s="27"/>
    </row>
    <row r="820">
      <c r="C820" s="27"/>
      <c r="F820" s="27"/>
      <c r="I820" s="27"/>
      <c r="L820" s="27"/>
      <c r="O820" s="27"/>
      <c r="R820" s="27"/>
      <c r="U820" s="27"/>
      <c r="X820" s="27"/>
      <c r="AA820" s="27"/>
    </row>
    <row r="821">
      <c r="C821" s="27"/>
      <c r="F821" s="27"/>
      <c r="I821" s="27"/>
      <c r="L821" s="27"/>
      <c r="O821" s="27"/>
      <c r="R821" s="27"/>
      <c r="U821" s="27"/>
      <c r="X821" s="27"/>
      <c r="AA821" s="27"/>
    </row>
    <row r="822">
      <c r="C822" s="27"/>
      <c r="F822" s="27"/>
      <c r="I822" s="27"/>
      <c r="L822" s="27"/>
      <c r="O822" s="27"/>
      <c r="R822" s="27"/>
      <c r="U822" s="27"/>
      <c r="X822" s="27"/>
      <c r="AA822" s="27"/>
    </row>
    <row r="823">
      <c r="C823" s="27"/>
      <c r="F823" s="27"/>
      <c r="I823" s="27"/>
      <c r="L823" s="27"/>
      <c r="O823" s="27"/>
      <c r="R823" s="27"/>
      <c r="U823" s="27"/>
      <c r="X823" s="27"/>
      <c r="AA823" s="27"/>
    </row>
    <row r="824">
      <c r="C824" s="27"/>
      <c r="F824" s="27"/>
      <c r="I824" s="27"/>
      <c r="L824" s="27"/>
      <c r="O824" s="27"/>
      <c r="R824" s="27"/>
      <c r="U824" s="27"/>
      <c r="X824" s="27"/>
      <c r="AA824" s="27"/>
    </row>
    <row r="825">
      <c r="C825" s="27"/>
      <c r="F825" s="27"/>
      <c r="I825" s="27"/>
      <c r="L825" s="27"/>
      <c r="O825" s="27"/>
      <c r="R825" s="27"/>
      <c r="U825" s="27"/>
      <c r="X825" s="27"/>
      <c r="AA825" s="27"/>
    </row>
    <row r="826">
      <c r="C826" s="27"/>
      <c r="F826" s="27"/>
      <c r="I826" s="27"/>
      <c r="L826" s="27"/>
      <c r="O826" s="27"/>
      <c r="R826" s="27"/>
      <c r="U826" s="27"/>
      <c r="X826" s="27"/>
      <c r="AA826" s="27"/>
    </row>
    <row r="827">
      <c r="C827" s="27"/>
      <c r="F827" s="27"/>
      <c r="I827" s="27"/>
      <c r="L827" s="27"/>
      <c r="O827" s="27"/>
      <c r="R827" s="27"/>
      <c r="U827" s="27"/>
      <c r="X827" s="27"/>
      <c r="AA827" s="27"/>
    </row>
    <row r="828">
      <c r="C828" s="27"/>
      <c r="F828" s="27"/>
      <c r="I828" s="27"/>
      <c r="L828" s="27"/>
      <c r="O828" s="27"/>
      <c r="R828" s="27"/>
      <c r="U828" s="27"/>
      <c r="X828" s="27"/>
      <c r="AA828" s="27"/>
    </row>
    <row r="829">
      <c r="C829" s="27"/>
      <c r="F829" s="27"/>
      <c r="I829" s="27"/>
      <c r="L829" s="27"/>
      <c r="O829" s="27"/>
      <c r="R829" s="27"/>
      <c r="U829" s="27"/>
      <c r="X829" s="27"/>
      <c r="AA829" s="27"/>
    </row>
    <row r="830">
      <c r="C830" s="27"/>
      <c r="F830" s="27"/>
      <c r="I830" s="27"/>
      <c r="L830" s="27"/>
      <c r="O830" s="27"/>
      <c r="R830" s="27"/>
      <c r="U830" s="27"/>
      <c r="X830" s="27"/>
      <c r="AA830" s="27"/>
    </row>
    <row r="831">
      <c r="C831" s="27"/>
      <c r="F831" s="27"/>
      <c r="I831" s="27"/>
      <c r="L831" s="27"/>
      <c r="O831" s="27"/>
      <c r="R831" s="27"/>
      <c r="U831" s="27"/>
      <c r="X831" s="27"/>
      <c r="AA831" s="27"/>
    </row>
    <row r="832">
      <c r="C832" s="27"/>
      <c r="F832" s="27"/>
      <c r="I832" s="27"/>
      <c r="L832" s="27"/>
      <c r="O832" s="27"/>
      <c r="R832" s="27"/>
      <c r="U832" s="27"/>
      <c r="X832" s="27"/>
      <c r="AA832" s="27"/>
    </row>
    <row r="833">
      <c r="C833" s="27"/>
      <c r="F833" s="27"/>
      <c r="I833" s="27"/>
      <c r="L833" s="27"/>
      <c r="O833" s="27"/>
      <c r="R833" s="27"/>
      <c r="U833" s="27"/>
      <c r="X833" s="27"/>
      <c r="AA833" s="27"/>
    </row>
    <row r="834">
      <c r="C834" s="27"/>
      <c r="F834" s="27"/>
      <c r="I834" s="27"/>
      <c r="L834" s="27"/>
      <c r="O834" s="27"/>
      <c r="R834" s="27"/>
      <c r="U834" s="27"/>
      <c r="X834" s="27"/>
      <c r="AA834" s="27"/>
    </row>
    <row r="835">
      <c r="C835" s="27"/>
      <c r="F835" s="27"/>
      <c r="I835" s="27"/>
      <c r="L835" s="27"/>
      <c r="O835" s="27"/>
      <c r="R835" s="27"/>
      <c r="U835" s="27"/>
      <c r="X835" s="27"/>
      <c r="AA835" s="27"/>
    </row>
    <row r="836">
      <c r="C836" s="27"/>
      <c r="F836" s="27"/>
      <c r="I836" s="27"/>
      <c r="L836" s="27"/>
      <c r="O836" s="27"/>
      <c r="R836" s="27"/>
      <c r="U836" s="27"/>
      <c r="X836" s="27"/>
      <c r="AA836" s="27"/>
    </row>
    <row r="837">
      <c r="C837" s="27"/>
      <c r="F837" s="27"/>
      <c r="I837" s="27"/>
      <c r="L837" s="27"/>
      <c r="O837" s="27"/>
      <c r="R837" s="27"/>
      <c r="U837" s="27"/>
      <c r="X837" s="27"/>
      <c r="AA837" s="27"/>
    </row>
    <row r="838">
      <c r="C838" s="27"/>
      <c r="F838" s="27"/>
      <c r="I838" s="27"/>
      <c r="L838" s="27"/>
      <c r="O838" s="27"/>
      <c r="R838" s="27"/>
      <c r="U838" s="27"/>
      <c r="X838" s="27"/>
      <c r="AA838" s="27"/>
    </row>
    <row r="839">
      <c r="C839" s="27"/>
      <c r="F839" s="27"/>
      <c r="I839" s="27"/>
      <c r="L839" s="27"/>
      <c r="O839" s="27"/>
      <c r="R839" s="27"/>
      <c r="U839" s="27"/>
      <c r="X839" s="27"/>
      <c r="AA839" s="27"/>
    </row>
    <row r="840">
      <c r="C840" s="27"/>
      <c r="F840" s="27"/>
      <c r="I840" s="27"/>
      <c r="L840" s="27"/>
      <c r="O840" s="27"/>
      <c r="R840" s="27"/>
      <c r="U840" s="27"/>
      <c r="X840" s="27"/>
      <c r="AA840" s="27"/>
    </row>
    <row r="841">
      <c r="C841" s="27"/>
      <c r="F841" s="27"/>
      <c r="I841" s="27"/>
      <c r="L841" s="27"/>
      <c r="O841" s="27"/>
      <c r="R841" s="27"/>
      <c r="U841" s="27"/>
      <c r="X841" s="27"/>
      <c r="AA841" s="27"/>
    </row>
    <row r="842">
      <c r="C842" s="27"/>
      <c r="F842" s="27"/>
      <c r="I842" s="27"/>
      <c r="L842" s="27"/>
      <c r="O842" s="27"/>
      <c r="R842" s="27"/>
      <c r="U842" s="27"/>
      <c r="X842" s="27"/>
      <c r="AA842" s="27"/>
    </row>
    <row r="843">
      <c r="C843" s="27"/>
      <c r="F843" s="27"/>
      <c r="I843" s="27"/>
      <c r="L843" s="27"/>
      <c r="O843" s="27"/>
      <c r="R843" s="27"/>
      <c r="U843" s="27"/>
      <c r="X843" s="27"/>
      <c r="AA843" s="27"/>
    </row>
    <row r="844">
      <c r="C844" s="27"/>
      <c r="F844" s="27"/>
      <c r="I844" s="27"/>
      <c r="L844" s="27"/>
      <c r="O844" s="27"/>
      <c r="R844" s="27"/>
      <c r="U844" s="27"/>
      <c r="X844" s="27"/>
      <c r="AA844" s="27"/>
    </row>
    <row r="845">
      <c r="C845" s="27"/>
      <c r="F845" s="27"/>
      <c r="I845" s="27"/>
      <c r="L845" s="27"/>
      <c r="O845" s="27"/>
      <c r="R845" s="27"/>
      <c r="U845" s="27"/>
      <c r="X845" s="27"/>
      <c r="AA845" s="27"/>
    </row>
    <row r="846">
      <c r="C846" s="27"/>
      <c r="F846" s="27"/>
      <c r="I846" s="27"/>
      <c r="L846" s="27"/>
      <c r="O846" s="27"/>
      <c r="R846" s="27"/>
      <c r="U846" s="27"/>
      <c r="X846" s="27"/>
      <c r="AA846" s="27"/>
    </row>
    <row r="847">
      <c r="C847" s="27"/>
      <c r="F847" s="27"/>
      <c r="I847" s="27"/>
      <c r="L847" s="27"/>
      <c r="O847" s="27"/>
      <c r="R847" s="27"/>
      <c r="U847" s="27"/>
      <c r="X847" s="27"/>
      <c r="AA847" s="27"/>
    </row>
    <row r="848">
      <c r="C848" s="27"/>
      <c r="F848" s="27"/>
      <c r="I848" s="27"/>
      <c r="L848" s="27"/>
      <c r="O848" s="27"/>
      <c r="R848" s="27"/>
      <c r="U848" s="27"/>
      <c r="X848" s="27"/>
      <c r="AA848" s="27"/>
    </row>
    <row r="849">
      <c r="C849" s="27"/>
      <c r="F849" s="27"/>
      <c r="I849" s="27"/>
      <c r="L849" s="27"/>
      <c r="O849" s="27"/>
      <c r="R849" s="27"/>
      <c r="U849" s="27"/>
      <c r="X849" s="27"/>
      <c r="AA849" s="27"/>
    </row>
    <row r="850">
      <c r="C850" s="27"/>
      <c r="F850" s="27"/>
      <c r="I850" s="27"/>
      <c r="L850" s="27"/>
      <c r="O850" s="27"/>
      <c r="R850" s="27"/>
      <c r="U850" s="27"/>
      <c r="X850" s="27"/>
      <c r="AA850" s="27"/>
    </row>
    <row r="851">
      <c r="C851" s="27"/>
      <c r="F851" s="27"/>
      <c r="I851" s="27"/>
      <c r="L851" s="27"/>
      <c r="O851" s="27"/>
      <c r="R851" s="27"/>
      <c r="U851" s="27"/>
      <c r="X851" s="27"/>
      <c r="AA851" s="27"/>
    </row>
    <row r="852">
      <c r="C852" s="27"/>
      <c r="F852" s="27"/>
      <c r="I852" s="27"/>
      <c r="L852" s="27"/>
      <c r="O852" s="27"/>
      <c r="R852" s="27"/>
      <c r="U852" s="27"/>
      <c r="X852" s="27"/>
      <c r="AA852" s="27"/>
    </row>
    <row r="853">
      <c r="C853" s="27"/>
      <c r="F853" s="27"/>
      <c r="I853" s="27"/>
      <c r="L853" s="27"/>
      <c r="O853" s="27"/>
      <c r="R853" s="27"/>
      <c r="U853" s="27"/>
      <c r="X853" s="27"/>
      <c r="AA853" s="27"/>
    </row>
    <row r="854">
      <c r="C854" s="27"/>
      <c r="F854" s="27"/>
      <c r="I854" s="27"/>
      <c r="L854" s="27"/>
      <c r="O854" s="27"/>
      <c r="R854" s="27"/>
      <c r="U854" s="27"/>
      <c r="X854" s="27"/>
      <c r="AA854" s="27"/>
    </row>
    <row r="855">
      <c r="C855" s="27"/>
      <c r="F855" s="27"/>
      <c r="I855" s="27"/>
      <c r="L855" s="27"/>
      <c r="O855" s="27"/>
      <c r="R855" s="27"/>
      <c r="U855" s="27"/>
      <c r="X855" s="27"/>
      <c r="AA855" s="27"/>
    </row>
    <row r="856">
      <c r="C856" s="27"/>
      <c r="F856" s="27"/>
      <c r="I856" s="27"/>
      <c r="L856" s="27"/>
      <c r="O856" s="27"/>
      <c r="R856" s="27"/>
      <c r="U856" s="27"/>
      <c r="X856" s="27"/>
      <c r="AA856" s="27"/>
    </row>
    <row r="857">
      <c r="C857" s="27"/>
      <c r="F857" s="27"/>
      <c r="I857" s="27"/>
      <c r="L857" s="27"/>
      <c r="O857" s="27"/>
      <c r="R857" s="27"/>
      <c r="U857" s="27"/>
      <c r="X857" s="27"/>
      <c r="AA857" s="27"/>
    </row>
    <row r="858">
      <c r="C858" s="27"/>
      <c r="F858" s="27"/>
      <c r="I858" s="27"/>
      <c r="L858" s="27"/>
      <c r="O858" s="27"/>
      <c r="R858" s="27"/>
      <c r="U858" s="27"/>
      <c r="X858" s="27"/>
      <c r="AA858" s="27"/>
    </row>
    <row r="859">
      <c r="C859" s="27"/>
      <c r="F859" s="27"/>
      <c r="I859" s="27"/>
      <c r="L859" s="27"/>
      <c r="O859" s="27"/>
      <c r="R859" s="27"/>
      <c r="U859" s="27"/>
      <c r="X859" s="27"/>
      <c r="AA859" s="27"/>
    </row>
    <row r="860">
      <c r="C860" s="27"/>
      <c r="F860" s="27"/>
      <c r="I860" s="27"/>
      <c r="L860" s="27"/>
      <c r="O860" s="27"/>
      <c r="R860" s="27"/>
      <c r="U860" s="27"/>
      <c r="X860" s="27"/>
      <c r="AA860" s="27"/>
    </row>
    <row r="861">
      <c r="C861" s="27"/>
      <c r="F861" s="27"/>
      <c r="I861" s="27"/>
      <c r="L861" s="27"/>
      <c r="O861" s="27"/>
      <c r="R861" s="27"/>
      <c r="U861" s="27"/>
      <c r="X861" s="27"/>
      <c r="AA861" s="27"/>
    </row>
    <row r="862">
      <c r="C862" s="27"/>
      <c r="F862" s="27"/>
      <c r="I862" s="27"/>
      <c r="L862" s="27"/>
      <c r="O862" s="27"/>
      <c r="R862" s="27"/>
      <c r="U862" s="27"/>
      <c r="X862" s="27"/>
      <c r="AA862" s="27"/>
    </row>
    <row r="863">
      <c r="C863" s="27"/>
      <c r="F863" s="27"/>
      <c r="I863" s="27"/>
      <c r="L863" s="27"/>
      <c r="O863" s="27"/>
      <c r="R863" s="27"/>
      <c r="U863" s="27"/>
      <c r="X863" s="27"/>
      <c r="AA863" s="27"/>
    </row>
    <row r="864">
      <c r="C864" s="27"/>
      <c r="F864" s="27"/>
      <c r="I864" s="27"/>
      <c r="L864" s="27"/>
      <c r="O864" s="27"/>
      <c r="R864" s="27"/>
      <c r="U864" s="27"/>
      <c r="X864" s="27"/>
      <c r="AA864" s="27"/>
    </row>
    <row r="865">
      <c r="C865" s="27"/>
      <c r="F865" s="27"/>
      <c r="I865" s="27"/>
      <c r="L865" s="27"/>
      <c r="O865" s="27"/>
      <c r="R865" s="27"/>
      <c r="U865" s="27"/>
      <c r="X865" s="27"/>
      <c r="AA865" s="27"/>
    </row>
    <row r="866">
      <c r="C866" s="27"/>
      <c r="F866" s="27"/>
      <c r="I866" s="27"/>
      <c r="L866" s="27"/>
      <c r="O866" s="27"/>
      <c r="R866" s="27"/>
      <c r="U866" s="27"/>
      <c r="X866" s="27"/>
      <c r="AA866" s="27"/>
    </row>
    <row r="867">
      <c r="C867" s="27"/>
      <c r="F867" s="27"/>
      <c r="I867" s="27"/>
      <c r="L867" s="27"/>
      <c r="O867" s="27"/>
      <c r="R867" s="27"/>
      <c r="U867" s="27"/>
      <c r="X867" s="27"/>
      <c r="AA867" s="27"/>
    </row>
    <row r="868">
      <c r="C868" s="27"/>
      <c r="F868" s="27"/>
      <c r="I868" s="27"/>
      <c r="L868" s="27"/>
      <c r="O868" s="27"/>
      <c r="R868" s="27"/>
      <c r="U868" s="27"/>
      <c r="X868" s="27"/>
      <c r="AA868" s="27"/>
    </row>
    <row r="869">
      <c r="C869" s="27"/>
      <c r="F869" s="27"/>
      <c r="I869" s="27"/>
      <c r="L869" s="27"/>
      <c r="O869" s="27"/>
      <c r="R869" s="27"/>
      <c r="U869" s="27"/>
      <c r="X869" s="27"/>
      <c r="AA869" s="27"/>
    </row>
    <row r="870">
      <c r="C870" s="27"/>
      <c r="F870" s="27"/>
      <c r="I870" s="27"/>
      <c r="L870" s="27"/>
      <c r="O870" s="27"/>
      <c r="R870" s="27"/>
      <c r="U870" s="27"/>
      <c r="X870" s="27"/>
      <c r="AA870" s="27"/>
    </row>
    <row r="871">
      <c r="C871" s="27"/>
      <c r="F871" s="27"/>
      <c r="I871" s="27"/>
      <c r="L871" s="27"/>
      <c r="O871" s="27"/>
      <c r="R871" s="27"/>
      <c r="U871" s="27"/>
      <c r="X871" s="27"/>
      <c r="AA871" s="27"/>
    </row>
    <row r="872">
      <c r="C872" s="27"/>
      <c r="F872" s="27"/>
      <c r="I872" s="27"/>
      <c r="L872" s="27"/>
      <c r="O872" s="27"/>
      <c r="R872" s="27"/>
      <c r="U872" s="27"/>
      <c r="X872" s="27"/>
      <c r="AA872" s="27"/>
    </row>
    <row r="873">
      <c r="C873" s="27"/>
      <c r="F873" s="27"/>
      <c r="I873" s="27"/>
      <c r="L873" s="27"/>
      <c r="O873" s="27"/>
      <c r="R873" s="27"/>
      <c r="U873" s="27"/>
      <c r="X873" s="27"/>
      <c r="AA873" s="27"/>
    </row>
    <row r="874">
      <c r="C874" s="27"/>
      <c r="F874" s="27"/>
      <c r="I874" s="27"/>
      <c r="L874" s="27"/>
      <c r="O874" s="27"/>
      <c r="R874" s="27"/>
      <c r="U874" s="27"/>
      <c r="X874" s="27"/>
      <c r="AA874" s="27"/>
    </row>
    <row r="875">
      <c r="C875" s="27"/>
      <c r="F875" s="27"/>
      <c r="I875" s="27"/>
      <c r="L875" s="27"/>
      <c r="O875" s="27"/>
      <c r="R875" s="27"/>
      <c r="U875" s="27"/>
      <c r="X875" s="27"/>
      <c r="AA875" s="27"/>
    </row>
    <row r="876">
      <c r="C876" s="27"/>
      <c r="F876" s="27"/>
      <c r="I876" s="27"/>
      <c r="L876" s="27"/>
      <c r="O876" s="27"/>
      <c r="R876" s="27"/>
      <c r="U876" s="27"/>
      <c r="X876" s="27"/>
      <c r="AA876" s="27"/>
    </row>
    <row r="877">
      <c r="C877" s="27"/>
      <c r="F877" s="27"/>
      <c r="I877" s="27"/>
      <c r="L877" s="27"/>
      <c r="O877" s="27"/>
      <c r="R877" s="27"/>
      <c r="U877" s="27"/>
      <c r="X877" s="27"/>
      <c r="AA877" s="27"/>
    </row>
    <row r="878">
      <c r="C878" s="27"/>
      <c r="F878" s="27"/>
      <c r="I878" s="27"/>
      <c r="L878" s="27"/>
      <c r="O878" s="27"/>
      <c r="R878" s="27"/>
      <c r="U878" s="27"/>
      <c r="X878" s="27"/>
      <c r="AA878" s="27"/>
    </row>
    <row r="879">
      <c r="C879" s="27"/>
      <c r="F879" s="27"/>
      <c r="I879" s="27"/>
      <c r="L879" s="27"/>
      <c r="O879" s="27"/>
      <c r="R879" s="27"/>
      <c r="U879" s="27"/>
      <c r="X879" s="27"/>
      <c r="AA879" s="27"/>
    </row>
    <row r="880">
      <c r="C880" s="27"/>
      <c r="F880" s="27"/>
      <c r="I880" s="27"/>
      <c r="L880" s="27"/>
      <c r="O880" s="27"/>
      <c r="R880" s="27"/>
      <c r="U880" s="27"/>
      <c r="X880" s="27"/>
      <c r="AA880" s="27"/>
    </row>
    <row r="881">
      <c r="C881" s="27"/>
      <c r="F881" s="27"/>
      <c r="I881" s="27"/>
      <c r="L881" s="27"/>
      <c r="O881" s="27"/>
      <c r="R881" s="27"/>
      <c r="U881" s="27"/>
      <c r="X881" s="27"/>
      <c r="AA881" s="27"/>
    </row>
    <row r="882">
      <c r="C882" s="27"/>
      <c r="F882" s="27"/>
      <c r="I882" s="27"/>
      <c r="L882" s="27"/>
      <c r="O882" s="27"/>
      <c r="R882" s="27"/>
      <c r="U882" s="27"/>
      <c r="X882" s="27"/>
      <c r="AA882" s="27"/>
    </row>
    <row r="883">
      <c r="C883" s="27"/>
      <c r="F883" s="27"/>
      <c r="I883" s="27"/>
      <c r="L883" s="27"/>
      <c r="O883" s="27"/>
      <c r="R883" s="27"/>
      <c r="U883" s="27"/>
      <c r="X883" s="27"/>
      <c r="AA883" s="27"/>
    </row>
    <row r="884">
      <c r="C884" s="27"/>
      <c r="F884" s="27"/>
      <c r="I884" s="27"/>
      <c r="L884" s="27"/>
      <c r="O884" s="27"/>
      <c r="R884" s="27"/>
      <c r="U884" s="27"/>
      <c r="X884" s="27"/>
      <c r="AA884" s="27"/>
    </row>
    <row r="885">
      <c r="C885" s="27"/>
      <c r="F885" s="27"/>
      <c r="I885" s="27"/>
      <c r="L885" s="27"/>
      <c r="O885" s="27"/>
      <c r="R885" s="27"/>
      <c r="U885" s="27"/>
      <c r="X885" s="27"/>
      <c r="AA885" s="27"/>
    </row>
    <row r="886">
      <c r="C886" s="27"/>
      <c r="F886" s="27"/>
      <c r="I886" s="27"/>
      <c r="L886" s="27"/>
      <c r="O886" s="27"/>
      <c r="R886" s="27"/>
      <c r="U886" s="27"/>
      <c r="X886" s="27"/>
      <c r="AA886" s="27"/>
    </row>
    <row r="887">
      <c r="C887" s="27"/>
      <c r="F887" s="27"/>
      <c r="I887" s="27"/>
      <c r="L887" s="27"/>
      <c r="O887" s="27"/>
      <c r="R887" s="27"/>
      <c r="U887" s="27"/>
      <c r="X887" s="27"/>
      <c r="AA887" s="27"/>
    </row>
    <row r="888">
      <c r="C888" s="27"/>
      <c r="F888" s="27"/>
      <c r="I888" s="27"/>
      <c r="L888" s="27"/>
      <c r="O888" s="27"/>
      <c r="R888" s="27"/>
      <c r="U888" s="27"/>
      <c r="X888" s="27"/>
      <c r="AA888" s="27"/>
    </row>
    <row r="889">
      <c r="C889" s="27"/>
      <c r="F889" s="27"/>
      <c r="I889" s="27"/>
      <c r="L889" s="27"/>
      <c r="O889" s="27"/>
      <c r="R889" s="27"/>
      <c r="U889" s="27"/>
      <c r="X889" s="27"/>
      <c r="AA889" s="27"/>
    </row>
    <row r="890">
      <c r="C890" s="27"/>
      <c r="F890" s="27"/>
      <c r="I890" s="27"/>
      <c r="L890" s="27"/>
      <c r="O890" s="27"/>
      <c r="R890" s="27"/>
      <c r="U890" s="27"/>
      <c r="X890" s="27"/>
      <c r="AA890" s="27"/>
    </row>
    <row r="891">
      <c r="C891" s="27"/>
      <c r="F891" s="27"/>
      <c r="I891" s="27"/>
      <c r="L891" s="27"/>
      <c r="O891" s="27"/>
      <c r="R891" s="27"/>
      <c r="U891" s="27"/>
      <c r="X891" s="27"/>
      <c r="AA891" s="27"/>
    </row>
    <row r="892">
      <c r="C892" s="27"/>
      <c r="F892" s="27"/>
      <c r="I892" s="27"/>
      <c r="L892" s="27"/>
      <c r="O892" s="27"/>
      <c r="R892" s="27"/>
      <c r="U892" s="27"/>
      <c r="X892" s="27"/>
      <c r="AA892" s="27"/>
    </row>
    <row r="893">
      <c r="C893" s="27"/>
      <c r="F893" s="27"/>
      <c r="I893" s="27"/>
      <c r="L893" s="27"/>
      <c r="O893" s="27"/>
      <c r="R893" s="27"/>
      <c r="U893" s="27"/>
      <c r="X893" s="27"/>
      <c r="AA893" s="27"/>
    </row>
    <row r="894">
      <c r="C894" s="27"/>
      <c r="F894" s="27"/>
      <c r="I894" s="27"/>
      <c r="L894" s="27"/>
      <c r="O894" s="27"/>
      <c r="R894" s="27"/>
      <c r="U894" s="27"/>
      <c r="X894" s="27"/>
      <c r="AA894" s="27"/>
    </row>
    <row r="895">
      <c r="C895" s="27"/>
      <c r="F895" s="27"/>
      <c r="I895" s="27"/>
      <c r="L895" s="27"/>
      <c r="O895" s="27"/>
      <c r="R895" s="27"/>
      <c r="U895" s="27"/>
      <c r="X895" s="27"/>
      <c r="AA895" s="27"/>
    </row>
    <row r="896">
      <c r="C896" s="27"/>
      <c r="F896" s="27"/>
      <c r="I896" s="27"/>
      <c r="L896" s="27"/>
      <c r="O896" s="27"/>
      <c r="R896" s="27"/>
      <c r="U896" s="27"/>
      <c r="X896" s="27"/>
      <c r="AA896" s="27"/>
    </row>
    <row r="897">
      <c r="C897" s="27"/>
      <c r="F897" s="27"/>
      <c r="I897" s="27"/>
      <c r="L897" s="27"/>
      <c r="O897" s="27"/>
      <c r="R897" s="27"/>
      <c r="U897" s="27"/>
      <c r="X897" s="27"/>
      <c r="AA897" s="27"/>
    </row>
    <row r="898">
      <c r="C898" s="27"/>
      <c r="F898" s="27"/>
      <c r="I898" s="27"/>
      <c r="L898" s="27"/>
      <c r="O898" s="27"/>
      <c r="R898" s="27"/>
      <c r="U898" s="27"/>
      <c r="X898" s="27"/>
      <c r="AA898" s="27"/>
    </row>
    <row r="899">
      <c r="C899" s="27"/>
      <c r="F899" s="27"/>
      <c r="I899" s="27"/>
      <c r="L899" s="27"/>
      <c r="O899" s="27"/>
      <c r="R899" s="27"/>
      <c r="U899" s="27"/>
      <c r="X899" s="27"/>
      <c r="AA899" s="27"/>
    </row>
    <row r="900">
      <c r="C900" s="27"/>
      <c r="F900" s="27"/>
      <c r="I900" s="27"/>
      <c r="L900" s="27"/>
      <c r="O900" s="27"/>
      <c r="R900" s="27"/>
      <c r="U900" s="27"/>
      <c r="X900" s="27"/>
      <c r="AA900" s="27"/>
    </row>
    <row r="901">
      <c r="C901" s="27"/>
      <c r="F901" s="27"/>
      <c r="I901" s="27"/>
      <c r="L901" s="27"/>
      <c r="O901" s="27"/>
      <c r="R901" s="27"/>
      <c r="U901" s="27"/>
      <c r="X901" s="27"/>
      <c r="AA901" s="27"/>
    </row>
    <row r="902">
      <c r="C902" s="27"/>
      <c r="F902" s="27"/>
      <c r="I902" s="27"/>
      <c r="L902" s="27"/>
      <c r="O902" s="27"/>
      <c r="R902" s="27"/>
      <c r="U902" s="27"/>
      <c r="X902" s="27"/>
      <c r="AA902" s="27"/>
    </row>
    <row r="903">
      <c r="C903" s="27"/>
      <c r="F903" s="27"/>
      <c r="I903" s="27"/>
      <c r="L903" s="27"/>
      <c r="O903" s="27"/>
      <c r="R903" s="27"/>
      <c r="U903" s="27"/>
      <c r="X903" s="27"/>
      <c r="AA903" s="27"/>
    </row>
    <row r="904">
      <c r="C904" s="27"/>
      <c r="F904" s="27"/>
      <c r="I904" s="27"/>
      <c r="L904" s="27"/>
      <c r="O904" s="27"/>
      <c r="R904" s="27"/>
      <c r="U904" s="27"/>
      <c r="X904" s="27"/>
      <c r="AA904" s="27"/>
    </row>
    <row r="905">
      <c r="C905" s="27"/>
      <c r="F905" s="27"/>
      <c r="I905" s="27"/>
      <c r="L905" s="27"/>
      <c r="O905" s="27"/>
      <c r="R905" s="27"/>
      <c r="U905" s="27"/>
      <c r="X905" s="27"/>
      <c r="AA905" s="27"/>
    </row>
    <row r="906">
      <c r="C906" s="27"/>
      <c r="F906" s="27"/>
      <c r="I906" s="27"/>
      <c r="L906" s="27"/>
      <c r="O906" s="27"/>
      <c r="R906" s="27"/>
      <c r="U906" s="27"/>
      <c r="X906" s="27"/>
      <c r="AA906" s="27"/>
    </row>
    <row r="907">
      <c r="C907" s="27"/>
      <c r="F907" s="27"/>
      <c r="I907" s="27"/>
      <c r="L907" s="27"/>
      <c r="O907" s="27"/>
      <c r="R907" s="27"/>
      <c r="U907" s="27"/>
      <c r="X907" s="27"/>
      <c r="AA907" s="27"/>
    </row>
    <row r="908">
      <c r="C908" s="27"/>
      <c r="F908" s="27"/>
      <c r="I908" s="27"/>
      <c r="L908" s="27"/>
      <c r="O908" s="27"/>
      <c r="R908" s="27"/>
      <c r="U908" s="27"/>
      <c r="X908" s="27"/>
      <c r="AA908" s="27"/>
    </row>
    <row r="909">
      <c r="C909" s="27"/>
      <c r="F909" s="27"/>
      <c r="I909" s="27"/>
      <c r="L909" s="27"/>
      <c r="O909" s="27"/>
      <c r="R909" s="27"/>
      <c r="U909" s="27"/>
      <c r="X909" s="27"/>
      <c r="AA909" s="27"/>
    </row>
    <row r="910">
      <c r="C910" s="27"/>
      <c r="F910" s="27"/>
      <c r="I910" s="27"/>
      <c r="L910" s="27"/>
      <c r="O910" s="27"/>
      <c r="R910" s="27"/>
      <c r="U910" s="27"/>
      <c r="X910" s="27"/>
      <c r="AA910" s="27"/>
    </row>
    <row r="911">
      <c r="C911" s="27"/>
      <c r="F911" s="27"/>
      <c r="I911" s="27"/>
      <c r="L911" s="27"/>
      <c r="O911" s="27"/>
      <c r="R911" s="27"/>
      <c r="U911" s="27"/>
      <c r="X911" s="27"/>
      <c r="AA911" s="27"/>
    </row>
    <row r="912">
      <c r="C912" s="27"/>
      <c r="F912" s="27"/>
      <c r="I912" s="27"/>
      <c r="L912" s="27"/>
      <c r="O912" s="27"/>
      <c r="R912" s="27"/>
      <c r="U912" s="27"/>
      <c r="X912" s="27"/>
      <c r="AA912" s="27"/>
    </row>
    <row r="913">
      <c r="C913" s="27"/>
      <c r="F913" s="27"/>
      <c r="I913" s="27"/>
      <c r="L913" s="27"/>
      <c r="O913" s="27"/>
      <c r="R913" s="27"/>
      <c r="U913" s="27"/>
      <c r="X913" s="27"/>
      <c r="AA913" s="27"/>
    </row>
    <row r="914">
      <c r="C914" s="27"/>
      <c r="F914" s="27"/>
      <c r="I914" s="27"/>
      <c r="L914" s="27"/>
      <c r="O914" s="27"/>
      <c r="R914" s="27"/>
      <c r="U914" s="27"/>
      <c r="X914" s="27"/>
      <c r="AA914" s="27"/>
    </row>
    <row r="915">
      <c r="C915" s="27"/>
      <c r="F915" s="27"/>
      <c r="I915" s="27"/>
      <c r="L915" s="27"/>
      <c r="O915" s="27"/>
      <c r="R915" s="27"/>
      <c r="U915" s="27"/>
      <c r="X915" s="27"/>
      <c r="AA915" s="27"/>
    </row>
    <row r="916">
      <c r="C916" s="27"/>
      <c r="F916" s="27"/>
      <c r="I916" s="27"/>
      <c r="L916" s="27"/>
      <c r="O916" s="27"/>
      <c r="R916" s="27"/>
      <c r="U916" s="27"/>
      <c r="X916" s="27"/>
      <c r="AA916" s="27"/>
    </row>
    <row r="917">
      <c r="C917" s="27"/>
      <c r="F917" s="27"/>
      <c r="I917" s="27"/>
      <c r="L917" s="27"/>
      <c r="O917" s="27"/>
      <c r="R917" s="27"/>
      <c r="U917" s="27"/>
      <c r="X917" s="27"/>
      <c r="AA917" s="27"/>
    </row>
    <row r="918">
      <c r="C918" s="27"/>
      <c r="F918" s="27"/>
      <c r="I918" s="27"/>
      <c r="L918" s="27"/>
      <c r="O918" s="27"/>
      <c r="R918" s="27"/>
      <c r="U918" s="27"/>
      <c r="X918" s="27"/>
      <c r="AA918" s="27"/>
    </row>
    <row r="919">
      <c r="C919" s="27"/>
      <c r="F919" s="27"/>
      <c r="I919" s="27"/>
      <c r="L919" s="27"/>
      <c r="O919" s="27"/>
      <c r="R919" s="27"/>
      <c r="U919" s="27"/>
      <c r="X919" s="27"/>
      <c r="AA919" s="27"/>
    </row>
    <row r="920">
      <c r="C920" s="27"/>
      <c r="F920" s="27"/>
      <c r="I920" s="27"/>
      <c r="L920" s="27"/>
      <c r="O920" s="27"/>
      <c r="R920" s="27"/>
      <c r="U920" s="27"/>
      <c r="X920" s="27"/>
      <c r="AA920" s="27"/>
    </row>
    <row r="921">
      <c r="C921" s="27"/>
      <c r="F921" s="27"/>
      <c r="I921" s="27"/>
      <c r="L921" s="27"/>
      <c r="O921" s="27"/>
      <c r="R921" s="27"/>
      <c r="U921" s="27"/>
      <c r="X921" s="27"/>
      <c r="AA921" s="27"/>
    </row>
    <row r="922">
      <c r="C922" s="27"/>
      <c r="F922" s="27"/>
      <c r="I922" s="27"/>
      <c r="L922" s="27"/>
      <c r="O922" s="27"/>
      <c r="R922" s="27"/>
      <c r="U922" s="27"/>
      <c r="X922" s="27"/>
      <c r="AA922" s="27"/>
    </row>
    <row r="923">
      <c r="C923" s="27"/>
      <c r="F923" s="27"/>
      <c r="I923" s="27"/>
      <c r="L923" s="27"/>
      <c r="O923" s="27"/>
      <c r="R923" s="27"/>
      <c r="U923" s="27"/>
      <c r="X923" s="27"/>
      <c r="AA923" s="27"/>
    </row>
    <row r="924">
      <c r="C924" s="27"/>
      <c r="F924" s="27"/>
      <c r="I924" s="27"/>
      <c r="L924" s="27"/>
      <c r="O924" s="27"/>
      <c r="R924" s="27"/>
      <c r="U924" s="27"/>
      <c r="X924" s="27"/>
      <c r="AA924" s="27"/>
    </row>
    <row r="925">
      <c r="C925" s="27"/>
      <c r="F925" s="27"/>
      <c r="I925" s="27"/>
      <c r="L925" s="27"/>
      <c r="O925" s="27"/>
      <c r="R925" s="27"/>
      <c r="U925" s="27"/>
      <c r="X925" s="27"/>
      <c r="AA925" s="27"/>
    </row>
    <row r="926">
      <c r="C926" s="27"/>
      <c r="F926" s="27"/>
      <c r="I926" s="27"/>
      <c r="L926" s="27"/>
      <c r="O926" s="27"/>
      <c r="R926" s="27"/>
      <c r="U926" s="27"/>
      <c r="X926" s="27"/>
      <c r="AA926" s="27"/>
    </row>
    <row r="927">
      <c r="C927" s="27"/>
      <c r="F927" s="27"/>
      <c r="I927" s="27"/>
      <c r="L927" s="27"/>
      <c r="O927" s="27"/>
      <c r="R927" s="27"/>
      <c r="U927" s="27"/>
      <c r="X927" s="27"/>
      <c r="AA927" s="27"/>
    </row>
    <row r="928">
      <c r="C928" s="27"/>
      <c r="F928" s="27"/>
      <c r="I928" s="27"/>
      <c r="L928" s="27"/>
      <c r="O928" s="27"/>
      <c r="R928" s="27"/>
      <c r="U928" s="27"/>
      <c r="X928" s="27"/>
      <c r="AA928" s="27"/>
    </row>
    <row r="929">
      <c r="C929" s="27"/>
      <c r="F929" s="27"/>
      <c r="I929" s="27"/>
      <c r="L929" s="27"/>
      <c r="O929" s="27"/>
      <c r="R929" s="27"/>
      <c r="U929" s="27"/>
      <c r="X929" s="27"/>
      <c r="AA929" s="27"/>
    </row>
    <row r="930">
      <c r="C930" s="27"/>
      <c r="F930" s="27"/>
      <c r="I930" s="27"/>
      <c r="L930" s="27"/>
      <c r="O930" s="27"/>
      <c r="R930" s="27"/>
      <c r="U930" s="27"/>
      <c r="X930" s="27"/>
      <c r="AA930" s="27"/>
    </row>
    <row r="931">
      <c r="C931" s="27"/>
      <c r="F931" s="27"/>
      <c r="I931" s="27"/>
      <c r="L931" s="27"/>
      <c r="O931" s="27"/>
      <c r="R931" s="27"/>
      <c r="U931" s="27"/>
      <c r="X931" s="27"/>
      <c r="AA931" s="27"/>
    </row>
    <row r="932">
      <c r="C932" s="27"/>
      <c r="F932" s="27"/>
      <c r="I932" s="27"/>
      <c r="L932" s="27"/>
      <c r="O932" s="27"/>
      <c r="R932" s="27"/>
      <c r="U932" s="27"/>
      <c r="X932" s="27"/>
      <c r="AA932" s="27"/>
    </row>
    <row r="933">
      <c r="C933" s="27"/>
      <c r="F933" s="27"/>
      <c r="I933" s="27"/>
      <c r="L933" s="27"/>
      <c r="O933" s="27"/>
      <c r="R933" s="27"/>
      <c r="U933" s="27"/>
      <c r="X933" s="27"/>
      <c r="AA933" s="27"/>
    </row>
    <row r="934">
      <c r="C934" s="27"/>
      <c r="F934" s="27"/>
      <c r="I934" s="27"/>
      <c r="L934" s="27"/>
      <c r="O934" s="27"/>
      <c r="R934" s="27"/>
      <c r="U934" s="27"/>
      <c r="X934" s="27"/>
      <c r="AA934" s="27"/>
    </row>
    <row r="935">
      <c r="C935" s="27"/>
      <c r="F935" s="27"/>
      <c r="I935" s="27"/>
      <c r="L935" s="27"/>
      <c r="O935" s="27"/>
      <c r="R935" s="27"/>
      <c r="U935" s="27"/>
      <c r="X935" s="27"/>
      <c r="AA935" s="27"/>
    </row>
    <row r="936">
      <c r="C936" s="27"/>
      <c r="F936" s="27"/>
      <c r="I936" s="27"/>
      <c r="L936" s="27"/>
      <c r="O936" s="27"/>
      <c r="R936" s="27"/>
      <c r="U936" s="27"/>
      <c r="X936" s="27"/>
      <c r="AA936" s="27"/>
    </row>
    <row r="937">
      <c r="C937" s="27"/>
      <c r="F937" s="27"/>
      <c r="I937" s="27"/>
      <c r="L937" s="27"/>
      <c r="O937" s="27"/>
      <c r="R937" s="27"/>
      <c r="U937" s="27"/>
      <c r="X937" s="27"/>
      <c r="AA937" s="27"/>
    </row>
    <row r="938">
      <c r="C938" s="27"/>
      <c r="F938" s="27"/>
      <c r="I938" s="27"/>
      <c r="L938" s="27"/>
      <c r="O938" s="27"/>
      <c r="R938" s="27"/>
      <c r="U938" s="27"/>
      <c r="X938" s="27"/>
      <c r="AA938" s="27"/>
    </row>
    <row r="939">
      <c r="C939" s="27"/>
      <c r="F939" s="27"/>
      <c r="I939" s="27"/>
      <c r="L939" s="27"/>
      <c r="O939" s="27"/>
      <c r="R939" s="27"/>
      <c r="U939" s="27"/>
      <c r="X939" s="27"/>
      <c r="AA939" s="27"/>
    </row>
    <row r="940">
      <c r="C940" s="27"/>
      <c r="F940" s="27"/>
      <c r="I940" s="27"/>
      <c r="L940" s="27"/>
      <c r="O940" s="27"/>
      <c r="R940" s="27"/>
      <c r="U940" s="27"/>
      <c r="X940" s="27"/>
      <c r="AA940" s="27"/>
    </row>
    <row r="941">
      <c r="C941" s="27"/>
      <c r="F941" s="27"/>
      <c r="I941" s="27"/>
      <c r="L941" s="27"/>
      <c r="O941" s="27"/>
      <c r="R941" s="27"/>
      <c r="U941" s="27"/>
      <c r="X941" s="27"/>
      <c r="AA941" s="27"/>
    </row>
    <row r="942">
      <c r="C942" s="27"/>
      <c r="F942" s="27"/>
      <c r="I942" s="27"/>
      <c r="L942" s="27"/>
      <c r="O942" s="27"/>
      <c r="R942" s="27"/>
      <c r="U942" s="27"/>
      <c r="X942" s="27"/>
      <c r="AA942" s="27"/>
    </row>
    <row r="943">
      <c r="C943" s="27"/>
      <c r="F943" s="27"/>
      <c r="I943" s="27"/>
      <c r="L943" s="27"/>
      <c r="O943" s="27"/>
      <c r="R943" s="27"/>
      <c r="U943" s="27"/>
      <c r="X943" s="27"/>
      <c r="AA943" s="27"/>
    </row>
    <row r="944">
      <c r="C944" s="27"/>
      <c r="F944" s="27"/>
      <c r="I944" s="27"/>
      <c r="L944" s="27"/>
      <c r="O944" s="27"/>
      <c r="R944" s="27"/>
      <c r="U944" s="27"/>
      <c r="X944" s="27"/>
      <c r="AA944" s="27"/>
    </row>
    <row r="945">
      <c r="C945" s="27"/>
      <c r="F945" s="27"/>
      <c r="I945" s="27"/>
      <c r="L945" s="27"/>
      <c r="O945" s="27"/>
      <c r="R945" s="27"/>
      <c r="U945" s="27"/>
      <c r="X945" s="27"/>
      <c r="AA945" s="27"/>
    </row>
    <row r="946">
      <c r="C946" s="27"/>
      <c r="F946" s="27"/>
      <c r="I946" s="27"/>
      <c r="L946" s="27"/>
      <c r="O946" s="27"/>
      <c r="R946" s="27"/>
      <c r="U946" s="27"/>
      <c r="X946" s="27"/>
      <c r="AA946" s="27"/>
    </row>
    <row r="947">
      <c r="C947" s="27"/>
      <c r="F947" s="27"/>
      <c r="I947" s="27"/>
      <c r="L947" s="27"/>
      <c r="O947" s="27"/>
      <c r="R947" s="27"/>
      <c r="U947" s="27"/>
      <c r="X947" s="27"/>
      <c r="AA947" s="27"/>
    </row>
    <row r="948">
      <c r="C948" s="27"/>
      <c r="F948" s="27"/>
      <c r="I948" s="27"/>
      <c r="L948" s="27"/>
      <c r="O948" s="27"/>
      <c r="R948" s="27"/>
      <c r="U948" s="27"/>
      <c r="X948" s="27"/>
      <c r="AA948" s="27"/>
    </row>
    <row r="949">
      <c r="C949" s="27"/>
      <c r="F949" s="27"/>
      <c r="I949" s="27"/>
      <c r="L949" s="27"/>
      <c r="O949" s="27"/>
      <c r="R949" s="27"/>
      <c r="U949" s="27"/>
      <c r="X949" s="27"/>
      <c r="AA949" s="27"/>
    </row>
    <row r="950">
      <c r="C950" s="27"/>
      <c r="F950" s="27"/>
      <c r="I950" s="27"/>
      <c r="L950" s="27"/>
      <c r="O950" s="27"/>
      <c r="R950" s="27"/>
      <c r="U950" s="27"/>
      <c r="X950" s="27"/>
      <c r="AA950" s="27"/>
    </row>
    <row r="951">
      <c r="C951" s="27"/>
      <c r="F951" s="27"/>
      <c r="I951" s="27"/>
      <c r="L951" s="27"/>
      <c r="O951" s="27"/>
      <c r="R951" s="27"/>
      <c r="U951" s="27"/>
      <c r="X951" s="27"/>
      <c r="AA951" s="27"/>
    </row>
    <row r="952">
      <c r="C952" s="27"/>
      <c r="F952" s="27"/>
      <c r="I952" s="27"/>
      <c r="L952" s="27"/>
      <c r="O952" s="27"/>
      <c r="R952" s="27"/>
      <c r="U952" s="27"/>
      <c r="X952" s="27"/>
      <c r="AA952" s="27"/>
    </row>
    <row r="953">
      <c r="C953" s="27"/>
      <c r="F953" s="27"/>
      <c r="I953" s="27"/>
      <c r="L953" s="27"/>
      <c r="O953" s="27"/>
      <c r="R953" s="27"/>
      <c r="U953" s="27"/>
      <c r="X953" s="27"/>
      <c r="AA953" s="27"/>
    </row>
    <row r="954">
      <c r="C954" s="27"/>
      <c r="F954" s="27"/>
      <c r="I954" s="27"/>
      <c r="L954" s="27"/>
      <c r="O954" s="27"/>
      <c r="R954" s="27"/>
      <c r="U954" s="27"/>
      <c r="X954" s="27"/>
      <c r="AA954" s="27"/>
    </row>
    <row r="955">
      <c r="C955" s="27"/>
      <c r="F955" s="27"/>
      <c r="I955" s="27"/>
      <c r="L955" s="27"/>
      <c r="O955" s="27"/>
      <c r="R955" s="27"/>
      <c r="U955" s="27"/>
      <c r="X955" s="27"/>
      <c r="AA955" s="27"/>
    </row>
    <row r="956">
      <c r="C956" s="27"/>
      <c r="F956" s="27"/>
      <c r="I956" s="27"/>
      <c r="L956" s="27"/>
      <c r="O956" s="27"/>
      <c r="R956" s="27"/>
      <c r="U956" s="27"/>
      <c r="X956" s="27"/>
      <c r="AA956" s="27"/>
    </row>
    <row r="957">
      <c r="C957" s="27"/>
      <c r="F957" s="27"/>
      <c r="I957" s="27"/>
      <c r="L957" s="27"/>
      <c r="O957" s="27"/>
      <c r="R957" s="27"/>
      <c r="U957" s="27"/>
      <c r="X957" s="27"/>
      <c r="AA957" s="27"/>
    </row>
    <row r="958">
      <c r="C958" s="27"/>
      <c r="F958" s="27"/>
      <c r="I958" s="27"/>
      <c r="L958" s="27"/>
      <c r="O958" s="27"/>
      <c r="R958" s="27"/>
      <c r="U958" s="27"/>
      <c r="X958" s="27"/>
      <c r="AA958" s="27"/>
    </row>
    <row r="959">
      <c r="C959" s="27"/>
      <c r="F959" s="27"/>
      <c r="I959" s="27"/>
      <c r="L959" s="27"/>
      <c r="O959" s="27"/>
      <c r="R959" s="27"/>
      <c r="U959" s="27"/>
      <c r="X959" s="27"/>
      <c r="AA959" s="27"/>
    </row>
    <row r="960">
      <c r="C960" s="27"/>
      <c r="F960" s="27"/>
      <c r="I960" s="27"/>
      <c r="L960" s="27"/>
      <c r="O960" s="27"/>
      <c r="R960" s="27"/>
      <c r="U960" s="27"/>
      <c r="X960" s="27"/>
      <c r="AA960" s="27"/>
    </row>
    <row r="961">
      <c r="C961" s="27"/>
      <c r="F961" s="27"/>
      <c r="I961" s="27"/>
      <c r="L961" s="27"/>
      <c r="O961" s="27"/>
      <c r="R961" s="27"/>
      <c r="U961" s="27"/>
      <c r="X961" s="27"/>
      <c r="AA961" s="27"/>
    </row>
    <row r="962">
      <c r="C962" s="27"/>
      <c r="F962" s="27"/>
      <c r="I962" s="27"/>
      <c r="L962" s="27"/>
      <c r="O962" s="27"/>
      <c r="R962" s="27"/>
      <c r="U962" s="27"/>
      <c r="X962" s="27"/>
      <c r="AA962" s="27"/>
    </row>
    <row r="963">
      <c r="C963" s="27"/>
      <c r="F963" s="27"/>
      <c r="I963" s="27"/>
      <c r="L963" s="27"/>
      <c r="O963" s="27"/>
      <c r="R963" s="27"/>
      <c r="U963" s="27"/>
      <c r="X963" s="27"/>
      <c r="AA963" s="27"/>
    </row>
    <row r="964">
      <c r="C964" s="27"/>
      <c r="F964" s="27"/>
      <c r="I964" s="27"/>
      <c r="L964" s="27"/>
      <c r="O964" s="27"/>
      <c r="R964" s="27"/>
      <c r="U964" s="27"/>
      <c r="X964" s="27"/>
      <c r="AA964" s="27"/>
    </row>
    <row r="965">
      <c r="C965" s="27"/>
      <c r="F965" s="27"/>
      <c r="I965" s="27"/>
      <c r="L965" s="27"/>
      <c r="O965" s="27"/>
      <c r="R965" s="27"/>
      <c r="U965" s="27"/>
      <c r="X965" s="27"/>
      <c r="AA965" s="27"/>
    </row>
    <row r="966">
      <c r="C966" s="27"/>
      <c r="F966" s="27"/>
      <c r="I966" s="27"/>
      <c r="L966" s="27"/>
      <c r="O966" s="27"/>
      <c r="R966" s="27"/>
      <c r="U966" s="27"/>
      <c r="X966" s="27"/>
      <c r="AA966" s="27"/>
    </row>
    <row r="967">
      <c r="C967" s="27"/>
      <c r="F967" s="27"/>
      <c r="I967" s="27"/>
      <c r="L967" s="27"/>
      <c r="O967" s="27"/>
      <c r="R967" s="27"/>
      <c r="U967" s="27"/>
      <c r="X967" s="27"/>
      <c r="AA967" s="27"/>
    </row>
    <row r="968">
      <c r="C968" s="27"/>
      <c r="F968" s="27"/>
      <c r="I968" s="27"/>
      <c r="L968" s="27"/>
      <c r="O968" s="27"/>
      <c r="R968" s="27"/>
      <c r="U968" s="27"/>
      <c r="X968" s="27"/>
      <c r="AA968" s="27"/>
    </row>
    <row r="969">
      <c r="C969" s="27"/>
      <c r="F969" s="27"/>
      <c r="I969" s="27"/>
      <c r="L969" s="27"/>
      <c r="O969" s="27"/>
      <c r="R969" s="27"/>
      <c r="U969" s="27"/>
      <c r="X969" s="27"/>
      <c r="AA969" s="27"/>
    </row>
    <row r="970">
      <c r="C970" s="27"/>
      <c r="F970" s="27"/>
      <c r="I970" s="27"/>
      <c r="L970" s="27"/>
      <c r="O970" s="27"/>
      <c r="R970" s="27"/>
      <c r="U970" s="27"/>
      <c r="X970" s="27"/>
      <c r="AA970" s="27"/>
    </row>
    <row r="971">
      <c r="C971" s="27"/>
      <c r="F971" s="27"/>
      <c r="I971" s="27"/>
      <c r="L971" s="27"/>
      <c r="O971" s="27"/>
      <c r="R971" s="27"/>
      <c r="U971" s="27"/>
      <c r="X971" s="27"/>
      <c r="AA971" s="27"/>
    </row>
    <row r="972">
      <c r="C972" s="27"/>
      <c r="F972" s="27"/>
      <c r="I972" s="27"/>
      <c r="L972" s="27"/>
      <c r="O972" s="27"/>
      <c r="R972" s="27"/>
      <c r="U972" s="27"/>
      <c r="X972" s="27"/>
      <c r="AA972" s="27"/>
    </row>
    <row r="973">
      <c r="C973" s="27"/>
      <c r="F973" s="27"/>
      <c r="I973" s="27"/>
      <c r="L973" s="27"/>
      <c r="O973" s="27"/>
      <c r="R973" s="27"/>
      <c r="U973" s="27"/>
      <c r="X973" s="27"/>
      <c r="AA973" s="27"/>
    </row>
    <row r="974">
      <c r="C974" s="27"/>
      <c r="F974" s="27"/>
      <c r="I974" s="27"/>
      <c r="L974" s="27"/>
      <c r="O974" s="27"/>
      <c r="R974" s="27"/>
      <c r="U974" s="27"/>
      <c r="X974" s="27"/>
      <c r="AA974" s="27"/>
    </row>
    <row r="975">
      <c r="C975" s="27"/>
      <c r="F975" s="27"/>
      <c r="I975" s="27"/>
      <c r="L975" s="27"/>
      <c r="O975" s="27"/>
      <c r="R975" s="27"/>
      <c r="U975" s="27"/>
      <c r="X975" s="27"/>
      <c r="AA975" s="27"/>
    </row>
    <row r="976">
      <c r="C976" s="27"/>
      <c r="F976" s="27"/>
      <c r="I976" s="27"/>
      <c r="L976" s="27"/>
      <c r="O976" s="27"/>
      <c r="R976" s="27"/>
      <c r="U976" s="27"/>
      <c r="X976" s="27"/>
      <c r="AA976" s="27"/>
    </row>
    <row r="977">
      <c r="C977" s="27"/>
      <c r="F977" s="27"/>
      <c r="I977" s="27"/>
      <c r="L977" s="27"/>
      <c r="O977" s="27"/>
      <c r="R977" s="27"/>
      <c r="U977" s="27"/>
      <c r="X977" s="27"/>
      <c r="AA977" s="27"/>
    </row>
    <row r="978">
      <c r="C978" s="27"/>
      <c r="F978" s="27"/>
      <c r="I978" s="27"/>
      <c r="L978" s="27"/>
      <c r="O978" s="27"/>
      <c r="R978" s="27"/>
      <c r="U978" s="27"/>
      <c r="X978" s="27"/>
      <c r="AA978" s="27"/>
    </row>
    <row r="979">
      <c r="C979" s="27"/>
      <c r="F979" s="27"/>
      <c r="I979" s="27"/>
      <c r="L979" s="27"/>
      <c r="O979" s="27"/>
      <c r="R979" s="27"/>
      <c r="U979" s="27"/>
      <c r="X979" s="27"/>
      <c r="AA979" s="27"/>
    </row>
    <row r="980">
      <c r="C980" s="27"/>
      <c r="F980" s="27"/>
      <c r="I980" s="27"/>
      <c r="L980" s="27"/>
      <c r="O980" s="27"/>
      <c r="R980" s="27"/>
      <c r="U980" s="27"/>
      <c r="X980" s="27"/>
      <c r="AA980" s="27"/>
    </row>
    <row r="981">
      <c r="C981" s="27"/>
      <c r="F981" s="27"/>
      <c r="I981" s="27"/>
      <c r="L981" s="27"/>
      <c r="O981" s="27"/>
      <c r="R981" s="27"/>
      <c r="U981" s="27"/>
      <c r="X981" s="27"/>
      <c r="AA981" s="27"/>
    </row>
    <row r="982">
      <c r="C982" s="27"/>
      <c r="F982" s="27"/>
      <c r="I982" s="27"/>
      <c r="L982" s="27"/>
      <c r="O982" s="27"/>
      <c r="R982" s="27"/>
      <c r="U982" s="27"/>
      <c r="X982" s="27"/>
      <c r="AA982" s="27"/>
    </row>
    <row r="983">
      <c r="C983" s="27"/>
      <c r="F983" s="27"/>
      <c r="I983" s="27"/>
      <c r="L983" s="27"/>
      <c r="O983" s="27"/>
      <c r="R983" s="27"/>
      <c r="U983" s="27"/>
      <c r="X983" s="27"/>
      <c r="AA983" s="27"/>
    </row>
    <row r="984">
      <c r="C984" s="27"/>
      <c r="F984" s="27"/>
      <c r="I984" s="27"/>
      <c r="L984" s="27"/>
      <c r="O984" s="27"/>
      <c r="R984" s="27"/>
      <c r="U984" s="27"/>
      <c r="X984" s="27"/>
      <c r="AA984" s="27"/>
    </row>
    <row r="985">
      <c r="C985" s="27"/>
      <c r="F985" s="27"/>
      <c r="I985" s="27"/>
      <c r="L985" s="27"/>
      <c r="O985" s="27"/>
      <c r="R985" s="27"/>
      <c r="U985" s="27"/>
      <c r="X985" s="27"/>
      <c r="AA985" s="27"/>
    </row>
    <row r="986">
      <c r="C986" s="27"/>
      <c r="F986" s="27"/>
      <c r="I986" s="27"/>
      <c r="L986" s="27"/>
      <c r="O986" s="27"/>
      <c r="R986" s="27"/>
      <c r="U986" s="27"/>
      <c r="X986" s="27"/>
      <c r="AA986" s="27"/>
    </row>
    <row r="987">
      <c r="C987" s="27"/>
      <c r="F987" s="27"/>
      <c r="I987" s="27"/>
      <c r="L987" s="27"/>
      <c r="O987" s="27"/>
      <c r="R987" s="27"/>
      <c r="U987" s="27"/>
      <c r="X987" s="27"/>
      <c r="AA987" s="27"/>
    </row>
    <row r="988">
      <c r="C988" s="27"/>
      <c r="F988" s="27"/>
      <c r="I988" s="27"/>
      <c r="L988" s="27"/>
      <c r="O988" s="27"/>
      <c r="R988" s="27"/>
      <c r="U988" s="27"/>
      <c r="X988" s="27"/>
      <c r="AA988" s="27"/>
    </row>
    <row r="989">
      <c r="C989" s="27"/>
      <c r="F989" s="27"/>
      <c r="I989" s="27"/>
      <c r="L989" s="27"/>
      <c r="O989" s="27"/>
      <c r="R989" s="27"/>
      <c r="U989" s="27"/>
      <c r="X989" s="27"/>
      <c r="AA989" s="27"/>
    </row>
    <row r="990">
      <c r="C990" s="27"/>
      <c r="F990" s="27"/>
      <c r="I990" s="27"/>
      <c r="L990" s="27"/>
      <c r="O990" s="27"/>
      <c r="R990" s="27"/>
      <c r="U990" s="27"/>
      <c r="X990" s="27"/>
      <c r="AA990" s="27"/>
    </row>
    <row r="991">
      <c r="C991" s="27"/>
      <c r="F991" s="27"/>
      <c r="I991" s="27"/>
      <c r="L991" s="27"/>
      <c r="O991" s="27"/>
      <c r="R991" s="27"/>
      <c r="U991" s="27"/>
      <c r="X991" s="27"/>
      <c r="AA991" s="27"/>
    </row>
    <row r="992">
      <c r="C992" s="27"/>
      <c r="F992" s="27"/>
      <c r="I992" s="27"/>
      <c r="L992" s="27"/>
      <c r="O992" s="27"/>
      <c r="R992" s="27"/>
      <c r="U992" s="27"/>
      <c r="X992" s="27"/>
      <c r="AA992" s="27"/>
    </row>
    <row r="993">
      <c r="C993" s="27"/>
      <c r="F993" s="27"/>
      <c r="I993" s="27"/>
      <c r="L993" s="27"/>
      <c r="O993" s="27"/>
      <c r="R993" s="27"/>
      <c r="U993" s="27"/>
      <c r="X993" s="27"/>
      <c r="AA993" s="27"/>
    </row>
    <row r="994">
      <c r="C994" s="27"/>
      <c r="F994" s="27"/>
      <c r="I994" s="27"/>
      <c r="L994" s="27"/>
      <c r="O994" s="27"/>
      <c r="R994" s="27"/>
      <c r="U994" s="27"/>
      <c r="X994" s="27"/>
      <c r="AA994" s="27"/>
    </row>
    <row r="995">
      <c r="C995" s="27"/>
      <c r="F995" s="27"/>
      <c r="I995" s="27"/>
      <c r="L995" s="27"/>
      <c r="O995" s="27"/>
      <c r="R995" s="27"/>
      <c r="U995" s="27"/>
      <c r="X995" s="27"/>
      <c r="AA995" s="27"/>
    </row>
    <row r="996">
      <c r="C996" s="27"/>
      <c r="F996" s="27"/>
      <c r="I996" s="27"/>
      <c r="L996" s="27"/>
      <c r="O996" s="27"/>
      <c r="R996" s="27"/>
      <c r="U996" s="27"/>
      <c r="X996" s="27"/>
      <c r="AA996" s="27"/>
    </row>
    <row r="997">
      <c r="C997" s="27"/>
      <c r="F997" s="27"/>
      <c r="I997" s="27"/>
      <c r="L997" s="27"/>
      <c r="O997" s="27"/>
      <c r="R997" s="27"/>
      <c r="U997" s="27"/>
      <c r="X997" s="27"/>
      <c r="AA997" s="27"/>
    </row>
    <row r="998">
      <c r="C998" s="27"/>
      <c r="F998" s="27"/>
      <c r="I998" s="27"/>
      <c r="L998" s="27"/>
      <c r="O998" s="27"/>
      <c r="R998" s="27"/>
      <c r="U998" s="27"/>
      <c r="X998" s="27"/>
      <c r="AA998" s="27"/>
    </row>
    <row r="999">
      <c r="C999" s="27"/>
      <c r="F999" s="27"/>
      <c r="I999" s="27"/>
      <c r="L999" s="27"/>
      <c r="O999" s="27"/>
      <c r="R999" s="27"/>
      <c r="U999" s="27"/>
      <c r="X999" s="27"/>
      <c r="AA999" s="27"/>
    </row>
    <row r="1000">
      <c r="C1000" s="27"/>
      <c r="F1000" s="27"/>
      <c r="I1000" s="27"/>
      <c r="L1000" s="27"/>
      <c r="O1000" s="27"/>
      <c r="R1000" s="27"/>
      <c r="U1000" s="27"/>
      <c r="X1000" s="27"/>
      <c r="AA1000" s="27"/>
    </row>
  </sheetData>
  <hyperlinks>
    <hyperlink r:id="rId1" ref="AB42"/>
    <hyperlink r:id="rId2" ref="AB52"/>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