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zongh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3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pc</t>
        </is>
      </c>
    </row>
    <row r="2">
      <c r="A2" t="inlineStr">
        <is>
          <t>++112397	 | Trojan.Win64.CobaltStrike.W	 | c54eb668cf76a37bf28f95c173770adf</t>
        </is>
      </c>
    </row>
    <row r="3">
      <c r="A3" t="inlineStr">
        <is>
          <t>++112416	 | Worm.Win32.AutoRun.DX	 | 2a6b762f82246c871c4ca358dd59f227</t>
        </is>
      </c>
    </row>
    <row r="4">
      <c r="A4">
        <f>=100001	 | Worm.Win32.FakeFolder.CJ	 | eb781c83c61a350a665c5d856afda89c</f>
        <v/>
      </c>
    </row>
    <row r="5">
      <c r="A5">
        <f>=100003	 | Trojan.Win32.FakeAV.F	 | 0f228d9d8bad3238eaa009dc075ae85b</f>
        <v/>
      </c>
    </row>
    <row r="6">
      <c r="A6">
        <f>=100004	 | Trojan.Win32.Vundo.S	 | 5bdee28a112f56fc5485a7201069a8c0</f>
        <v/>
      </c>
    </row>
    <row r="7">
      <c r="A7">
        <f>=100005	 | Trojan.Win32.FakeAlert.A	 | e37ee395f71224d5aceaaccfb1763404</f>
        <v/>
      </c>
    </row>
    <row r="8">
      <c r="A8">
        <f>=100006	 | Trojan.Win32.Vundo.M	 | </f>
        <v/>
      </c>
    </row>
    <row r="9">
      <c r="A9">
        <f>=100007	 | Backdoor.Win32.Backdoor.BS	 | 9bae0c5df250e34b94e6a1acbef781d1</f>
        <v/>
      </c>
    </row>
    <row r="10">
      <c r="A10">
        <f>=100008	 | Trojan.Win32.FenomenGame.C	 | 7892b21a35818d33d3f85258c00e59c7</f>
        <v/>
      </c>
    </row>
    <row r="11">
      <c r="A11">
        <f>=100010	 | Trojan.Win32.Misc.D	 | d6c2a5785be1f64ad6bbead7361966da</f>
        <v/>
      </c>
    </row>
    <row r="12">
      <c r="A12">
        <f>=100011	 | Worm.Win32.ElKern.A	 | 9c4b4f405ebe66108f94d9243d89c1cb</f>
        <v/>
      </c>
    </row>
    <row r="13">
      <c r="A13">
        <f>=100015	 | Worm.Win32.Allaple.O	 | ea0ef393ca3b27381691a9fb93f7581f</f>
        <v/>
      </c>
    </row>
    <row r="14">
      <c r="A14">
        <f>=100017	 | Agent.Win32.Downloader.BP	 | 96e65e2dd3c2f4d03abb4892385f7216</f>
        <v/>
      </c>
    </row>
    <row r="15">
      <c r="A15">
        <f>=100019	 | Backdoor.Win32.BDX.K	 | c5f558be2927e757d94cf467175545d3</f>
        <v/>
      </c>
    </row>
    <row r="16">
      <c r="A16">
        <f>=100020	 | Trojan.Win32.QQPass.V	 | </f>
        <v/>
      </c>
    </row>
    <row r="17">
      <c r="A17">
        <f>=100021	 | Trojan.Win32.FakeAV.E	 | ba6850c7d92d5205b521b87c9b0bd347</f>
        <v/>
      </c>
    </row>
    <row r="18">
      <c r="A18">
        <f>=100022	 | Trojan.Win32.FakeAV.D	 | 254aa02faff0c34662527849ad6666d9</f>
        <v/>
      </c>
    </row>
    <row r="19">
      <c r="A19">
        <f>=100023	 | Trojan.Win32.StartPage.BX	 | 41593ed6f8ead482ccde16ab5272be0c</f>
        <v/>
      </c>
    </row>
    <row r="20">
      <c r="A20">
        <f>=100024	 | Trojan.Win32.StartPage.BY	 | 8193464d5ac0753d6e48134d8a5390f4</f>
        <v/>
      </c>
    </row>
    <row r="21">
      <c r="A21">
        <f>=100025	 | Trojan.Win32.Vundo.G	 | b0da869821bd873511d7e1ff6d222160</f>
        <v/>
      </c>
    </row>
    <row r="22">
      <c r="A22">
        <f>=100026	 | Trojan.Win32.Vundo.I	 | 5b5fae2e6ec9ebd31f1643e4116ea014</f>
        <v/>
      </c>
    </row>
    <row r="23">
      <c r="A23">
        <f>=100027	 | Trojan.Win32.Crypt.BL	 | </f>
        <v/>
      </c>
    </row>
    <row r="24">
      <c r="A24">
        <f>=100028	 | Trojan.Win32.InjectNotepad.A	 | </f>
        <v/>
      </c>
    </row>
    <row r="25">
      <c r="A25">
        <f>=100029	 | Trojan.Win32.BHO.L	 | 322ad5bd3dd2b0fe53b6d76a22f9a470</f>
        <v/>
      </c>
    </row>
    <row r="26">
      <c r="A26">
        <f>=100030	 | Trojan.Win32.QBSteal.A	 | </f>
        <v/>
      </c>
    </row>
    <row r="27">
      <c r="A27">
        <f>=100031	 | Trojan.Win32.BHO.H	 | 01197d0106d5b7b52cbfc2feea42ecb3</f>
        <v/>
      </c>
    </row>
    <row r="28">
      <c r="A28">
        <f>=100032	 | Trojan.Win32.Vundo.H	 | d137ba4ada64d8d3d4849a4b50b00b97</f>
        <v/>
      </c>
    </row>
    <row r="29">
      <c r="A29">
        <f>=100033	 | Trojan.Win32.GameOnline.BM	 | 4c7db791c99ad96f9d91b51b6be053e4</f>
        <v/>
      </c>
    </row>
    <row r="30">
      <c r="A30">
        <f>=10003386	 | Html.Win32.Dropper.A	 | 0143d2eb94b9f8cc2b3eec60e367d94f</f>
        <v/>
      </c>
    </row>
    <row r="31">
      <c r="A31">
        <f>=10003389	 | Js.Win32.FakeJSQuery.B	 | e09a8f76dd04885f132897f34ef4b7ce</f>
        <v/>
      </c>
    </row>
    <row r="32">
      <c r="A32">
        <f>=10003392	 | Html.Win32.IframeRef.A	 | 04d26ff98fa35f26ec9cbbf251edaa60</f>
        <v/>
      </c>
    </row>
    <row r="33">
      <c r="A33">
        <f>=10003394	 | Html.Win32.IframeRef.B	 | bdd6d8bb073bf533fec90609e875521a</f>
        <v/>
      </c>
    </row>
    <row r="34">
      <c r="A34">
        <f>=100034	 | Trojan.Win32.GameOnline.BL	 | 33b409c5e342913fc0000d3f787b32f0</f>
        <v/>
      </c>
    </row>
    <row r="35">
      <c r="A35">
        <f>=10003408	 | Js.Win32.Redirector.A	 | 3dc1d6f17e09582dbe9e390e76de0f8a</f>
        <v/>
      </c>
    </row>
    <row r="36">
      <c r="A36">
        <f>=10003415	 | Js.Win32.Downloader.C	 | 171ced0da49a31b187a0f80162fd9f22</f>
        <v/>
      </c>
    </row>
    <row r="37">
      <c r="A37">
        <f>=10003424	 | Js.Win32.IframeInject.A	 | 115445b8c0bf9de8fa3c0d244ca22cac</f>
        <v/>
      </c>
    </row>
    <row r="38">
      <c r="A38">
        <f>=10003428	 | Js.Win32.CoinMiner.E	 | 0231e1bc89d5c3cd42583e8692fa2356</f>
        <v/>
      </c>
    </row>
    <row r="39">
      <c r="A39">
        <f>=10003457	 | Vbs.Win32.Downloader.A	 | </f>
        <v/>
      </c>
    </row>
    <row r="40">
      <c r="A40">
        <f>=10003458	 | Js.Win32.Faceliker.C	 | </f>
        <v/>
      </c>
    </row>
    <row r="41">
      <c r="A41">
        <f>=10003459	 | Js.Win32.Faceliker.D	 | </f>
        <v/>
      </c>
    </row>
    <row r="42">
      <c r="A42">
        <f>=10003462	 | Js.Win32.Downloader.D	 | cf17c111f899363c1d327f321bf138cc</f>
        <v/>
      </c>
    </row>
    <row r="43">
      <c r="A43">
        <f>=10003473	 | Js.Win32.Redirector.D	 | </f>
        <v/>
      </c>
    </row>
    <row r="44">
      <c r="A44">
        <f>=10003474	 | Js.Win32.Redirector.E	 | </f>
        <v/>
      </c>
    </row>
    <row r="45">
      <c r="A45">
        <f>=10003475	 | Js.Win32.Redirector.F	 | </f>
        <v/>
      </c>
    </row>
    <row r="46">
      <c r="A46">
        <f>=10003477	 | Js.Win32.Downloader.E	 | </f>
        <v/>
      </c>
    </row>
    <row r="47">
      <c r="A47">
        <f>=10003478	 | Js.Win32.iframpacked.A	 | </f>
        <v/>
      </c>
    </row>
    <row r="48">
      <c r="A48">
        <f>=10003488	 | Js.Win32.Faceliker.E	 | </f>
        <v/>
      </c>
    </row>
    <row r="49">
      <c r="A49">
        <f>=10003490	 | Js.Win32.FakeJSQuery.C	 | </f>
        <v/>
      </c>
    </row>
    <row r="50">
      <c r="A50">
        <f>=100035	 | Trojan.Win32.QQPass.E	 | </f>
        <v/>
      </c>
    </row>
    <row r="51">
      <c r="A51">
        <f>=10003543	 | Js.Win32.Faceliker.G	 | 3e10d90a4a8a29dd75e26d4175b36d32</f>
        <v/>
      </c>
    </row>
    <row r="52">
      <c r="A52">
        <f>=10003546	 | Js.Win32.Faceliker.I	 | 3e10d90a4a8a29dd75e26d4175b36d32</f>
        <v/>
      </c>
    </row>
    <row r="53">
      <c r="A53">
        <f>=10003549	 | Js.Win32.Faceliker.J	 | 3e10d90a4a8a29dd75e26d4175b36d32</f>
        <v/>
      </c>
    </row>
    <row r="54">
      <c r="A54">
        <f>=10003551	 | Js.Win32.Faceliker.L	 | 3e10d90a4a8a29dd75e26d4175b36d32</f>
        <v/>
      </c>
    </row>
    <row r="55">
      <c r="A55">
        <f>=10003556	 | Vbs.Win32.Downloader.D	 | f59513841e075889e2bdb9d9b33a08e5</f>
        <v/>
      </c>
    </row>
    <row r="56">
      <c r="A56">
        <f>=10003559	 | Js.Win32.CoinMiner.H	 | 3e10d90a4a8a29dd75e26d4175b36d32</f>
        <v/>
      </c>
    </row>
    <row r="57">
      <c r="A57">
        <f>=10003560	 | Js.Win32.Redirector.G	 | 217629e88124c12225818d8a242d8383</f>
        <v/>
      </c>
    </row>
    <row r="58">
      <c r="A58">
        <f>=10003561	 | Js.Win32.Redirector.H	 | 2050bfe11c126082b3b8dfb06d8c4cb9</f>
        <v/>
      </c>
    </row>
    <row r="59">
      <c r="A59">
        <f>=10003562	 | Js.Win32.Iframe.B	 | 2050bfe11c126082b3b8dfb06d8c4cb9</f>
        <v/>
      </c>
    </row>
    <row r="60">
      <c r="A60">
        <f>=10003563	 | Js.Win32.Iframe.C	 | 2050bfe11c126082b3b8dfb06d8c4cb9</f>
        <v/>
      </c>
    </row>
    <row r="61">
      <c r="A61">
        <f>=10003591	 | Html.Win32.Fujack.D	 | 0143d2eb94b9f8cc2b3eec60e367d94f</f>
        <v/>
      </c>
    </row>
    <row r="62">
      <c r="A62">
        <f>=10003592	 | Js.Win32.Agent.B	 | 0b07ef97d5e0873a61288b98aa0b606d</f>
        <v/>
      </c>
    </row>
    <row r="63">
      <c r="A63">
        <f>=10003594	 | Js.Win32.Agent.C	 | 29ad2bc89db0890e159c6959d7173064</f>
        <v/>
      </c>
    </row>
    <row r="64">
      <c r="A64">
        <f>=10003596	 | Js.Win32.HideLink.B	 | 29ad2bc89db0890e159c6959d7173064</f>
        <v/>
      </c>
    </row>
    <row r="65">
      <c r="A65">
        <f>=100036	 | Trojan.Win32.BHO.G	 | da9ea45ec048ead1ae3efe835bbef282</f>
        <v/>
      </c>
    </row>
    <row r="66">
      <c r="A66">
        <f>=10003600	 | Js.Win32.CoinMiner.I	 | 9606f58600ba148f801ecf33d3828fa8</f>
        <v/>
      </c>
    </row>
    <row r="67">
      <c r="A67">
        <f>=10003604	 | Js.Win32.iframpacked.B	 | 1981594f905793514ef5ea74b8ba1d6b</f>
        <v/>
      </c>
    </row>
    <row r="68">
      <c r="A68">
        <f>=10003647	 | Js.Win32.Nemucod.C	 | 0b07ef97d5e0873a61288b98aa0b606d</f>
        <v/>
      </c>
    </row>
    <row r="69">
      <c r="A69">
        <f>=10003648	 | Js.Win32.Nemucod.D	 | 97fbfb61b5f40622c92f5b54d8b8e23a</f>
        <v/>
      </c>
    </row>
    <row r="70">
      <c r="A70">
        <f>=10003652	 | Js.Win32.Nemucod.G	 | 97fbfb61b5f40622c92f5b54d8b8e23a</f>
        <v/>
      </c>
    </row>
    <row r="71">
      <c r="A71">
        <f>=10003654	 | Js.Win32.HideLink.D	 | a317339e13d417c16fbc129337ccacbd</f>
        <v/>
      </c>
    </row>
    <row r="72">
      <c r="A72">
        <f>=10003655	 | Js.Win32.HideLink.E	 | e0d2d886367677cf69c756965f0ef304</f>
        <v/>
      </c>
    </row>
    <row r="73">
      <c r="A73">
        <f>=10003656	 | Js.Win32.HideLink.F	 | dc114fc6de678ab81b6279856ddac9d4</f>
        <v/>
      </c>
    </row>
    <row r="74">
      <c r="A74">
        <f>=10003657	 | Js.Win32.HideLink.G	 | b561498603b9db12f2d9dcd1e4ba2609</f>
        <v/>
      </c>
    </row>
    <row r="75">
      <c r="A75">
        <f>=10003683	 | Js.Win32.Gnaeus.B	 | 0b4f0ba7cd10a851c09419cdb7fd7ab7</f>
        <v/>
      </c>
    </row>
    <row r="76">
      <c r="A76">
        <f>=10003700	 | Js.Win32.Swabfex.A	 | 00c3b5f37386be9ad65feec0c8a122b7</f>
        <v/>
      </c>
    </row>
    <row r="77">
      <c r="A77">
        <f>=10003708	 | Js.Win32.CDEject.A	 | 1bf6c7ba41c9ed504f3b61fa220eb93a</f>
        <v/>
      </c>
    </row>
    <row r="78">
      <c r="A78">
        <f>=10003729	 | Js.Win32.CoinMiner.J	 | 1bf6c7ba41c9ed504f3b61fa220eb93a</f>
        <v/>
      </c>
    </row>
    <row r="79">
      <c r="A79">
        <f>=10003740	 | Js.Win32.Nemucod.H	 | 31f707631ec573ea3477c3a9fa99c5ab</f>
        <v/>
      </c>
    </row>
    <row r="80">
      <c r="A80">
        <f>=10003741	 | Js.Win32.Nemucod.I	 | 82b4bde8e8524c53a9938413bb23f9a3</f>
        <v/>
      </c>
    </row>
    <row r="81">
      <c r="A81">
        <f>=10003746	 | Js.Win32.Twetti.A	 | 0559d3dca76db8f2d1aa67ae87ab166b</f>
        <v/>
      </c>
    </row>
    <row r="82">
      <c r="A82">
        <f>=10003747	 | Js.Win32.Downloader.F	 | 0559d3dca76db8f2d1aa67ae87ab166b</f>
        <v/>
      </c>
    </row>
    <row r="83">
      <c r="A83">
        <f>=10003768	 | Js.Win32.CoinMiner.K	 | 67567c8234ceaebf0b2ba669294396a0</f>
        <v/>
      </c>
    </row>
    <row r="84">
      <c r="A84">
        <f>=10003781	 | Js.Win32.Nemucod.J	 | abd8a012d31905bb9266cdfd52a574c2</f>
        <v/>
      </c>
    </row>
    <row r="85">
      <c r="A85">
        <f>=10003787	 | Js.Win32.Redirector.I	 | 5b066b4fc174d1815da6f81b102ca511</f>
        <v/>
      </c>
    </row>
    <row r="86">
      <c r="A86">
        <f>=10003788	 | Js.Win32.Nemucod.K	 | 82b4bde8e8524c53a9938413bb23f9a3</f>
        <v/>
      </c>
    </row>
    <row r="87">
      <c r="A87">
        <f>=100038	 | Trojan.Win32.GameOnline.M	 | a6d63f9bb94580810b59e344acbf1ccb</f>
        <v/>
      </c>
    </row>
    <row r="88">
      <c r="A88">
        <f>=10003830	 | Js.Win32.Redirector.J	 | 82b4bde8e8524c53a9938413bb23f9a3</f>
        <v/>
      </c>
    </row>
    <row r="89">
      <c r="A89">
        <f>=10003888	 | Js.Win32.HideLink.H	 | 0b07ef97d5e0873a61288b98aa0b606d</f>
        <v/>
      </c>
    </row>
    <row r="90">
      <c r="A90">
        <f>=10003889	 | Js.Win32.FakeJSQuery.E	 | f36e03351f945b7eb5db22069a357a28</f>
        <v/>
      </c>
    </row>
    <row r="91">
      <c r="A91">
        <f>=100039	 | Trojan.Win32.Koutodoor.AW	 | </f>
        <v/>
      </c>
    </row>
    <row r="92">
      <c r="A92">
        <f>=10003901	 | Js.Win32.Nemucod.L	 | 2a3f414e015d34212f446dde21d6e711</f>
        <v/>
      </c>
    </row>
    <row r="93">
      <c r="A93">
        <f>=10003903	 | Js.Win32.Nemucod.N	 | 0724516316eeba0bc2ca0635b14d0195</f>
        <v/>
      </c>
    </row>
    <row r="94">
      <c r="A94">
        <f>=10003904	 | Js.Win32.Nemucod.O	 | 04fe3b3b88603867f0166eab55fd7b3b</f>
        <v/>
      </c>
    </row>
    <row r="95">
      <c r="A95">
        <f>=10003905	 | Js.Win32.Nemucod.P	 | 3fa5bae484a93a0f7dae94baf16d75d7</f>
        <v/>
      </c>
    </row>
    <row r="96">
      <c r="A96">
        <f>=10003906	 | Js.Win32.Nemucod.Q	 | 4c0716f56fae86ec2dcea115835927d9</f>
        <v/>
      </c>
    </row>
    <row r="97">
      <c r="A97">
        <f>=10003912	 | Js.Win32.Downloader.G	 | 8295c28857ec5665b9b491bbefc301c5</f>
        <v/>
      </c>
    </row>
    <row r="98">
      <c r="A98">
        <f>=10003913	 | Js.Win32.Downloader.H	 | d3658f0d465014a75f30596265792e4c</f>
        <v/>
      </c>
    </row>
    <row r="99">
      <c r="A99">
        <f>=10003914	 | Js.Win32.Redirector.K	 | 25b567a6ae7c7a9725462fc28fb42a00</f>
        <v/>
      </c>
    </row>
    <row r="100">
      <c r="A100">
        <f>=10003915	 | Js.Win32.Nemucod.R	 | a51f3385ec7c6cc964d55efbaa650a0d</f>
        <v/>
      </c>
    </row>
    <row r="101">
      <c r="A101">
        <f>=10003918	 | Js.Win32.Downloader.I	 | 3d9b61a0b36b68a1fb16237ca292d4ac</f>
        <v/>
      </c>
    </row>
    <row r="102">
      <c r="A102">
        <f>=10003934	 | Js.Win32.Faceliker.N	 | 0d2436edfd675a78fd0905fb1676e286</f>
        <v/>
      </c>
    </row>
    <row r="103">
      <c r="A103">
        <f>=10003936	 | Js.Win32.Nemucod.S	 | 2d36893a813dc53cbd56e289271b25d1</f>
        <v/>
      </c>
    </row>
    <row r="104">
      <c r="A104">
        <f>=10003947	 | Js.Win32.IframePacked.A	 | 82b2e7f6f9cefe1d197803525366811c</f>
        <v/>
      </c>
    </row>
    <row r="105">
      <c r="A105">
        <f>=10003962	 | Js.Win32.Redirector.L	 | 9e2ffb4d88e43442efdd73db0516fbaf</f>
        <v/>
      </c>
    </row>
    <row r="106">
      <c r="A106">
        <f>=100040	 | Trojan.Win32.HookHotKey.H	 | </f>
        <v/>
      </c>
    </row>
    <row r="107">
      <c r="A107">
        <f>=10004004	 | Js.Win32.Faceliker.P	 | 135c2e6dae6999ce6f0f4dbccdc15303</f>
        <v/>
      </c>
    </row>
    <row r="108">
      <c r="A108">
        <f>=10004005	 | Vbs.Win32.Hancitor.A	 | f563ce57eacef244b5478815f15cc7f5</f>
        <v/>
      </c>
    </row>
    <row r="109">
      <c r="A109">
        <f>=10004014	 | Html.Win32.Dropper.C	 | a556b0241aae74296f692767c6020b54</f>
        <v/>
      </c>
    </row>
    <row r="110">
      <c r="A110">
        <f>=10004017	 | Js.Win32.Downloader.L	 | f5e32eed2fd80dc19a67d4fc79127377</f>
        <v/>
      </c>
    </row>
    <row r="111">
      <c r="A111">
        <f>=10004018	 | Js.Win32.Downloader.M	 | 6cfb1fb694b8fabe35018b8cf6189cb0</f>
        <v/>
      </c>
    </row>
    <row r="112">
      <c r="A112">
        <f>=10004019	 | Js.Win32.Downloader.N	 | 6f88672d2b254d29f359e886ccb2b96c</f>
        <v/>
      </c>
    </row>
    <row r="113">
      <c r="A113">
        <f>=10004020	 | Js.Win32.Downloader.O	 | 3813ddf52b74556cf252b31cefaa2752</f>
        <v/>
      </c>
    </row>
    <row r="114">
      <c r="A114">
        <f>=10004027	 | Js.Win32.Downloader.P	 | e177ceaffac474a3a189a44e5147d3c4</f>
        <v/>
      </c>
    </row>
    <row r="115">
      <c r="A115">
        <f>=10004064	 | Js.Win32.Nemucod.T	 | 10b9c85e4a5e93dbf3ff7693145ba4c4</f>
        <v/>
      </c>
    </row>
    <row r="116">
      <c r="A116">
        <f>=10004065	 | Js.Win32.Nemucod.U	 | 8d984bc1e53c6f4300bc51e3cd4240cb</f>
        <v/>
      </c>
    </row>
    <row r="117">
      <c r="A117">
        <f>=10004066	 | Js.Win32.Downloader.Q	 | 0030d6d5dfca19af404f5af1818cbaa0</f>
        <v/>
      </c>
    </row>
    <row r="118">
      <c r="A118">
        <f>=10004067	 | Js.Win32.Downloader.R	 | 03c297e0bfead7a28a9bbe4d9af15464</f>
        <v/>
      </c>
    </row>
    <row r="119">
      <c r="A119">
        <f>=100041	 | Trojan.Win32.HookHotKey.G	 | </f>
        <v/>
      </c>
    </row>
    <row r="120">
      <c r="A120">
        <f>=10004103	 | Js.Win32.Faceliker.Q	 | 000ab7a7b148327fc828cd1da79f0a55</f>
        <v/>
      </c>
    </row>
    <row r="121">
      <c r="A121">
        <f>=10004104	 | Js.Win32.Faceliker.R	 | 002b62521817d0bb5e6f92306fcd1812</f>
        <v/>
      </c>
    </row>
    <row r="122">
      <c r="A122">
        <f>=10004106	 | Js.Win32.Swabfex.B	 | e476bb9acbb85469c619f732b9671efb</f>
        <v/>
      </c>
    </row>
    <row r="123">
      <c r="A123">
        <f>=10004108	 | Js.Win32.Swabfex.C	 | 69f7b0a01628d713048c2961779fdde5</f>
        <v/>
      </c>
    </row>
    <row r="124">
      <c r="A124">
        <f>=10004109	 | Vbs.Win32.Hancitor.B	 | 04a14a3848a7f58f6b1b23e763006cc3</f>
        <v/>
      </c>
    </row>
    <row r="125">
      <c r="A125">
        <f>=10004118	 | Vbs.Win32.Runner.A	 | 485c4b9a688dcecb56084f0402f35cac</f>
        <v/>
      </c>
    </row>
    <row r="126">
      <c r="A126">
        <f>=10004133	 | Js.Win32.Downloader.S	 | 08a2f4a9b3a30163f21d98d41c2ac87e</f>
        <v/>
      </c>
    </row>
    <row r="127">
      <c r="A127">
        <f>=10004136	 | Js.Win32.Iframe.D	 | 009bdb4cf230cf1c9637b44d70019aea</f>
        <v/>
      </c>
    </row>
    <row r="128">
      <c r="A128">
        <f>=10004138	 | Js.Win32.Iframe.F	 | 1bb52ac8c600675f9cb08d1003a3304d</f>
        <v/>
      </c>
    </row>
    <row r="129">
      <c r="A129">
        <f>=10004143	 | Js.Win32.Downloader.U	 | 1d0118a635172afd8a3fd8967755cead</f>
        <v/>
      </c>
    </row>
    <row r="130">
      <c r="A130">
        <f>=10004144	 | Js.Win32.Agent.H	 | 318d79edc5b5380b33892a591cb0980e</f>
        <v/>
      </c>
    </row>
    <row r="131">
      <c r="A131">
        <f>=10004157	 | Js.Win32.Nemucod.V	 | 33ce6955f057da96175ae426ebd32a5d</f>
        <v/>
      </c>
    </row>
    <row r="132">
      <c r="A132">
        <f>=10004165	 | Js.Win32.Agent.I	 | a6de5aea1f087361d4a0c06c1e68a210</f>
        <v/>
      </c>
    </row>
    <row r="133">
      <c r="A133">
        <f>=10004166	 | Js.Win32.Nemucod.W	 | 7f4144270e6eb302c2ba97c5ffc67744</f>
        <v/>
      </c>
    </row>
    <row r="134">
      <c r="A134">
        <f>=10004167	 | Js.Win32.Nemucod.X	 | ecc614d5266c3a3403044042ee72012d</f>
        <v/>
      </c>
    </row>
    <row r="135">
      <c r="A135">
        <f>=10004168	 | Js.Win32.Nemucod.Y	 | c07cc07afe3d65a4fe1a63454a661135</f>
        <v/>
      </c>
    </row>
    <row r="136">
      <c r="A136">
        <f>=10004169	 | Js.Win32.Nemucod.AA	 | 68729b42c23b317ab9f1396a8309edb6</f>
        <v/>
      </c>
    </row>
    <row r="137">
      <c r="A137">
        <f>=10004177	 | Js.Win32.Nemucod.AC	 | 9C7DDD684EC623D1C02C25833086927A</f>
        <v/>
      </c>
    </row>
    <row r="138">
      <c r="A138">
        <f>=100042	 | Worm.Win32.FakeFolder.BT	 | 956cfcf463010d8e50b02c6e24cb55b7</f>
        <v/>
      </c>
    </row>
    <row r="139">
      <c r="A139">
        <f>=100044	 | Worm.Win32.FakeFolder.BQ	 | e00460d795e5703fc2a567167b048f94</f>
        <v/>
      </c>
    </row>
    <row r="140">
      <c r="A140">
        <f>=100045	 | Trojan.Win32.AutoIt.D	 | </f>
        <v/>
      </c>
    </row>
    <row r="141">
      <c r="A141">
        <f>=100046	 | Trojan.Win32.FenomenGame.D	 | </f>
        <v/>
      </c>
    </row>
    <row r="142">
      <c r="A142">
        <f>=100047	 | Trojan.Win32.HookHotKey.F	 | </f>
        <v/>
      </c>
    </row>
    <row r="143">
      <c r="A143">
        <f>=100049	 | Trojan.Win32.Vundo.F	 | 964c0da80da41ecf94973c8b91754aaa</f>
        <v/>
      </c>
    </row>
    <row r="144">
      <c r="A144">
        <f>=10004964	 | Js.Win32.Nemucod.AD	 | 02b4f05bcc652e1d2ec9796196eba877</f>
        <v/>
      </c>
    </row>
    <row r="145">
      <c r="A145">
        <f>=10004965	 | Js.Win32.Nemucod.AE	 | 2d126b36a161564fb92d8c9dc877ebb9</f>
        <v/>
      </c>
    </row>
    <row r="146">
      <c r="A146">
        <f>=10004966	 | Js.Win32.Nimda.A	 | 373607a46a3685ced197e7c1fe15d3d9</f>
        <v/>
      </c>
    </row>
    <row r="147">
      <c r="A147">
        <f>=100050	 | Trojan.Win32.DelphiAdware.A	 | 77ce1bbe6033e15b3b84ca52f664ce7a</f>
        <v/>
      </c>
    </row>
    <row r="148">
      <c r="A148">
        <f>=10005007	 | Js.Win32.Agent.L	 | 136071bb2793c20a3967b14f1b4d3040</f>
        <v/>
      </c>
    </row>
    <row r="149">
      <c r="A149">
        <f>=100051	 | Trojan.Win32.Vundo.D	 | c1aca55446ae98069349195767f4b03e</f>
        <v/>
      </c>
    </row>
    <row r="150">
      <c r="A150">
        <f>=100052	 | Trojan.Win64.Simda.A	 | 1ded29a9bd0f8c45259ee536c1009505</f>
        <v/>
      </c>
    </row>
    <row r="151">
      <c r="A151">
        <f>=100053	 | Trojan.Win32.GameOnline.FH	 | 1d0ab9f3005dc0ad99045bb84e245480</f>
        <v/>
      </c>
    </row>
    <row r="152">
      <c r="A152">
        <f>=100054	 | Trojan.Win32.Loader.V	 | </f>
        <v/>
      </c>
    </row>
    <row r="153">
      <c r="A153">
        <f>=10005462	 | Html.Win32.IframeBof.D	 | 0a237dd4a2a2fd4747f902eb40ebc7d0</f>
        <v/>
      </c>
    </row>
    <row r="154">
      <c r="A154">
        <f>=10005476	 | Html.Win32.IframeBof.F	 | b74b6a8ddda709b506df4760a9518d21</f>
        <v/>
      </c>
    </row>
    <row r="155">
      <c r="A155">
        <f>=100055	 | Trojan.Win32.Adware.BHO	 | 76b24baa61f3509afd7891be04e7ceb6</f>
        <v/>
      </c>
    </row>
    <row r="156">
      <c r="A156">
        <f>=10005507	 | Js.Win32.Downloader.V	 | fe863c7d670bfb039e89807bce17722a</f>
        <v/>
      </c>
    </row>
    <row r="157">
      <c r="A157">
        <f>=10005508	 | Js.Win32.Generic.A	 | 2dce91886cd1e0378d7aca6d69e218df</f>
        <v/>
      </c>
    </row>
    <row r="158">
      <c r="A158">
        <f>=100056	 | Trojan.Win32.Vundo.C	 | </f>
        <v/>
      </c>
    </row>
    <row r="159">
      <c r="A159">
        <f>=10005659	 | Exploit.Win32.Generic.A	 | 2ab4093750f5e5a403bd19fe3f075e4d</f>
        <v/>
      </c>
    </row>
    <row r="160">
      <c r="A160">
        <f>=10005660	 | HTML.Win32.ExpGen.A	 | 08bf63a9f03e3f5a797b914eb5896a4c</f>
        <v/>
      </c>
    </row>
    <row r="161">
      <c r="A161">
        <f>=100057	 | Trojan.Win32.Vundo.B	 | </f>
        <v/>
      </c>
    </row>
    <row r="162">
      <c r="A162">
        <f>=10005709	 | Js.Win32.Generic.B	 | c72de26675645238b6056d232eb7c9f0</f>
        <v/>
      </c>
    </row>
    <row r="163">
      <c r="A163">
        <f>=100058	 | Trojan.Win32.VirRunner.A	 | </f>
        <v/>
      </c>
    </row>
    <row r="164">
      <c r="A164">
        <f>=10005814	 | Html.Win32.Redirector.A	 | f6af7e1a58480727b90bd9907006b83d</f>
        <v/>
      </c>
    </row>
    <row r="165">
      <c r="A165">
        <f>=10005826	 | Html.Win32.Phish.D	 | ff7d4b6a26ae6f8970524732e54fc96e</f>
        <v/>
      </c>
    </row>
    <row r="166">
      <c r="A166">
        <f>=100059	 | Trojan.Win32.StartPage.BD	 | bb87f47a13f94e9b11e92d2c879431f2</f>
        <v/>
      </c>
    </row>
    <row r="167">
      <c r="A167">
        <f>=10005973	 | Js.Win32.Cryxos.A	 | e9db67768d0487e5ba52cb099d15ce23</f>
        <v/>
      </c>
    </row>
    <row r="168">
      <c r="A168">
        <f>=10005988	 | Hackertool.Win32.EquationDrug.A	 | 7beb08b9b4fc27c883f593f6abc53eee</f>
        <v/>
      </c>
    </row>
    <row r="169">
      <c r="A169">
        <f>=100060	 | Backdoor.Win32.Gh0st.FO	 | </f>
        <v/>
      </c>
    </row>
    <row r="170">
      <c r="A170">
        <f>=10006114	 | Html.Win32.Webshell.I	 | 184901d7b9a409f76f7647167e07abe5</f>
        <v/>
      </c>
    </row>
    <row r="171">
      <c r="A171">
        <f>=10006116	 | Html.Win32.Webshell.K	 | 3acaa237f3d78e70230e799fa1bc5fa2</f>
        <v/>
      </c>
    </row>
    <row r="172">
      <c r="A172">
        <f>=10006177	 | Script.Win32.Alisp.A	 | d8223b4da307c4d013a46549a188f0ce</f>
        <v/>
      </c>
    </row>
    <row r="173">
      <c r="A173">
        <f>=100062	 | Trojan.Win32.KillAV.T	 | d838405c1996f55e8d4f33fb7a97237c</f>
        <v/>
      </c>
    </row>
    <row r="174">
      <c r="A174">
        <f>=10006233	 | Script.Win32.Alisp.D	 | 7886bf17ecb8c16c229af0bbd1fb6630</f>
        <v/>
      </c>
    </row>
    <row r="175">
      <c r="A175">
        <f>=100063	 | Worm.Win32.FakeFolder.BL	 | </f>
        <v/>
      </c>
    </row>
    <row r="176">
      <c r="A176">
        <f>=10006315	 | Trojan.Win32.DownLoader.GFT	 | 9c38d7f6a14e8704def67a8704a30caa</f>
        <v/>
      </c>
    </row>
    <row r="177">
      <c r="A177">
        <f>=10006323	 | Html.Win32.Phominer.A	 | 4eda5adee0304d7f34005ff99e17a756</f>
        <v/>
      </c>
    </row>
    <row r="178">
      <c r="A178">
        <f>=10006326	 | Script.Win32.Dropper.A	 | 6df8130a4ae4d4f1fcba84f03c15d0b9</f>
        <v/>
      </c>
    </row>
    <row r="179">
      <c r="A179">
        <f>=10006373	 | Html.Win32.CoinMiner.A	 | dcbbe29fc8a3287f8db0918764a0e10c</f>
        <v/>
      </c>
    </row>
    <row r="180">
      <c r="A180">
        <f>=10006397	 | Script.Win32.Alisp.E	 | 3afb26371dd0ebc2a682f8e249fe1de8</f>
        <v/>
      </c>
    </row>
    <row r="181">
      <c r="A181">
        <f>=100064	 | Backdoor.Win32.Backdoor.A	 | </f>
        <v/>
      </c>
    </row>
    <row r="182">
      <c r="A182">
        <f>=10006415	 | Script.Win32.Agent.A	 | 2ed1806094ea32dd85bd8166d456485d</f>
        <v/>
      </c>
    </row>
    <row r="183">
      <c r="A183">
        <f>=100065	 | Trojan.Win32.Urelas.A	 | b1d7577c86eba283497e492acf7bdde5</f>
        <v/>
      </c>
    </row>
    <row r="184">
      <c r="A184">
        <f>=10006576	 | Html.Win32.Redirector.F	 | f912478db4d5eb3c375b2daad57ac98f</f>
        <v/>
      </c>
    </row>
    <row r="185">
      <c r="A185">
        <f>=10006591	 | Js.Win32.Decode.A	 | fd72dd23cd3372cc9050cf7a7f5475bf</f>
        <v/>
      </c>
    </row>
    <row r="186">
      <c r="A186">
        <f>=100066	 | Trojan.Win32.Urelas.B	 | </f>
        <v/>
      </c>
    </row>
    <row r="187">
      <c r="A187">
        <f>=10006641	 | Html.Win32.Iframe.J	 | ea8ab1ad35c3a8e36bfc8101120233d7</f>
        <v/>
      </c>
    </row>
    <row r="188">
      <c r="A188">
        <f>=100067	 | Backdoor.Win32.VB.A	 | 886621aed55a79ce12388eabfd0d9e46</f>
        <v/>
      </c>
    </row>
    <row r="189">
      <c r="A189">
        <f>=10006700	 | Script.Win32.Generic.B	 | 114ae527336f20ac2443097cd8b04e68</f>
        <v/>
      </c>
    </row>
    <row r="190">
      <c r="A190">
        <f>=10006721	 | Powershell.Win32.Netwalker.D	 | 0d890fc8e761b764ba3a04af07197e20</f>
        <v/>
      </c>
    </row>
    <row r="191">
      <c r="A191">
        <f>=100068	 | Trojan.Win32.StartPage.A	 | d3ad55582befeb4bd5dc8e0d05b4c117</f>
        <v/>
      </c>
    </row>
    <row r="192">
      <c r="A192">
        <f>=100069	 | Backdoor.Win32.Agent.DF	 | 53865ea3f1e8856b7b0178569c449531</f>
        <v/>
      </c>
    </row>
    <row r="193">
      <c r="A193">
        <f>=10006945	 | Script.Win32.Backdoor.A	 | 9d86b6ca1cda17454eebfab3587cd501</f>
        <v/>
      </c>
    </row>
    <row r="194">
      <c r="A194">
        <f>=100070	 | Worm.Win32.Wenper.A	 | 274cfa6ddd302e2496fc595cfd68e6b9</f>
        <v/>
      </c>
    </row>
    <row r="195">
      <c r="A195">
        <f>=10007000	 | Script.Win32.Bursted.A	 | ebc413a6b911247eabca9dec9835c4a4</f>
        <v/>
      </c>
    </row>
    <row r="196">
      <c r="A196">
        <f>=10007009	 | Script.Win32.Bursted.C	 | ebf53085b59b15b377ee891bb94b5132</f>
        <v/>
      </c>
    </row>
    <row r="197">
      <c r="A197">
        <f>=100071	 | Worm.Win32.Socks.A	 | 7d2475344ef60e095dcca63cb99f8a68</f>
        <v/>
      </c>
    </row>
    <row r="198">
      <c r="A198">
        <f>=10007124	 | Vbs.Win32.Generic.B	 | 03383063f3fbdb51d142d7f022d52858</f>
        <v/>
      </c>
    </row>
    <row r="199">
      <c r="A199">
        <f>=100072	 | Backdoor.Win32.Agent.EA	 | 38d69263656a4a714ab008e3d59f611d</f>
        <v/>
      </c>
    </row>
    <row r="200">
      <c r="A200">
        <f>=100073	 | Trojan.Win32.FenomenGame.A	 | 244931b8d85234a32544b3a05d592ff7</f>
        <v/>
      </c>
    </row>
    <row r="201">
      <c r="A201">
        <f>=10007360	 | Trojan.Win32.Generic.KI	 | e17a16fb1bcf2304852c0c3abd39b2c3</f>
        <v/>
      </c>
    </row>
    <row r="202">
      <c r="A202">
        <f>=100074	 | Trojan.Win32.FenomenGame.B	 | 58d9fa7303f2588b5053486919c630db</f>
        <v/>
      </c>
    </row>
    <row r="203">
      <c r="A203">
        <f>=100075	 | Worm.Win32.Delf.A	 | 0762d961193e15b32c9a9c9afd7d677e</f>
        <v/>
      </c>
    </row>
    <row r="204">
      <c r="A204">
        <f>=100076	 | Trojan.Win32.Loader.A	 | c90e2178abc04eac64b9587a44835ffa</f>
        <v/>
      </c>
    </row>
    <row r="205">
      <c r="A205">
        <f>=100077	 | Trojan.Win32.GameOnline.BS	 | 0aca931dc6c20248383e8a39845a75d0</f>
        <v/>
      </c>
    </row>
    <row r="206">
      <c r="A206">
        <f>=100078	 | Trojan.Win32.VBCode.O	 | </f>
        <v/>
      </c>
    </row>
    <row r="207">
      <c r="A207">
        <f>=10007806	 | Backdoor.Win32.SecureBoot.A	 | 8b0da6527cfbbd3897c7f206861d5951</f>
        <v/>
      </c>
    </row>
    <row r="208">
      <c r="A208">
        <f>=10007807	 | Backdoor.Win32.SecureBoot.B	 | 0a82265cc2f8f20bba63926559676ad6</f>
        <v/>
      </c>
    </row>
    <row r="209">
      <c r="A209">
        <f>=100079	 | Trojan.Win32.GameOnline.DB	 | ee2d9f526027adc11fafa911fba97144</f>
        <v/>
      </c>
    </row>
    <row r="210">
      <c r="A210">
        <f>=100080	 | Worm.Win32.FakeFolder.BM	 | 107f55cf6c5ad48c110eca1368394831</f>
        <v/>
      </c>
    </row>
    <row r="211">
      <c r="A211">
        <f>=100081	 | Worm.Win32.FakeFolder.BV	 | 33f89cf9ab1145bee90632ea5f5e04e2</f>
        <v/>
      </c>
    </row>
    <row r="212">
      <c r="A212">
        <f>=100082	 | Worm.Win32.FakeFolder.CA	 | d2a23721c248902eee9af8a108ba060b</f>
        <v/>
      </c>
    </row>
    <row r="213">
      <c r="A213">
        <f>=100083	 | Trojan.Win32.Binder.B	 | 3a3ddd421b572dd9580f4273b0fe3b0e</f>
        <v/>
      </c>
    </row>
    <row r="214">
      <c r="A214">
        <f>=10008332	 | Trojan.Win32.WebShell.B	 | ac4a2fb7af67a1242fba4e0a62306b47</f>
        <v/>
      </c>
    </row>
    <row r="215">
      <c r="A215">
        <f>=10008380	 | Script.Win32.Webshell.A	 | 1380e55d8a337245798d11ee14f6c4e8</f>
        <v/>
      </c>
    </row>
    <row r="216">
      <c r="A216">
        <f>=100084	 | Trojan.Win32.Binder.C	 | 8984d993d5ba8d136261bd584468c616</f>
        <v/>
      </c>
    </row>
    <row r="217">
      <c r="A217">
        <f>=10008408	 | Bash.Linux.Miner.E	 | e87ade45c4c272bfe7a308509361e8ac</f>
        <v/>
      </c>
    </row>
    <row r="218">
      <c r="A218">
        <f>=10008445	 | Bash.Linux.Downloader.C	 | 8A3C9B85BA61F2594E0F696BC0E5A4DD</f>
        <v/>
      </c>
    </row>
    <row r="219">
      <c r="A219">
        <f>=10008450	 | Bash.Linux.Shell.K	 | 8a3c9b85ba61f2594e0f696bc0e5a4dd</f>
        <v/>
      </c>
    </row>
    <row r="220">
      <c r="A220">
        <f>=10008469	 | Backdoor.Win32.Webshell.E	 | 0b4f4dee8b709ee6237032b536544af9</f>
        <v/>
      </c>
    </row>
    <row r="221">
      <c r="A221">
        <f>=10008496	 | Script.Win32.Alisp.F	 | 7d318c0a1f31f61993e0a8c9c4b57736</f>
        <v/>
      </c>
    </row>
    <row r="222">
      <c r="A222">
        <f>=100085	 | Worm.Win32.FakeFolder.CD	 | </f>
        <v/>
      </c>
    </row>
    <row r="223">
      <c r="A223">
        <f>=100086	 | Trojan.Win32.GameOnline.EG	 | </f>
        <v/>
      </c>
    </row>
    <row r="224">
      <c r="A224">
        <f>=10008630	 | Trojan.Win32.CoinMiner.AA	 | bd88e53f79e7d7c325b09d3a1df63d96</f>
        <v/>
      </c>
    </row>
    <row r="225">
      <c r="A225">
        <f>=100087	 | Trojan.Win32.Agent.AU	 | ddd16d2fb0a04a6060d1d0f991f427f2</f>
        <v/>
      </c>
    </row>
    <row r="226">
      <c r="A226">
        <f>=100088	 | Trojan.Win32.GameOnline.EJ	 | 32495fbdaabd0a15ed0821272a6f090a</f>
        <v/>
      </c>
    </row>
    <row r="227">
      <c r="A227">
        <f>=10008821	 | Script.Win32.Jsprat.A	 | 2638dfe7bc4604a7907651f565553f11</f>
        <v/>
      </c>
    </row>
    <row r="228">
      <c r="A228">
        <f>=10008827	 | Trojan.Win32.Webshell.D	 | 61a687b0bea0ef97224c7bd2df118b87</f>
        <v/>
      </c>
    </row>
    <row r="229">
      <c r="A229">
        <f>=10008830	 | Trojan.Win32.Webshell.E	 | 9bd01cdfe3eb90a09237b141ea1c702f</f>
        <v/>
      </c>
    </row>
    <row r="230">
      <c r="A230">
        <f>=10008851	 | Script.Win32.Zbot.A	 | dc9f26da26d32bf68e08ef7f4be26043</f>
        <v/>
      </c>
    </row>
    <row r="231">
      <c r="A231">
        <f>=10008856	 | Script.Win32.Downloader.A	 | ecb10a728fcf1943cdd81528327cf36f</f>
        <v/>
      </c>
    </row>
    <row r="232">
      <c r="A232">
        <f>=10008860	 | Hackertool.Win32.PowerShell.A	 | 4c9e8db116aa6d9e1a4d14319a625027</f>
        <v/>
      </c>
    </row>
    <row r="233">
      <c r="A233">
        <f>=10008866	 | Backdoor.Win32.Webshell.H	 | 4745d510fed4378e4b1730f56f25e569</f>
        <v/>
      </c>
    </row>
    <row r="234">
      <c r="A234">
        <f>=100089	 | RootKit.Win32.ZeroAccess.A	 | c2ffa976931667ac7f6c122a23858b8f</f>
        <v/>
      </c>
    </row>
    <row r="235">
      <c r="A235">
        <f>=10008941	 | Hackertool.Win32.DirSniffer.A	 | 171307f0e7d4a19630de4dde30442a26</f>
        <v/>
      </c>
    </row>
    <row r="236">
      <c r="A236">
        <f>=10008947	 | Backdoor.Win32.WebShell.J	 | 0d2c2c151ed839e6bafc7aa9c69be715</f>
        <v/>
      </c>
    </row>
    <row r="237">
      <c r="A237">
        <f>=10008949	 | Backdoor.Win32.Webshell.L	 | 58c6300e73a5ab1813e2de2ec6ad7314</f>
        <v/>
      </c>
    </row>
    <row r="238">
      <c r="A238">
        <f>=10008950	 | Backdoor.Win32.Webshell.M	 | cb74e7355a3a1b07904dd233b630732c</f>
        <v/>
      </c>
    </row>
    <row r="239">
      <c r="A239">
        <f>=100090	 | Backdoor.Win32.Pushdo.A	 | e58a54379df123d0837eb7da57836206</f>
        <v/>
      </c>
    </row>
    <row r="240">
      <c r="A240">
        <f>=100091	 | Trojan.Win32.Agent.DK	 | </f>
        <v/>
      </c>
    </row>
    <row r="241">
      <c r="A241">
        <f>=100092	 | Backdoor.Win32.Agent.LF	 | </f>
        <v/>
      </c>
    </row>
    <row r="242">
      <c r="A242">
        <f>=100093	 | Trojan.Win32.EpicGames.A	 | </f>
        <v/>
      </c>
    </row>
    <row r="243">
      <c r="A243">
        <f>=100094	 | Trojan.Win32.Fire.A	 | bb291134f94bc7e58ee9b8f721471cbc</f>
        <v/>
      </c>
    </row>
    <row r="244">
      <c r="A244">
        <f>=100095	 | Trojan.Win32.GameOnline.A	 | bb8aeb3b3facdb7a29916cc2ce8c3cee</f>
        <v/>
      </c>
    </row>
    <row r="245">
      <c r="A245">
        <f>=100096	 | Worm.Win32.FakeFolder.L	 | </f>
        <v/>
      </c>
    </row>
    <row r="246">
      <c r="A246">
        <f>=10009663	 | Backdoor.Win32.WebShell.O	 | 8b0e6779f25a17f0ffb3df14122ba594</f>
        <v/>
      </c>
    </row>
    <row r="247">
      <c r="A247">
        <f>=10009664	 | Backdoor.Win32.WebShell.P	 | 1ba490f2a6207562f24a33b54eb2652d</f>
        <v/>
      </c>
    </row>
    <row r="248">
      <c r="A248">
        <f>=10009665	 | Backdoor.Win32.WebShell.Q	 | cbf64a56306c1b5d98898468fc1fdbd8</f>
        <v/>
      </c>
    </row>
    <row r="249">
      <c r="A249">
        <f>=100097	 | Worm.Win32.FakeFolder.O	 | </f>
        <v/>
      </c>
    </row>
    <row r="250">
      <c r="A250">
        <f>=10009722	 | Script.Win32.Generic.K	 | a7b67f07eee9627791e72d609d284acc</f>
        <v/>
      </c>
    </row>
    <row r="251">
      <c r="A251">
        <f>=100098	 | Worm.Win32.FakeFolder.Q	 | </f>
        <v/>
      </c>
    </row>
    <row r="252">
      <c r="A252">
        <f>=10009800	 | Script.Win32.Downloader.B	 | DEE8A9817FD9CC4E3B660E002B59F724</f>
        <v/>
      </c>
    </row>
    <row r="253">
      <c r="A253">
        <f>=100099	 | Worm.Win32.FakeFolder.R	 | </f>
        <v/>
      </c>
    </row>
    <row r="254">
      <c r="A254">
        <f>=10009900	 | Script.Win32.AntSword.C	 | eb2cd314d646a7549efaf0350b05c3e4</f>
        <v/>
      </c>
    </row>
    <row r="255">
      <c r="A255">
        <f>=10009929	 | Html.Win32.Redirector.T	 | c5c608f78ecb719d7421ec3bdfdaa4f3</f>
        <v/>
      </c>
    </row>
    <row r="256">
      <c r="A256">
        <f>=10009931	 | Backdoor.Win32.Cknife.A	 | 05aa9783c6a4a07895d4b56782fc8b45</f>
        <v/>
      </c>
    </row>
    <row r="257">
      <c r="A257">
        <f>=10009935	 | Script.Win32.WebShell.TI	 | 10cb9a1cd161f84b2de9524588e87a09</f>
        <v/>
      </c>
    </row>
    <row r="258">
      <c r="A258">
        <f>=10009950	 | Backdoor.Win32.WebShell.T	 | 1f366025d025b808715660ac93f1dc89</f>
        <v/>
      </c>
    </row>
    <row r="259">
      <c r="A259">
        <f>=100100	 | Trojan.Win32.StartPage.K	 | 122d174d951b594b9964c6bb7038a22e</f>
        <v/>
      </c>
    </row>
    <row r="260">
      <c r="A260">
        <f>=10010027	 | Backdoor.Win32.WebShell.U	 | 0be20043eba54294d0eb2c7d1e9e423d</f>
        <v/>
      </c>
    </row>
    <row r="261">
      <c r="A261">
        <f>=100101	 | Trojan.Win32.StartPage.CA	 | </f>
        <v/>
      </c>
    </row>
    <row r="262">
      <c r="A262">
        <f>=100102	 | Trojan.Win32.StartPage.T	 | c5c64378e4149a3c58d85d2e9145a397</f>
        <v/>
      </c>
    </row>
    <row r="263">
      <c r="A263">
        <f>=100103	 | Trojan.Win32.GameOnline.BV	 | d3a2fcc51dfb2b910fa2e0812a6399a3</f>
        <v/>
      </c>
    </row>
    <row r="264">
      <c r="A264">
        <f>=100104	 | Trojan.Win32.StartPage.AE	 | 4091923dc438fe55c9417d998e0c0658</f>
        <v/>
      </c>
    </row>
    <row r="265">
      <c r="A265">
        <f>=100105	 | Trojan.Win32.GameOnline.CG	 | d8f080b54d7445eb69be75b26d9b3933</f>
        <v/>
      </c>
    </row>
    <row r="266">
      <c r="A266">
        <f>=100106	 | Worm.Win32.FakeFolder.AC	 | d9d76a1f754bd80d317eaf1055aa8a80</f>
        <v/>
      </c>
    </row>
    <row r="267">
      <c r="A267">
        <f>=10010641	 | Script.Win32.Webshell.TY	 | F94A6088F1BECC69BCD079E71A23A235</f>
        <v/>
      </c>
    </row>
    <row r="268">
      <c r="A268">
        <f>=10010643	 | Script.Win32.Webshell.UB	 | F160B86408A5432C6D7A09410B96AA9E</f>
        <v/>
      </c>
    </row>
    <row r="269">
      <c r="A269">
        <f>=10010661	 | Html.Win32.Phishing.P	 | ed06da29945d9df259830ecefa96b8a5</f>
        <v/>
      </c>
    </row>
    <row r="270">
      <c r="A270">
        <f>=10010665	 | Trojan.Win32.IframeRef.B	 | 000e777d68019d85ce94d6b4a63db182</f>
        <v/>
      </c>
    </row>
    <row r="271">
      <c r="A271">
        <f>=10010675	 | Trojan.Win32.IframeRef.L	 | 0ef6d04d221996999f5ce465334ba901</f>
        <v/>
      </c>
    </row>
    <row r="272">
      <c r="A272">
        <f>=10010683	 | Trojan.Win32.IframeRef.T	 | 02ac17497dcaaa66f0a66631becb3bee</f>
        <v/>
      </c>
    </row>
    <row r="273">
      <c r="A273">
        <f>=10010687	 | Trojan.Win32.IframeRef.X	 | 4dcfe2f4cca706d6fe7981ce77edac90</f>
        <v/>
      </c>
    </row>
    <row r="274">
      <c r="A274">
        <f>=10010689	 | Trojan.Win32.IframeRef.AA	 | 5bb7d19307caaa7fe667002ce31d4aea</f>
        <v/>
      </c>
    </row>
    <row r="275">
      <c r="A275">
        <f>=10010696	 | Trojan.Win32.IframeRef.AH	 | 018b6c87da151961751574e687f0e083</f>
        <v/>
      </c>
    </row>
    <row r="276">
      <c r="A276">
        <f>=10010697	 | Trojan.Win32.IframeRef.AI	 | 18bcb6b9b661df7cd36dac73839f14ce</f>
        <v/>
      </c>
    </row>
    <row r="277">
      <c r="A277">
        <f>=100107	 | Worm.Win32.FakeFolder.AI	 | 10cd26f462c9b5687de39aac535776bf</f>
        <v/>
      </c>
    </row>
    <row r="278">
      <c r="A278">
        <f>=10010701	 | Trojan.Win32.IframeRef.AM	 | 28bed11b1ed6c7b791e20b3457b69414</f>
        <v/>
      </c>
    </row>
    <row r="279">
      <c r="A279">
        <f>=10010702	 | Trojan.Win32.IframeRef.AN	 | 29b0d3f2c2553840a486eb12baf70687</f>
        <v/>
      </c>
    </row>
    <row r="280">
      <c r="A280">
        <f>=10010704	 | Trojan.Win32.IframeRef.AP	 | 034c4853d878aca0906b222a737a5e05</f>
        <v/>
      </c>
    </row>
    <row r="281">
      <c r="A281">
        <f>=10010705	 | Trojan.Win32.IframeRef.AQ	 | 39cabe8d141b28d07dcfa2b00f1a28f4</f>
        <v/>
      </c>
    </row>
    <row r="282">
      <c r="A282">
        <f>=10010708	 | Trojan.Win32.IframeRef.AT	 | 92df8b19f3b3a4af915004e36b4f7312</f>
        <v/>
      </c>
    </row>
    <row r="283">
      <c r="A283">
        <f>=10010716	 | Trojan.Win32.IframeRef.BC	 | 1170d102368901b8c11fd237f2eef219</f>
        <v/>
      </c>
    </row>
    <row r="284">
      <c r="A284">
        <f>=10010720	 | Trojan.Win32.IframeRef.BG	 | 04602ab749dc08c5b74b24bea5eb7bf7</f>
        <v/>
      </c>
    </row>
    <row r="285">
      <c r="A285">
        <f>=10010724	 | Trojan.Win32.IframeRef.BK	 | 46648e29d0b9d41fe4ee6aa5bdcf0061</f>
        <v/>
      </c>
    </row>
    <row r="286">
      <c r="A286">
        <f>=10010726	 | Trojan.Win32.IframeRef.BM	 | 0715341b72aab02f30b9f59b4f0335c2</f>
        <v/>
      </c>
    </row>
    <row r="287">
      <c r="A287">
        <f>=10010728	 | Trojan.Win32.IframeRef.BO	 | 02734146ebd50268242acaf50206d160</f>
        <v/>
      </c>
    </row>
    <row r="288">
      <c r="A288">
        <f>=10010730	 | Trojan.Win32.IframeRef.BQ	 | 02847370763f55a60f68f3c10c5469c9</f>
        <v/>
      </c>
    </row>
    <row r="289">
      <c r="A289">
        <f>=10010732	 | Trojan.Win32.IframeRef.BS	 | a5b4db996dc7496ba3f61ca1281ceaad</f>
        <v/>
      </c>
    </row>
    <row r="290">
      <c r="A290">
        <f>=10010733	 | Trojan.Win32.IframeRef.BT	 | a80732fed7f3f5bb053922ebd665b279</f>
        <v/>
      </c>
    </row>
    <row r="291">
      <c r="A291">
        <f>=10010737	 | Trojan.Win32.IframeRef.BX	 | d2ab7bdc694b5044e3bf3043d85d138d</f>
        <v/>
      </c>
    </row>
    <row r="292">
      <c r="A292">
        <f>=10010754	 | Js.Win32.Flooder.A	 | 5694096eacd28c08fe7929d60982ad2f</f>
        <v/>
      </c>
    </row>
    <row r="293">
      <c r="A293">
        <f>=10010757	 | Html.Win32.Fujacks.D	 | 0eb4a99ddb7dab9ed28db1eafe305800</f>
        <v/>
      </c>
    </row>
    <row r="294">
      <c r="A294">
        <f>=10010761	 | Trojan.Win32.IframeRef.CE	 | eff8858b943042d9ad410b6a6d483aeb</f>
        <v/>
      </c>
    </row>
    <row r="295">
      <c r="A295">
        <f>=10010764	 | Trojan.Win32.IframeRef.CH	 | ee962154c89dfe30668583b1f7a0dc55</f>
        <v/>
      </c>
    </row>
    <row r="296">
      <c r="A296">
        <f>=10010765	 | Trojan.Win32.IframeRef.CI	 | ffeb3d9c60a7e0ea8588931dad6c2652</f>
        <v/>
      </c>
    </row>
    <row r="297">
      <c r="A297">
        <f>=10010766	 | Trojan.Win32.IframeRef.CJ	 | ff9ad99cbe1e49e6486890ef3fa2fbb5</f>
        <v/>
      </c>
    </row>
    <row r="298">
      <c r="A298">
        <f>=100108	 | Trojan.Win32.GameOnline.DA	 | e0c20e271293a721826619665ba0bfd4</f>
        <v/>
      </c>
    </row>
    <row r="299">
      <c r="A299">
        <f>=100109	 | Trojan.Win32.GameOnline.DF	 | 06739d1bbad16f1c5d1d3a64f538a3a9</f>
        <v/>
      </c>
    </row>
    <row r="300">
      <c r="A300">
        <f>=100110	 | Trojan.Win32.TaoJin.A	 | </f>
        <v/>
      </c>
    </row>
    <row r="301">
      <c r="A301">
        <f>=100111	 | Worm.Win32.Lebag.A	 | 48c3fc8c8480bc55154dea9188bd2f8d</f>
        <v/>
      </c>
    </row>
    <row r="302">
      <c r="A302">
        <f>=100112	 | Worm.Win32.NetSky.A	 | 1113774d9b01e7ebe6906ca34b55076e</f>
        <v/>
      </c>
    </row>
    <row r="303">
      <c r="A303">
        <f>=100113	 | Trojan.Win32.Sinresby.A	 | </f>
        <v/>
      </c>
    </row>
    <row r="304">
      <c r="A304">
        <f>=100114	 | Trojan.Win32.Koutodoor.AU	 | 2b3899eb013be0235acd499c9ebda576</f>
        <v/>
      </c>
    </row>
    <row r="305">
      <c r="A305">
        <f>=100115	 | Trojan.Win32.QQPass.T	 | cf1e9e8e4b11874e09bf2ed59f1735ef</f>
        <v/>
      </c>
    </row>
    <row r="306">
      <c r="A306">
        <f>=100116	 | Trojan.Win32.QQPass.S	 | 35cd6d361169a3b6a6ad94ab2b891fb1</f>
        <v/>
      </c>
    </row>
    <row r="307">
      <c r="A307">
        <f>=10011629	 | Trojan.Win32.CobaltStrike.I	 | e4541a98b484020d401e003cf93247bf</f>
        <v/>
      </c>
    </row>
    <row r="308">
      <c r="A308">
        <f>=10011631	 | Trojan.Win32.CobaltStrike.J	 | 5f1c2aa7cd3e861cd5d4903215c20357</f>
        <v/>
      </c>
    </row>
    <row r="309">
      <c r="A309">
        <f>=10011660	 | Exploit.Win32.Bsod.A	 | 33b2c109953facc126c5772fb2227663</f>
        <v/>
      </c>
    </row>
    <row r="310">
      <c r="A310">
        <f>=100117	 | Trojan.Win32.QQPass.W	 | a6fcbf39adef6f8846164c5cd1fc51d1</f>
        <v/>
      </c>
    </row>
    <row r="311">
      <c r="A311">
        <f>=10011748	 | Exploit.Win32.Bsod.C	 | 33b2c109953facc126c5772fb2227663</f>
        <v/>
      </c>
    </row>
    <row r="312">
      <c r="A312">
        <f>=10011751	 | Exploit.Win32.Bsod.E	 | 0387c477994f60f429b9cc73027ecf04</f>
        <v/>
      </c>
    </row>
    <row r="313">
      <c r="A313">
        <f>=100118	 | Backdoor.Win32.Gh0st.BQ	 | </f>
        <v/>
      </c>
    </row>
    <row r="314">
      <c r="A314">
        <f>=10011811	 | Exploit.Win32.Bsod.G	 | a66c7478147a0c398a9bb65917f4f9a6</f>
        <v/>
      </c>
    </row>
    <row r="315">
      <c r="A315">
        <f>=10011818	 | Js.Win32.Downloader.AH	 | ee18a1e200e3fc3beaf111a727851a60</f>
        <v/>
      </c>
    </row>
    <row r="316">
      <c r="A316">
        <f>=10011832	 | Script.Win32.CoinMiner.D	 | c9bf0286afd6d7c804377fe397c4b371</f>
        <v/>
      </c>
    </row>
    <row r="317">
      <c r="A317">
        <f>=10011847	 | Trojan.Win32.Meterpreter.AE	 | 6d6cc086eb85fe3c9fbd57dd685534b9</f>
        <v/>
      </c>
    </row>
    <row r="318">
      <c r="A318">
        <f>=10011850	 | Script.Win32.Meterpreter.C	 | 9FE143729656B6D3D3F29E514E45D1F1</f>
        <v/>
      </c>
    </row>
    <row r="319">
      <c r="A319">
        <f>=100119	 | Trojan.Win32.GameOnline.CY	 | </f>
        <v/>
      </c>
    </row>
    <row r="320">
      <c r="A320">
        <f>=10011928	 | Script.Win32.Agent.AMJ	 | 0efb36b6dd3493b7869e8da731eff77d</f>
        <v/>
      </c>
    </row>
    <row r="321">
      <c r="A321">
        <f>=10011945	 | Exploit.Win32.Pdfka.A	 | 00418296f44fb27d5ac4ea88628a7ec2</f>
        <v/>
      </c>
    </row>
    <row r="322">
      <c r="A322">
        <f>=10011962	 | Script.Win32.Webshell.UC	 | 5d7afdd542191c5fa70428a2b8634bbb</f>
        <v/>
      </c>
    </row>
    <row r="323">
      <c r="A323">
        <f>=100120	 | Trojan.Win32.HOOKLoader.AY	 | 0664fec06b628ecd38a6ee96cf33f83c</f>
        <v/>
      </c>
    </row>
    <row r="324">
      <c r="A324">
        <f>=10012068	 | Script.Win32.Agent.AQC	 | c667630f25022f413e81adce6750d42e</f>
        <v/>
      </c>
    </row>
    <row r="325">
      <c r="A325">
        <f>=10012071	 | Script.Win32.Agent.AQF	 | 3c63bb9818fc31004fa78ca0a161ea60</f>
        <v/>
      </c>
    </row>
    <row r="326">
      <c r="A326">
        <f>=10012072	 | Script.Win32.Agent.AQG	 | 7aa2fe11b75d4a5ce91107bf8a9eb26c</f>
        <v/>
      </c>
    </row>
    <row r="327">
      <c r="A327">
        <f>=10012073	 | Script.Win32.Agent.AQH	 | 2222</f>
        <v/>
      </c>
    </row>
    <row r="328">
      <c r="A328">
        <f>=10012074	 | Script.Win32.Agent.AQI	 | 718c1abb3d4f9cf1dcbf341c77ea4bba</f>
        <v/>
      </c>
    </row>
    <row r="329">
      <c r="A329">
        <f>=10012076	 | Script.Win32.Agent.AQK	 | d7a520b31d449eb16aa1218ff51d8cac</f>
        <v/>
      </c>
    </row>
    <row r="330">
      <c r="A330">
        <f>=10012078	 | Script.Win32.Agent.AQM	 | 224ea409fb28b670497cc53750b055fe</f>
        <v/>
      </c>
    </row>
    <row r="331">
      <c r="A331">
        <f>=10012079	 | Script.Win32.Agent.AQN	 | b544498e899902784aaf60c385067a39</f>
        <v/>
      </c>
    </row>
    <row r="332">
      <c r="A332">
        <f>=10012085	 | Script.Win32.Agent.AQT	 | c3ac7bb8a99f0afbeb55e02c66f59e1e</f>
        <v/>
      </c>
    </row>
    <row r="333">
      <c r="A333">
        <f>=10012086	 | Script.Win32.Agent.AQU	 | bcee78dec38fe3a0cea686b75852a356</f>
        <v/>
      </c>
    </row>
    <row r="334">
      <c r="A334">
        <f>=10012088	 | Script.Win32.Agent.AQW	 | 152c35c6d45438d2557aff560f6941e4</f>
        <v/>
      </c>
    </row>
    <row r="335">
      <c r="A335">
        <f>=10012089	 | Script.Win32.Agent.AQX	 | 840b16a1b5851afab6a7ab1622979491</f>
        <v/>
      </c>
    </row>
    <row r="336">
      <c r="A336">
        <f>=10012091	 | Script.Win32.Agent.ARA	 | 79e9585624de0f283f4c7d55fbfe950d</f>
        <v/>
      </c>
    </row>
    <row r="337">
      <c r="A337">
        <f>=10012092	 | Script.Win32.Agent.ARB	 | 5a2a7e13f1a7034486e93447753a6e29</f>
        <v/>
      </c>
    </row>
    <row r="338">
      <c r="A338">
        <f>=10012095	 | Script.Win32.Agent.ARE	 | 51a4e9472b8f6d9fae008430c135d08f</f>
        <v/>
      </c>
    </row>
    <row r="339">
      <c r="A339">
        <f>=10012098	 | Script.Win32.Agent.ARH	 | 099f808896c96b54c5c2ffe034d0279f</f>
        <v/>
      </c>
    </row>
    <row r="340">
      <c r="A340">
        <f>=100121	 | Trojan.Win32.Gh0st.BX	 | </f>
        <v/>
      </c>
    </row>
    <row r="341">
      <c r="A341">
        <f>=10012100	 | Script.Win32.Agent.ARJ	 | 2222</f>
        <v/>
      </c>
    </row>
    <row r="342">
      <c r="A342">
        <f>=10012101	 | Script.Win32.Agent.ARK	 | 658a0e825d9ac4e46d499e2f309c2a90</f>
        <v/>
      </c>
    </row>
    <row r="343">
      <c r="A343">
        <f>=10012102	 | Script.Win32.Agent.ARL	 | 536d2c6ab0a8da8bd85d51912bf3996f</f>
        <v/>
      </c>
    </row>
    <row r="344">
      <c r="A344">
        <f>=10012103	 | Script.Win32.Agent.ARM	 | 2222</f>
        <v/>
      </c>
    </row>
    <row r="345">
      <c r="A345">
        <f>=10012106	 | Script.Win32.Agent.ARP	 | 45207e22cc25669269c36945a719f5cc</f>
        <v/>
      </c>
    </row>
    <row r="346">
      <c r="A346">
        <f>=10012107	 | Script.Win32.Agent.ARQ	 | d260c3b1d90e35a41d513955b8fd3070</f>
        <v/>
      </c>
    </row>
    <row r="347">
      <c r="A347">
        <f>=10012108	 | Script.Win32.Agent.ARR	 | 9a4de0007ad1c0bda34818ddcef9773e</f>
        <v/>
      </c>
    </row>
    <row r="348">
      <c r="A348">
        <f>=10012109	 | Script.Win32.Agent.ARS	 | f0f69f974914275e9390752d15329c18</f>
        <v/>
      </c>
    </row>
    <row r="349">
      <c r="A349">
        <f>=10012110	 | Script.Win32.Agent.ART	 | 2857a64f48eabed0d2d9c3284c0d7359</f>
        <v/>
      </c>
    </row>
    <row r="350">
      <c r="A350">
        <f>=10012114	 | Script.Win32.Agent.ARX	 | 35d77c4045e1c0ea9d0dd424534b6d9e</f>
        <v/>
      </c>
    </row>
    <row r="351">
      <c r="A351">
        <f>=10012115	 | Script.Win32.Agent.ARY	 | a0f5a38ac4db35523a60cd56e79e9b4b</f>
        <v/>
      </c>
    </row>
    <row r="352">
      <c r="A352">
        <f>=10012116	 | Script.Win32.Agent.ASA	 | e4fad2b1c156d726561b2c6b21489139</f>
        <v/>
      </c>
    </row>
    <row r="353">
      <c r="A353">
        <f>=10012117	 | Script.Win32.Agent.ASB	 | 09daa60ff46ec2ec2768d60955189d12</f>
        <v/>
      </c>
    </row>
    <row r="354">
      <c r="A354">
        <f>=10012118	 | Script.Win32.Agent.ASC	 | 4b449cebd271c48ec1f7575014f011ef</f>
        <v/>
      </c>
    </row>
    <row r="355">
      <c r="A355">
        <f>=10012120	 | Script.Win32.Agent.ASE	 | f512426dc23f38383a0ef98ee035131e</f>
        <v/>
      </c>
    </row>
    <row r="356">
      <c r="A356">
        <f>=10012122	 | Script.Win32.Agent.ASG	 | a95d774446dd126d5d8a5e6f659c82a1</f>
        <v/>
      </c>
    </row>
    <row r="357">
      <c r="A357">
        <f>=10012123	 | Script.Win32.Agent.ASH	 | 736168304efbceabece11f79df1dc6f3</f>
        <v/>
      </c>
    </row>
    <row r="358">
      <c r="A358">
        <f>=10012124	 | Script.Win32.Agent.ASI	 | 6638999f38e1f10684be869765b57429</f>
        <v/>
      </c>
    </row>
    <row r="359">
      <c r="A359">
        <f>=10012125	 | Script.Win32.Agent.ASJ	 | 5ad63cfba3433682c4d3e33c3a6fb1bc</f>
        <v/>
      </c>
    </row>
    <row r="360">
      <c r="A360">
        <f>=10012126	 | Script.Win32.Agent.ASK	 | 9e2321cd7417b9d86190dfd38d291529</f>
        <v/>
      </c>
    </row>
    <row r="361">
      <c r="A361">
        <f>=10012129	 | Script.Win32.Agent.ASN	 | 9c71ffd9c105d379c75b3e2cf8dffdb3</f>
        <v/>
      </c>
    </row>
    <row r="362">
      <c r="A362">
        <f>=10012130	 | Script.Win32.Agent.ASO	 | 7aa190c0d3a9abb63812302bdfb5dab3</f>
        <v/>
      </c>
    </row>
    <row r="363">
      <c r="A363">
        <f>=10012131	 | Script.Win32.Agent.ASP	 | b8cfc73d5907b097d5b4033e2615289b</f>
        <v/>
      </c>
    </row>
    <row r="364">
      <c r="A364">
        <f>=10012133	 | Script.Win32.Agent.ASR	 | a638cc290d803a29533fe86916bf54c4</f>
        <v/>
      </c>
    </row>
    <row r="365">
      <c r="A365">
        <f>=10012140	 | Script.Win32.Agent.ASY	 | b0b040009923d4990c222033bd105a0a</f>
        <v/>
      </c>
    </row>
    <row r="366">
      <c r="A366">
        <f>=10012141	 | Script.Win32.Agent.ATA	 | e9762a20f1c17ef3d018d7f915725962</f>
        <v/>
      </c>
    </row>
    <row r="367">
      <c r="A367">
        <f>=10012142	 | Script.Win32.Agent.ATB	 | 593281eb34a2317ab87541b235cbc6eb</f>
        <v/>
      </c>
    </row>
    <row r="368">
      <c r="A368">
        <f>=10012143	 | Script.Win32.Agent.ATC	 | e811cf8e11049df20190b383bff107a5</f>
        <v/>
      </c>
    </row>
    <row r="369">
      <c r="A369">
        <f>=10012144	 | Script.Win32.Agent.ATD	 | e9b4beb9cc737e0906dd469409415b48</f>
        <v/>
      </c>
    </row>
    <row r="370">
      <c r="A370">
        <f>=10012149	 | Script.Win32.Agent.ATI	 | 290706a6e5fe2db14dfb90ebbdb7ffda</f>
        <v/>
      </c>
    </row>
    <row r="371">
      <c r="A371">
        <f>=10012150	 | Script.Win32.Agent.ATJ	 | 169134f64accab30afe41c522373e269</f>
        <v/>
      </c>
    </row>
    <row r="372">
      <c r="A372">
        <f>=10012152	 | Script.Win32.Agent.ATL	 | 1d9c262010845d2c5703b310eb8f6e41</f>
        <v/>
      </c>
    </row>
    <row r="373">
      <c r="A373">
        <f>=10012154	 | Script.Win32.Agent.ATN	 | 42900b153ec6966d6d5ecfd893240713</f>
        <v/>
      </c>
    </row>
    <row r="374">
      <c r="A374">
        <f>=10012155	 | Script.Win32.Agent.ATO	 | 51f67348928e197df81f0809fba3fcd5</f>
        <v/>
      </c>
    </row>
    <row r="375">
      <c r="A375">
        <f>=10012156	 | Script.Win32.Agent.ATP	 | 15bf1922bb861b1bc28ed68c190a5753</f>
        <v/>
      </c>
    </row>
    <row r="376">
      <c r="A376">
        <f>=10012158	 | Script.Win32.Agent.ATR	 | a7b76cf60d3d0e64c100fe5d529a4b04</f>
        <v/>
      </c>
    </row>
    <row r="377">
      <c r="A377">
        <f>=10012159	 | Script.Win32.Agent.ATS	 | 4eea02c1f584c04596d6fa57bd31e2d0</f>
        <v/>
      </c>
    </row>
    <row r="378">
      <c r="A378">
        <f>=10012169	 | Script.Win32.Agent.AUD	 | c431584aa1104b674b57e38086e7f97a</f>
        <v/>
      </c>
    </row>
    <row r="379">
      <c r="A379">
        <f>=10012173	 | Script.Win32.Agent.AUH	 | 77f0b357159c797a34fc58d7221fbd0c</f>
        <v/>
      </c>
    </row>
    <row r="380">
      <c r="A380">
        <f>=10012174	 | Script.Win32.Agent.AUI	 | 135fc50f85228691b401848caef3be9e</f>
        <v/>
      </c>
    </row>
    <row r="381">
      <c r="A381">
        <f>=10012175	 | Script.Win32.Agent.AUJ	 | 99d9e585d025f8afae86aa1fb78e583c</f>
        <v/>
      </c>
    </row>
    <row r="382">
      <c r="A382">
        <f>=10012176	 | Script.Win32.Agent.AUK	 | ccd99c648360a9570808aa5e1ceddc5b</f>
        <v/>
      </c>
    </row>
    <row r="383">
      <c r="A383">
        <f>=10012177	 | Script.Win32.Agent.AUL	 | f51bb66d3f186d8b5f387f130e67fae6</f>
        <v/>
      </c>
    </row>
    <row r="384">
      <c r="A384">
        <f>=10012178	 | Script.Win32.Agent.AUM	 | 06bedc2d94e07654d849b36fd5068c6f</f>
        <v/>
      </c>
    </row>
    <row r="385">
      <c r="A385">
        <f>=10012179	 | Script.Win32.Agent.AUN	 | a0bada72dbeceac192031353c9ec9246</f>
        <v/>
      </c>
    </row>
    <row r="386">
      <c r="A386">
        <f>=10012180	 | Script.Win32.Agent.AUO	 | c1347fda7099f610483c527c25aa8057</f>
        <v/>
      </c>
    </row>
    <row r="387">
      <c r="A387">
        <f>=10012181	 | Script.Win32.Agent.AUP	 | 8b94f2113285f79a231d88a6bedfb8ed</f>
        <v/>
      </c>
    </row>
    <row r="388">
      <c r="A388">
        <f>=10012182	 | Script.Win32.Agent.AUQ	 | 1c6d9578a88e15f8d217ecaf810fe69f</f>
        <v/>
      </c>
    </row>
    <row r="389">
      <c r="A389">
        <f>=100122	 | Trojan.Win32.HookHotKey.D	 | </f>
        <v/>
      </c>
    </row>
    <row r="390">
      <c r="A390">
        <f>=10012289	 | Script.Win32.Webshell.UJ	 | bf584e2accafb5cec00ea349772ea5f8</f>
        <v/>
      </c>
    </row>
    <row r="391">
      <c r="A391">
        <f>=100123	 | Trojan.Win32.FakePic.B	 | </f>
        <v/>
      </c>
    </row>
    <row r="392">
      <c r="A392">
        <f>=100124	 | Trojan.Win32.FakePic.C	 | 4a60d39aa1361bb5ea529f6a1b0cea07</f>
        <v/>
      </c>
    </row>
    <row r="393">
      <c r="A393">
        <f>=100125	 | Trojan.Win32.GameOnline.BZ	 | eed4c6bc83f24d9f82d01b9e18c9bd53</f>
        <v/>
      </c>
    </row>
    <row r="394">
      <c r="A394">
        <f>=100126	 | Trojan.Win32.GameOnline.CC	 | a90311fb949caa6c16981668207a141d</f>
        <v/>
      </c>
    </row>
    <row r="395">
      <c r="A395">
        <f>=100127	 | Backdoor.Win32.Gh0st.BC	 | dfec6a8966097b0d9d1dbde62599fb23</f>
        <v/>
      </c>
    </row>
    <row r="396">
      <c r="A396">
        <f>=100130	 | Backdoor.Win32.Koutodoor.Bf	 | 602ea48cf69e341f5de163962801594b</f>
        <v/>
      </c>
    </row>
    <row r="397">
      <c r="A397">
        <f>=100131	 | Backdoor.Win32.Koutodoor.AQ	 | 9f54f9e270672728050963a643bd368c</f>
        <v/>
      </c>
    </row>
    <row r="398">
      <c r="A398">
        <f>=100134	 | Backdoor.Win32.Gh0st.BK	 | 368fad9488de4b9a9b813773dfcca457</f>
        <v/>
      </c>
    </row>
    <row r="399">
      <c r="A399">
        <f>=100135	 | Backdoor.Win32.Koutodoor.AT	 | 3b5018f68562d737889175889e3f2537</f>
        <v/>
      </c>
    </row>
    <row r="400">
      <c r="A400">
        <f>=100136	 | Trojan.Win32.Downloader.AS	 | 112d63895e1c8d4e7b22890b7fa54b8e</f>
        <v/>
      </c>
    </row>
    <row r="401">
      <c r="A401">
        <f>=100137	 | Trojan.Win32.Downloader.AT	 | 1487b768c731724bdf9b88fac0b5583f</f>
        <v/>
      </c>
    </row>
    <row r="402">
      <c r="A402">
        <f>=100140	 | Trojan.Win32.GameOnline.DM	 | 7f3975961c8e2bfa6da1adad1fd2d792</f>
        <v/>
      </c>
    </row>
    <row r="403">
      <c r="A403">
        <f>=100142	 | Backdoor.Win32.Gh0st.DM	 | 2d7d57ffb1d447a2bfa67f8d5fbfd840</f>
        <v/>
      </c>
    </row>
    <row r="404">
      <c r="A404">
        <f>=100143	 | RootKit.Win32.Koutodoor.J	 | 8912f70ffd056d2028d9327c4b2725dd</f>
        <v/>
      </c>
    </row>
    <row r="405">
      <c r="A405">
        <f>=100144	 | Trojan.Win32.FakeStorm.D	 | </f>
        <v/>
      </c>
    </row>
    <row r="406">
      <c r="A406">
        <f>=100145	 | Trojan.Win32.FakeStorm.E	 | </f>
        <v/>
      </c>
    </row>
    <row r="407">
      <c r="A407">
        <f>=100146	 | Trojan.Win32.FakeStorm.F	 | </f>
        <v/>
      </c>
    </row>
    <row r="408">
      <c r="A408">
        <f>=100147	 | Trojan.Win32.FakeStorm.G	 | 332256c998f00bc4f6924d2f0411fdf6</f>
        <v/>
      </c>
    </row>
    <row r="409">
      <c r="A409">
        <f>=100148	 | Trojan.Win32.Downloader.BE	 | 0155a98dca132e6d571f164bcdb455e7</f>
        <v/>
      </c>
    </row>
    <row r="410">
      <c r="A410">
        <f>=100149	 | Trojan.Win32.Loader.F	 | </f>
        <v/>
      </c>
    </row>
    <row r="411">
      <c r="A411">
        <f>=100150	 | Trojan.Win32.Adware.F	 | 374eb6261b5ec92803f37c904e7b9f50</f>
        <v/>
      </c>
    </row>
    <row r="412">
      <c r="A412">
        <f>=100151	 | Backdoor.Win32.Gh0st.GZ	 | </f>
        <v/>
      </c>
    </row>
    <row r="413">
      <c r="A413">
        <f>=100152	 | Trojan.Win32.Lmir.A	 | 4adeaf5a6a1db422432024ff7105803e</f>
        <v/>
      </c>
    </row>
    <row r="414">
      <c r="A414">
        <f>=100153	 | Worm.Win32.Debris.A	 | 206423d192a7abaa41a5e7c933620c30</f>
        <v/>
      </c>
    </row>
    <row r="415">
      <c r="A415">
        <f>=100154	 | Worm.Win32.Debris.B	 | </f>
        <v/>
      </c>
    </row>
    <row r="416">
      <c r="A416">
        <f>=100155	 | Trojan.Win32.Cutwail.B	 | 79992230e287c2de4b71da6fb1dd6a27</f>
        <v/>
      </c>
    </row>
    <row r="417">
      <c r="A417">
        <f>=100158	 | Trojan.Win32.Vundo.R	 | </f>
        <v/>
      </c>
    </row>
    <row r="418">
      <c r="A418">
        <f>=100159	 | Trojan.Win32.FakeAlert.C	 | afeafad397c5b73574b62bc6baa33f29</f>
        <v/>
      </c>
    </row>
    <row r="419">
      <c r="A419">
        <f>=100160	 | Trojan.Win32.Vundo.P	 | cf8e952745160b62ed6fcd24a1150ad4</f>
        <v/>
      </c>
    </row>
    <row r="420">
      <c r="A420">
        <f>=100161	 | Trojan.Win32.Vundo.O	 | </f>
        <v/>
      </c>
    </row>
    <row r="421">
      <c r="A421">
        <f>=100162	 | Trojan.Win32.AntiCloud.M	 | cb21f6bdfd501e24a84c355747fdd9b0</f>
        <v/>
      </c>
    </row>
    <row r="422">
      <c r="A422">
        <f>=100163	 | Trojan.Win32.Vundo.N	 | </f>
        <v/>
      </c>
    </row>
    <row r="423">
      <c r="A423">
        <f>=100164	 | Trojan.Win32.GameOnline.FI	 | f876031f6ee37c6de57985490e81aa64</f>
        <v/>
      </c>
    </row>
    <row r="424">
      <c r="A424">
        <f>=100165	 | Trojan.Win32.Koutodoor.H	 | e718244d3d41ac2d4585d2c817bb5bf6</f>
        <v/>
      </c>
    </row>
    <row r="425">
      <c r="A425">
        <f>=100166	 | Trojan.Win32.FakePic.A	 | ff5323618609c84df27bd6b9931aaa1b</f>
        <v/>
      </c>
    </row>
    <row r="426">
      <c r="A426">
        <f>=100167	 | Backdoor.Win32.Ripinip.D	 | e7bffb7582c8dea64a972967152f1ce9</f>
        <v/>
      </c>
    </row>
    <row r="427">
      <c r="A427">
        <f>=100168	 | Backdoor.Win32.Ripinip.C	 | dda6b1303c2a5ffbd1a61454195bf381</f>
        <v/>
      </c>
    </row>
    <row r="428">
      <c r="A428">
        <f>=100169	 | Trojan.Win32.FakeComRES.A	 | 31f976f043555e4ae71cf5bad5aec97b</f>
        <v/>
      </c>
    </row>
    <row r="429">
      <c r="A429">
        <f>=100170	 | Dropper.Win32.GameOnline.A	 | 9eedd2dfa0891442c6b4c63782eb9d16</f>
        <v/>
      </c>
    </row>
    <row r="430">
      <c r="A430">
        <f>=100171	 | Backdoor.Win32.Gh0st.H	 | 34953dbb163cb5178838e06c6246181f</f>
        <v/>
      </c>
    </row>
    <row r="431">
      <c r="A431">
        <f>=100172	 | Trojan.Win32.GameOnline.Y	 | </f>
        <v/>
      </c>
    </row>
    <row r="432">
      <c r="A432">
        <f>=100173	 | Backdoor.Win32.Gh0st.D	 | e231d8432e42c96b77dd2a4cc30ee278</f>
        <v/>
      </c>
    </row>
    <row r="433">
      <c r="A433">
        <f>=100174	 | Trojan.Win32.FakeUsp10.A	 | </f>
        <v/>
      </c>
    </row>
    <row r="434">
      <c r="A434">
        <f>=100175	 | Trojan.Win32.Agent.E	 | 5a087eb0a8b348bb14bfeed2b706ddfc</f>
        <v/>
      </c>
    </row>
    <row r="435">
      <c r="A435">
        <f>=100176	 | Trojan.Win32.Waledac.B	 | 66be1ce164eea27581d0b0a41aecc7d3</f>
        <v/>
      </c>
    </row>
    <row r="436">
      <c r="A436">
        <f>=100177	 | Trojan.Win32.Agent.B	 | </f>
        <v/>
      </c>
    </row>
    <row r="437">
      <c r="A437">
        <f>=1001774	 | Macro.Office.Locale.A	 | 7c0f9286dbf87d7a4823290be9bb6547</f>
        <v/>
      </c>
    </row>
    <row r="438">
      <c r="A438">
        <f>=1001775	 | Macro.Office.Locas.A	 | </f>
        <v/>
      </c>
    </row>
    <row r="439">
      <c r="A439">
        <f>=1001776	 | Macro.Office.Marker.A	 | 690addec138f7bf03adf287df5bd464b</f>
        <v/>
      </c>
    </row>
    <row r="440">
      <c r="A440">
        <f>=1001777	 | Macro.Office.Marker.B	 | 977629b9e817425d336692ecbdd4d2e8</f>
        <v/>
      </c>
    </row>
    <row r="441">
      <c r="A441">
        <f>=1001779	 | Macro.Office.Relax.A	 | </f>
        <v/>
      </c>
    </row>
    <row r="442">
      <c r="A442">
        <f>=100178	 | Trojan.Win32.Agent.DL	 | 4f167951a3a7aa67e2c2dfe1faaf8269</f>
        <v/>
      </c>
    </row>
    <row r="443">
      <c r="A443">
        <f>=1001780	 | Macro.Office.Thus.A	 | 1b0d4132f6003918c49c13b1dd9010b9</f>
        <v/>
      </c>
    </row>
    <row r="444">
      <c r="A444">
        <f>=1001781	 | Macro.Office.Thus.B	 | a0a730ea848a648f22801d3c97a94b15</f>
        <v/>
      </c>
    </row>
    <row r="445">
      <c r="A445">
        <f>=1001782	 | Macro.Office.Blackice.B	 | </f>
        <v/>
      </c>
    </row>
    <row r="446">
      <c r="A446">
        <f>=1001783	 | Macro.Office.Blackice.C	 | </f>
        <v/>
      </c>
    </row>
    <row r="447">
      <c r="A447">
        <f>=1001784	 | Macro.Office.Divi.A	 | </f>
        <v/>
      </c>
    </row>
    <row r="448">
      <c r="A448">
        <f>=1001785	 | Macro.Office.Dole.A	 | 1c9bf9f0702f2f15f9762d64ec6c2441</f>
        <v/>
      </c>
    </row>
    <row r="449">
      <c r="A449">
        <f>=1001786	 | Macro.Office.Donoff.A	 | </f>
        <v/>
      </c>
    </row>
    <row r="450">
      <c r="A450">
        <f>=1001787	 | Macro.Office.Downloader.A	 | </f>
        <v/>
      </c>
    </row>
    <row r="451">
      <c r="A451">
        <f>=1001788	 | Macro.Office.Joke.A	 | </f>
        <v/>
      </c>
    </row>
    <row r="452">
      <c r="A452">
        <f>=1001789	 | Macro.Office.Laroux.A	 | </f>
        <v/>
      </c>
    </row>
    <row r="453">
      <c r="A453">
        <f>=100179	 | RootKit.Win32.AntiAV.D	 | 2dd4dcc00b6db3f30ae2f16775dd5129</f>
        <v/>
      </c>
    </row>
    <row r="454">
      <c r="A454">
        <f>=1001790	 | Macro.Office.Laroux.B	 | </f>
        <v/>
      </c>
    </row>
    <row r="455">
      <c r="A455">
        <f>=100180	 | RootKit.Win32.AntiAV.C	 | ae3190311a81646373ad42379ba0e7b9</f>
        <v/>
      </c>
    </row>
    <row r="456">
      <c r="A456">
        <f>=100181	 | RootKit.Win32.AntiAV.B	 | c3887737439158616185d8bd56e69b93</f>
        <v/>
      </c>
    </row>
    <row r="457">
      <c r="A457">
        <f>=100182	 | Trojan.Win32.Starter.A	 | 14d039d7ced5de42e8783e1adcdb0873</f>
        <v/>
      </c>
    </row>
    <row r="458">
      <c r="A458">
        <f>=100183	 | Trojan.Win32.FakeLPK.A	 | 6aa43bfa0ebc81980ac88f78f18ff215</f>
        <v/>
      </c>
    </row>
    <row r="459">
      <c r="A459">
        <f>=100184	 | Trojan.Win32.GameOnline.BC	 | 402cf50698d54673502c53edcf401a1b</f>
        <v/>
      </c>
    </row>
    <row r="460">
      <c r="A460">
        <f>=100185	 | RootKit.Win32.Koutodoor.I	 | 00d156d2b4f6ceceed31929efdeeaa5a</f>
        <v/>
      </c>
    </row>
    <row r="461">
      <c r="A461">
        <f>=100186	 | Trojan.Win32.GameOnline.CO	 | a534f9f86f9f056807e80fe6c2f731f8</f>
        <v/>
      </c>
    </row>
    <row r="462">
      <c r="A462">
        <f>=100187	 | Backdoor.Win32.Gh0st.BG	 | </f>
        <v/>
      </c>
    </row>
    <row r="463">
      <c r="A463">
        <f>=100188	 | Trojan.Win32.GameOnline.CS	 | aee6f402af715f2007384bdb390aca78</f>
        <v/>
      </c>
    </row>
    <row r="464">
      <c r="A464">
        <f>=100189	 | Trojan.Win32.GameOnline.CT	 | 5adde0913e81b9a5e254ae1d349fe1cc</f>
        <v/>
      </c>
    </row>
    <row r="465">
      <c r="A465">
        <f>=100191	 | Worm.Win32.Debris.C	 | 8d197d816bcf5920466703004496b910</f>
        <v/>
      </c>
    </row>
    <row r="466">
      <c r="A466">
        <f>=100192	 | Worm.Win32.Fesber.A	 | f4a5140339f7bfc7a5b0e9345ecad6d8</f>
        <v/>
      </c>
    </row>
    <row r="467">
      <c r="A467">
        <f>=100193	 | Backdoor.Win32.GrayPigeon.P	 | 787ffcfd00dd61c1f43dcb28d35e5aa0</f>
        <v/>
      </c>
    </row>
    <row r="468">
      <c r="A468">
        <f>=100194	 | Worm.Win32.FakeFolder.CI	 | 99694ff7b0ddac505aa8a50cbc716780</f>
        <v/>
      </c>
    </row>
    <row r="469">
      <c r="A469">
        <f>=100195	 | Agent.Win32.Downloader.BQ	 | 142038b5484943a2e1b8c5819da5ea83</f>
        <v/>
      </c>
    </row>
    <row r="470">
      <c r="A470">
        <f>=100196	 | Agent.Win32.Clicker.Y	 | 677c92fb976b728ecf562aa4b22ee946</f>
        <v/>
      </c>
    </row>
    <row r="471">
      <c r="A471">
        <f>=100197	 | Worm.Win32.Allaple.W	 | 0a85096cd1b55a4b42186dbc95673c9e</f>
        <v/>
      </c>
    </row>
    <row r="472">
      <c r="A472">
        <f>=100198	 | Worm.Win32.Allaple.X	 | </f>
        <v/>
      </c>
    </row>
    <row r="473">
      <c r="A473">
        <f>=100199	 | Worm.Win32.Allaple.Y	 | e055a1b1e2a88bed4713420eb9095c3b</f>
        <v/>
      </c>
    </row>
    <row r="474">
      <c r="A474">
        <f>=100201	 | Worm.Win32.Allaple.AA	 | b97d0f2bb1f508652e8b6163fe4c5f29</f>
        <v/>
      </c>
    </row>
    <row r="475">
      <c r="A475">
        <f>=100202	 | Worm.Win32.QQPass.CX	 | </f>
        <v/>
      </c>
    </row>
    <row r="476">
      <c r="A476">
        <f>=100203	 | Trojan.Win32.HookIE.B	 | 562cb1910805c3ee9c398ddd40c939c1</f>
        <v/>
      </c>
    </row>
    <row r="477">
      <c r="A477">
        <f>=100204	 | Worm.Win32.ElKern.B	 | 05467ee6c86e282bb51ba8db36468cd8</f>
        <v/>
      </c>
    </row>
    <row r="478">
      <c r="A478">
        <f>=100205	 | Backdoor.Win32.Agent.RX	 | </f>
        <v/>
      </c>
    </row>
    <row r="479">
      <c r="A479">
        <f>=100206	 | Worm.Win32.FakeFolder.CX	 | 6d8c2c062c26bdac4656f96d7d2c171c</f>
        <v/>
      </c>
    </row>
    <row r="480">
      <c r="A480">
        <f>=100207	 | Worm.Win32.Gamarue.P	 | 7d894cc8e9a4cc44e3933b9bdd13212c</f>
        <v/>
      </c>
    </row>
    <row r="481">
      <c r="A481">
        <f>=100208	 | Trojan.Win32.Agent.F	 | 7864a692afdd905b1d1a596d9d59cd40</f>
        <v/>
      </c>
    </row>
    <row r="482">
      <c r="A482">
        <f>=100209	 | Backdoor.Win32.Agent.SL	 | b352edad127c30a1da47d8f0c3e72c21</f>
        <v/>
      </c>
    </row>
    <row r="483">
      <c r="A483">
        <f>=100210	 | Backdoor.Win32.Small.C	 | 7ed4048cd70ac467b41c8d27035e6b5e</f>
        <v/>
      </c>
    </row>
    <row r="484">
      <c r="A484">
        <f>=100211	 | Trojan.Win32.QQPass.DE	 | </f>
        <v/>
      </c>
    </row>
    <row r="485">
      <c r="A485">
        <f>=100212	 | Trojan.Win32.Flooder.A	 | 0a9220e5ab347d2b32595d79672bddb5</f>
        <v/>
      </c>
    </row>
    <row r="486">
      <c r="A486">
        <f>=100213	 | Worm.Win32.Systro.A	 | 007d12b54c2d7056b2123ef18473f588</f>
        <v/>
      </c>
    </row>
    <row r="487">
      <c r="A487">
        <f>=100214	 | Worm.Win32.Ukurka.A	 | 112e21d89d4b6db16f1aacaca6dcec71</f>
        <v/>
      </c>
    </row>
    <row r="488">
      <c r="A488">
        <f>=100215	 | Worm.Win32.KillAV.AM	 | </f>
        <v/>
      </c>
    </row>
    <row r="489">
      <c r="A489">
        <f>=100216	 | Worm.Win32.Downadup.A	 | 1e3e07dcb75bafba27833395404c1fa3</f>
        <v/>
      </c>
    </row>
    <row r="490">
      <c r="A490">
        <f>=100217	 | Worm.Win32.Conficker.A	 | d61ea4d3662d162d063bce0c46bcd3e7</f>
        <v/>
      </c>
    </row>
    <row r="491">
      <c r="A491">
        <f>=100218	 | Trojan.Win32.FakeUsp.A	 | 9a2cb14c9f31f048ebe7537d2421331b</f>
        <v/>
      </c>
    </row>
    <row r="492">
      <c r="A492">
        <f>=100220	 | Trojan.Win32.QQPass.J	 | 7b1f082530ff1778111c03d6f0867743</f>
        <v/>
      </c>
    </row>
    <row r="493">
      <c r="A493">
        <f>=100221	 | Trojan.Win32.GameOnline.BI	 | 5fe59ac31ae813c2d399eb63606b8fa4</f>
        <v/>
      </c>
    </row>
    <row r="494">
      <c r="A494">
        <f>=100222	 | Trojan.Win32.GameOnline.BQ	 | 888702aff222318463a396194aa5258d</f>
        <v/>
      </c>
    </row>
    <row r="495">
      <c r="A495">
        <f>=100223	 | Backdoor.Win32.PcClient.N	 | ebdd978726626764871d97a69e19b33b</f>
        <v/>
      </c>
    </row>
    <row r="496">
      <c r="A496">
        <f>=100224	 | Backdoor.Win32.BDX.L	 | ce6675460b2ebe67acaf5e7b1008d719</f>
        <v/>
      </c>
    </row>
    <row r="497">
      <c r="A497">
        <f>=100225	 | Trojan.Win32.GameOnline.CP	 | 89731d336cde332c5fe34ac98b06d2b4</f>
        <v/>
      </c>
    </row>
    <row r="498">
      <c r="A498">
        <f>=100227	 | Backdoor.Win32.Agent.HA	 | 0ae14f1b7ad54a58cbc4863a609d9508</f>
        <v/>
      </c>
    </row>
    <row r="499">
      <c r="A499">
        <f>=100228	 | Trojan.Win32.KillAV.AG	 | 07341fe15ec61664a494dd4cb5f3244f</f>
        <v/>
      </c>
    </row>
    <row r="500">
      <c r="A500">
        <f>=100229	 | Worm.Win32.Brontok.B	 | fb6e8844a4ea06f78a8853f24846a50f</f>
        <v/>
      </c>
    </row>
    <row r="501">
      <c r="A501">
        <f>=100230	 | Downloader.Win32.Agent.CT	 | </f>
        <v/>
      </c>
    </row>
    <row r="502">
      <c r="A502">
        <f>=100231	 | Trojan.Win32.GameOnline.ER	 | </f>
        <v/>
      </c>
    </row>
    <row r="503">
      <c r="A503">
        <f>=100232	 | Worm.Win32.Conficker.D	 | </f>
        <v/>
      </c>
    </row>
    <row r="504">
      <c r="A504">
        <f>=100233	 | Trojan.Win32.Runner.D	 | 03342b9c2a6d636eb3bff6ce1aeced37</f>
        <v/>
      </c>
    </row>
    <row r="505">
      <c r="A505">
        <f>=100234	 | Backdoor.Win32.Agent.NE	 | </f>
        <v/>
      </c>
    </row>
    <row r="506">
      <c r="A506">
        <f>=100235	 | Trojan.Win32.Agent.AT	 | </f>
        <v/>
      </c>
    </row>
    <row r="507">
      <c r="A507">
        <f>=100236	 | Backdoor.Win32.Agent.MW	 | </f>
        <v/>
      </c>
    </row>
    <row r="508">
      <c r="A508">
        <f>=100237	 | Backdoor.Win32.Agent.OB	 | </f>
        <v/>
      </c>
    </row>
    <row r="509">
      <c r="A509">
        <f>=100238	 | Backdoor.Win32.Agent.SM	 | </f>
        <v/>
      </c>
    </row>
    <row r="510">
      <c r="A510">
        <f>=100239	 | Worm.Win32.Gamarue.K	 | </f>
        <v/>
      </c>
    </row>
    <row r="511">
      <c r="A511">
        <f>=100240	 | Trojan.Win32.Agent.BH	 | 520ee5072759c4c347519599600df011</f>
        <v/>
      </c>
    </row>
    <row r="512">
      <c r="A512">
        <f>=100241	 | Trojan.Win32.FakeIEBrowser.AB	 | 712cbb81eefff57da7dd5eb34c846d0a</f>
        <v/>
      </c>
    </row>
    <row r="513">
      <c r="A513">
        <f>=100242	 | Shark.Win32.Backdoor.B	 | </f>
        <v/>
      </c>
    </row>
    <row r="514">
      <c r="A514">
        <f>=100243	 | Worm.Win32.FakeFolder.CK	 | 47b0132b5c2f4af538ffcc2c07aa78f8</f>
        <v/>
      </c>
    </row>
    <row r="515">
      <c r="A515">
        <f>=100244	 | FakeFolder.Win32.Worm.CN	 | 611f383a0001530eef1d69c4fa6193c0</f>
        <v/>
      </c>
    </row>
    <row r="516">
      <c r="A516">
        <f>=100245	 | VBCode.Win32.Trojan.L	 | 35de7f44231d8166b4d75527eb7af014</f>
        <v/>
      </c>
    </row>
    <row r="517">
      <c r="A517">
        <f>=100246	 | Beastdoor.Win32.Backdoor.A	 | 4bdc34cc2a6958d1db2c6265161feab9</f>
        <v/>
      </c>
    </row>
    <row r="518">
      <c r="A518">
        <f>=100247	 | Bamital.Win32.Trojan.A	 | 4583f4a580abaac5791972f085962759</f>
        <v/>
      </c>
    </row>
    <row r="519">
      <c r="A519">
        <f>=100248	 | Trojan.Win32.FakeInstaller.A	 | 590ca161248f6928aea74b8344a410f5</f>
        <v/>
      </c>
    </row>
    <row r="520">
      <c r="A520">
        <f>=100249	 | Backdoor.Win32.ProRat.A	 | 0aed84337026e253ceed6b0ba138ab52</f>
        <v/>
      </c>
    </row>
    <row r="521">
      <c r="A521">
        <f>=100250	 | Trojan.Win32.GameOnline.EK	 | 80f371666bf3d373464e419480f06ebd</f>
        <v/>
      </c>
    </row>
    <row r="522">
      <c r="A522">
        <f>=100251	 | Trojan.Win32.Agent.CA	 | </f>
        <v/>
      </c>
    </row>
    <row r="523">
      <c r="A523">
        <f>=100252	 | Agent.Win32.Trojan.BY	 | 9388ca3865f6252af6fa59eb38397d84</f>
        <v/>
      </c>
    </row>
    <row r="524">
      <c r="A524">
        <f>=100253	 | Agent.Win32.Trojan.BX	 | 0dca0c06adfc1e6bf4401fe40b467918</f>
        <v/>
      </c>
    </row>
    <row r="525">
      <c r="A525">
        <f>=100254	 | VB.Win32.Worm.K	 | 362a7bba322b602ebd9e7402b62d4130</f>
        <v/>
      </c>
    </row>
    <row r="526">
      <c r="A526">
        <f>=100255	 | Turkojan.Win32.Backdoor.B	 | </f>
        <v/>
      </c>
    </row>
    <row r="527">
      <c r="A527">
        <f>=100256	 | Dialer.Win32.Trojan.B	 | 0719cb001254dff4b1c140c5f2c83660</f>
        <v/>
      </c>
    </row>
    <row r="528">
      <c r="A528">
        <f>=100258	 | Crypt.Win32.Trojan.A	 | b14cb22473d537612fb89d8d7fa941cb</f>
        <v/>
      </c>
    </row>
    <row r="529">
      <c r="A529">
        <f>=100259	 | Rungbu.Win32.Worm.A	 | cab051305352d89bc6ec8c341adbbd75</f>
        <v/>
      </c>
    </row>
    <row r="530">
      <c r="A530">
        <f>=100260	 | Picsys.Win32.Worm.A	 | 003e6d6ed6201fd27421e8cc1df9d9c6</f>
        <v/>
      </c>
    </row>
    <row r="531">
      <c r="A531">
        <f>=100261	 | FakeFolder.Win32.Worm.BU	 | 5265e8644ad8ac48bc87e85bb41368cc</f>
        <v/>
      </c>
    </row>
    <row r="532">
      <c r="A532">
        <f>=100262	 | Mydoom.Win32.Worm.B	 | 1f56d62014922443b53e274db0b89410</f>
        <v/>
      </c>
    </row>
    <row r="533">
      <c r="A533">
        <f>=100263	 | Agent.Win32.Worm.B	 | 95aa1077222cf9e01e1dacdeb46319a4</f>
        <v/>
      </c>
    </row>
    <row r="534">
      <c r="A534">
        <f>=100264	 | Trojan.Win32.Agent.AP	 | 9e7cc066c18eeb064610e28d14fdfe20</f>
        <v/>
      </c>
    </row>
    <row r="535">
      <c r="A535">
        <f>=100265	 | Worm.Win32.Brontok.A	 | 66565ee351694d3d879c24bcc23dc1fe</f>
        <v/>
      </c>
    </row>
    <row r="536">
      <c r="A536">
        <f>=100266	 | Trojan.Win32.HookIE.A	 | 15237b844f50418fa182785d677d6810</f>
        <v/>
      </c>
    </row>
    <row r="537">
      <c r="A537">
        <f>=100267	 | Worm.Win32.Mydoom.A	 | 063c8150c8d0375b61b80d7cb9fedaf9</f>
        <v/>
      </c>
    </row>
    <row r="538">
      <c r="A538">
        <f>=100268	 | Trojan.Win32.FenomenGame.E	 | 0565ee46878d0bf364cb5cecf93c8e1b</f>
        <v/>
      </c>
    </row>
    <row r="539">
      <c r="A539">
        <f>=100269	 | Worm.Win32.AutoIt.D	 | 7efaa95bdf46257118af3907fe427655</f>
        <v/>
      </c>
    </row>
    <row r="540">
      <c r="A540">
        <f>=100270	 | Trojan.Win32.Clicker.H	 | f023accb9e0f6f7ceb078b4c1a5fcb4b</f>
        <v/>
      </c>
    </row>
    <row r="541">
      <c r="A541">
        <f>=100271	 | Trojan.Win32.Made.E	 | 099946b045a50f0705ca17104856d992</f>
        <v/>
      </c>
    </row>
    <row r="542">
      <c r="A542">
        <f>=100272	 | Backdoor.Win32.AgentAC.A	 | e290e0b349a50c9073a36ee5e22e7983</f>
        <v/>
      </c>
    </row>
    <row r="543">
      <c r="A543">
        <f>=100273	 | RootKit.Win32.BeiKe.A	 | 544286d4bd3fde45d39a5b68ca2178d6</f>
        <v/>
      </c>
    </row>
    <row r="544">
      <c r="A544">
        <f>=100274	 | Trojan.Win32.Siglow.A	 | 0724514f4f48e910fe1d88d7e28ea02e</f>
        <v/>
      </c>
    </row>
    <row r="545">
      <c r="A545">
        <f>=100275	 | Trojan.Win32.Agent.A	 | </f>
        <v/>
      </c>
    </row>
    <row r="546">
      <c r="A546">
        <f>=100276	 | Trojan.Win32.Agent.DM	 | 8ea72682bc7701b657b25448d36a6ae9</f>
        <v/>
      </c>
    </row>
    <row r="547">
      <c r="A547">
        <f>=100277	 | Backdoor.Win32.Gh0st.C	 | </f>
        <v/>
      </c>
    </row>
    <row r="548">
      <c r="A548">
        <f>=100278	 | Worm.Win32.AutoRun.A	 | 0dc1a7a335f76ed5bace5e543c089800</f>
        <v/>
      </c>
    </row>
    <row r="549">
      <c r="A549">
        <f>=100279	 | Worm.Win32.Small.A	 | 90382f5c5cf7a711d448669864c7d15e</f>
        <v/>
      </c>
    </row>
    <row r="550">
      <c r="A550">
        <f>=100280	 | Trojan.Win32.GameOnline.Z	 | e884660b5da1874c93e9c1486ef90b3b</f>
        <v/>
      </c>
    </row>
    <row r="551">
      <c r="A551">
        <f>=100281	 | Trojan.Win32.Goriadu.A	 | 04b953e26271cc601349c4e7dd54303d</f>
        <v/>
      </c>
    </row>
    <row r="552">
      <c r="A552">
        <f>=100282	 | Backdoor.Win32.Ripinip.B	 | 4d1f1f00ad34ad26cd7c74fc4536cd5d</f>
        <v/>
      </c>
    </row>
    <row r="553">
      <c r="A553">
        <f>=100283	 | Backdoor.Win32.Agent.C	 | 1dab1067bf1cedc4cd8c8ce6467280df</f>
        <v/>
      </c>
    </row>
    <row r="554">
      <c r="A554">
        <f>=100284	 | Backdoor.Win32.Ripinip.E	 | 1c49733d4d1f9d1225b6d5f337885675</f>
        <v/>
      </c>
    </row>
    <row r="555">
      <c r="A555">
        <f>=100285	 | Trojan.Win32.Agent.M	 | c0938cc5f31baa26f844fe0d53eae5bb</f>
        <v/>
      </c>
    </row>
    <row r="556">
      <c r="A556">
        <f>=100287	 | Trojan.Win32.KillAV.A	 | fd143e5dd3f5cd183b9a85992a633568</f>
        <v/>
      </c>
    </row>
    <row r="557">
      <c r="A557">
        <f>=100288	 | Backdoor.Win32.Agent.G	 | </f>
        <v/>
      </c>
    </row>
    <row r="558">
      <c r="A558">
        <f>=100289	 | Worm.Win32.AutoRun.B	 | 181007ce501cd5859a66055782d177f3</f>
        <v/>
      </c>
    </row>
    <row r="559">
      <c r="A559">
        <f>=100290	 | RootKit.Win32.Koutodoor.E	 | 39bec3ea68a420077785f38f3ce327ac</f>
        <v/>
      </c>
    </row>
    <row r="560">
      <c r="A560">
        <f>=100291	 | Trojan.Win32.QQPass.H	 | </f>
        <v/>
      </c>
    </row>
    <row r="561">
      <c r="A561">
        <f>=100292	 | Backdoor.Win32.IRCbot.A	 | </f>
        <v/>
      </c>
    </row>
    <row r="562">
      <c r="A562">
        <f>=100293	 | Backdoor.Win32.Srat.A	 | </f>
        <v/>
      </c>
    </row>
    <row r="563">
      <c r="A563">
        <f>=100294	 | Trojan.Win32.StartPage.CB	 | fdcb98e3089d7e8fdaaa9b376ea6af28</f>
        <v/>
      </c>
    </row>
    <row r="564">
      <c r="A564">
        <f>=100295	 | Trojan.Win32.StartPage.B	 | 671eb5897878df6bf41e533b652f7281</f>
        <v/>
      </c>
    </row>
    <row r="565">
      <c r="A565">
        <f>=100296	 | Trojan.Win32.DelfCode.A	 | </f>
        <v/>
      </c>
    </row>
    <row r="566">
      <c r="A566">
        <f>=100297	 | Trojan.Win32.Vundo.A	 | </f>
        <v/>
      </c>
    </row>
    <row r="567">
      <c r="A567">
        <f>=100298	 | Backdoor.Win32.Ecode.A	 | 207bad3f86cf3b60d87bad951e0ad1ba</f>
        <v/>
      </c>
    </row>
    <row r="568">
      <c r="A568">
        <f>=100299	 | Backdoor.Win32.PcClient.C	 | 3928136ce2bc96d7a54d53ebb1e8b4dd</f>
        <v/>
      </c>
    </row>
    <row r="569">
      <c r="A569">
        <f>=100300	 | Trojan.Win32.Vundo.T	 | 18aad52b118d2790c2deb2d18a19bc7b</f>
        <v/>
      </c>
    </row>
    <row r="570">
      <c r="A570">
        <f>=100301	 | Trojan.Win32.VBCode.A	 | </f>
        <v/>
      </c>
    </row>
    <row r="571">
      <c r="A571">
        <f>=100302	 | Worm.Win32.FakeFolder.I	 | 8773b8950cf2bc58da1b377952e9177d</f>
        <v/>
      </c>
    </row>
    <row r="572">
      <c r="A572">
        <f>=100303	 | Trojan.Win32.Agent.O	 | 2f686dfc9cb70ca994287d94f5377503</f>
        <v/>
      </c>
    </row>
    <row r="573">
      <c r="A573">
        <f>=100304	 | Backdoor.Win32.Agent.M	 | c9cf06fd59a565dac2da171f89cf0594</f>
        <v/>
      </c>
    </row>
    <row r="574">
      <c r="A574">
        <f>=100305	 | Backdoor.Win32.PcClient.F	 | 6f4680b2bc697a34470654a7d444cab7</f>
        <v/>
      </c>
    </row>
    <row r="575">
      <c r="A575">
        <f>=100306	 | Trojan.Win32.QQPass.I	 | c9146c4055aff98af0c9c44c4c6db7d3</f>
        <v/>
      </c>
    </row>
    <row r="576">
      <c r="A576">
        <f>=100307	 | Backdoor.Win32.Gh0st.P	 | 5f078d504e69e18d94efeb5f8c583900</f>
        <v/>
      </c>
    </row>
    <row r="577">
      <c r="A577">
        <f>=100308	 | Trojan.Win32.Agent.S	 | dc2be9cf1173f0e9bd94266aa91b80f1</f>
        <v/>
      </c>
    </row>
    <row r="578">
      <c r="A578">
        <f>=100309	 | Trojan.Win32.Agent.U	 | 231575713d96f8115a9c2936439c553e</f>
        <v/>
      </c>
    </row>
    <row r="579">
      <c r="A579">
        <f>=100310	 | Backdoor.Win32.Gh0st.Q	 | ca253cbc5740dbf8fea278fceed22b6f</f>
        <v/>
      </c>
    </row>
    <row r="580">
      <c r="A580">
        <f>=100311	 | Trojan.Win32.KillAV.C	 | </f>
        <v/>
      </c>
    </row>
    <row r="581">
      <c r="A581">
        <f>=100312	 | Trojan.Win32.FakeLPK.B	 | f4ac7200016469fc4e93c091b48779f4</f>
        <v/>
      </c>
    </row>
    <row r="582">
      <c r="A582">
        <f>=100313	 | Trojan.Win32.Agent.V	 | e54fa2c01f157a66a5880734931feadd</f>
        <v/>
      </c>
    </row>
    <row r="583">
      <c r="A583">
        <f>=100314	 | Backdoor.Win32.Dark.A	 | 0a76e32ac529e0934daac7c0409f7010</f>
        <v/>
      </c>
    </row>
    <row r="584">
      <c r="A584">
        <f>=100315	 | Dropper.Win32.Zegost.A	 | 82f819ee6aa16935170af8df6ba6e94b</f>
        <v/>
      </c>
    </row>
    <row r="585">
      <c r="A585">
        <f>=100316	 | Trojan.Win32.Downloader.B	 | </f>
        <v/>
      </c>
    </row>
    <row r="586">
      <c r="A586">
        <f>=100317	 | Backdoor.Win32.Agent.S	 | c8d6354894e8328f6e031fc99d4f734c</f>
        <v/>
      </c>
    </row>
    <row r="587">
      <c r="A587">
        <f>=100318	 | Backdoor.Win32.Agent.V	 | </f>
        <v/>
      </c>
    </row>
    <row r="588">
      <c r="A588">
        <f>=100319	 | Trojan.Win32.StartPage.P	 | </f>
        <v/>
      </c>
    </row>
    <row r="589">
      <c r="A589">
        <f>=100320	 | Trojan.Win32.FakePic.D	 | </f>
        <v/>
      </c>
    </row>
    <row r="590">
      <c r="A590">
        <f>=100321	 | Trojan.Win32.FakePic.E	 | 8633ddbb1c46da4ce520c52d142de81a</f>
        <v/>
      </c>
    </row>
    <row r="591">
      <c r="A591">
        <f>=100322	 | Backdoor.Win32.Agent.X	 | 0add8fe345a270c4c2cb0845bfca710e</f>
        <v/>
      </c>
    </row>
    <row r="592">
      <c r="A592">
        <f>=100323	 | Trojan.Win32.Agent.J	 | a57bc27be137447c71aad2876bfb8a74</f>
        <v/>
      </c>
    </row>
    <row r="593">
      <c r="A593">
        <f>=100324	 | Backdoor.Win32.Agent.Z	 | 61a01d9c5bc4455013a181a16af843c5</f>
        <v/>
      </c>
    </row>
    <row r="594">
      <c r="A594">
        <f>=100325	 | Backdoor.Win32.Zegost.I	 | </f>
        <v/>
      </c>
    </row>
    <row r="595">
      <c r="A595">
        <f>=100326	 | Trojan.Win32.VBCode.L	 | </f>
        <v/>
      </c>
    </row>
    <row r="596">
      <c r="A596">
        <f>=100327	 | Backdoor.Win32.PcClient.H	 | a932c1b1c6e94e26e4a84fc8a7ac7231</f>
        <v/>
      </c>
    </row>
    <row r="597">
      <c r="A597">
        <f>=100328	 | Backdoor.Win32.GrayPigeon.C	 | 4d2eed4b721759810824dd3cb64372db</f>
        <v/>
      </c>
    </row>
    <row r="598">
      <c r="A598">
        <f>=100329	 | Trojan.Win32.VBCode.M	 | c018b8555951f50a516006ed3a8d363f</f>
        <v/>
      </c>
    </row>
    <row r="599">
      <c r="A599">
        <f>=100330	 | Backdoor.Win32.GrayPigeon.D	 | 1b5febd937287cd5355e1e8f88bd45e6</f>
        <v/>
      </c>
    </row>
    <row r="600">
      <c r="A600">
        <f>=100331	 | Trojan.Win32.Agent.AD	 | </f>
        <v/>
      </c>
    </row>
    <row r="601">
      <c r="A601">
        <f>=100332	 | Trojan.Win32.StartPage.X	 | 00ea466159dbdfb9ccccb0a3cea845cd</f>
        <v/>
      </c>
    </row>
    <row r="602">
      <c r="A602">
        <f>=100333	 | Trojan.Win32.Goriadu.B	 | 601ff22edd1346f5af30cce30565c28d</f>
        <v/>
      </c>
    </row>
    <row r="603">
      <c r="A603">
        <f>=100334	 | Trojan.Win32.GameOnline.BU	 | </f>
        <v/>
      </c>
    </row>
    <row r="604">
      <c r="A604">
        <f>=100335	 | Trojan.Win32.Agent.K	 | 9f7ffebc2cca8d63bcad22b042cd6d6b</f>
        <v/>
      </c>
    </row>
    <row r="605">
      <c r="A605">
        <f>=100336	 | Backdoor.Win32.GrayPigeon.E	 | 2c96fad2177bbc1b525931de217662ec</f>
        <v/>
      </c>
    </row>
    <row r="606">
      <c r="A606">
        <f>=100337	 | Trojan.Win32.Downloader.H	 | 9f06e84aabce14f17c33ec03d11c756c</f>
        <v/>
      </c>
    </row>
    <row r="607">
      <c r="A607">
        <f>=100338	 | Trojan.Win32.GameOnline.CA	 | </f>
        <v/>
      </c>
    </row>
    <row r="608">
      <c r="A608">
        <f>=100339	 | Trojan.Win32.Downloader.I	 | d406b69260ab6edff3def58ab5ab0642</f>
        <v/>
      </c>
    </row>
    <row r="609">
      <c r="A609">
        <f>=1003395	 | Macro.Office.Downloader.B	 | 130f08b20a73e872cb76102bb6fb8078</f>
        <v/>
      </c>
    </row>
    <row r="610">
      <c r="A610">
        <f>=1003397	 | Macro.Office.Downloader.D	 | 23224786eee6786fdf9c8404861f3aa4</f>
        <v/>
      </c>
    </row>
    <row r="611">
      <c r="A611">
        <f>=100340	 | Backdoor.Win32.PcClient.L	 | aa952737b7fb9c672c28ba2fa2bb8593</f>
        <v/>
      </c>
    </row>
    <row r="612">
      <c r="A612">
        <f>=1003404	 | Macro.Office.SendMail.A	 | 3787b5c0f248f34f701bb36fd765241c</f>
        <v/>
      </c>
    </row>
    <row r="613">
      <c r="A613">
        <f>=1003405	 | Macro.Office.Downloader.E	 | cddf02794d3a50ca5fadace8550d8627</f>
        <v/>
      </c>
    </row>
    <row r="614">
      <c r="A614">
        <f>=100341	 | Backdoor.Win32.Zegost.M	 | c2a018320d9960501f0bca778c7cb173</f>
        <v/>
      </c>
    </row>
    <row r="615">
      <c r="A615">
        <f>=100342	 | Backdoor.Win32.PcClient.M	 | 16dd45f4e760501ae49f582392ceb65f</f>
        <v/>
      </c>
    </row>
    <row r="616">
      <c r="A616">
        <f>=1003421	 | Macro.Office.Downloader.H	 | a2805c19b55093e9c5529b28601d4d32</f>
        <v/>
      </c>
    </row>
    <row r="617">
      <c r="A617">
        <f>=1003422	 | Macro.Office.Downloader.F	 | 0aed4aa51a853429cdda71af496987c0</f>
        <v/>
      </c>
    </row>
    <row r="618">
      <c r="A618">
        <f>=1003423	 | Macro.Office.Downloader.G	 | 80e2b211a446edf5c8415bf4158bd9c8</f>
        <v/>
      </c>
    </row>
    <row r="619">
      <c r="A619">
        <f>=100343	 | Trojan.Win32.Clicker.D	 | 0fe972f7216fa6742b037330c56e2745</f>
        <v/>
      </c>
    </row>
    <row r="620">
      <c r="A620">
        <f>=100344	 | RootKit.Win32.KillAV.A	 | a9fca338e35c78f1599bdd66bc1577f1</f>
        <v/>
      </c>
    </row>
    <row r="621">
      <c r="A621">
        <f>=1003448	 | Macro.Office.DllLoader.A	 | </f>
        <v/>
      </c>
    </row>
    <row r="622">
      <c r="A622">
        <f>=100345	 | Trojan.Win32.Agent.AF	 | c81e355509b9313cb30fb0b3a03e4175</f>
        <v/>
      </c>
    </row>
    <row r="623">
      <c r="A623">
        <f>=1003453	 | Macro.Office.Agent.B	 | </f>
        <v/>
      </c>
    </row>
    <row r="624">
      <c r="A624">
        <f>=1003455	 | Macro.Office.Marker.C	 | </f>
        <v/>
      </c>
    </row>
    <row r="625">
      <c r="A625">
        <f>=1003456	 | Macro.Office.Marker.D	 | </f>
        <v/>
      </c>
    </row>
    <row r="626">
      <c r="A626">
        <f>=100346	 | Trojan.Win32.StartPage.Z	 | 046cd9e6e3345206dfbd94a55cf0a0bd</f>
        <v/>
      </c>
    </row>
    <row r="627">
      <c r="A627">
        <f>=1003464	 | Macro.Office.Downloader.I	 | </f>
        <v/>
      </c>
    </row>
    <row r="628">
      <c r="A628">
        <f>=1003467	 | Macro.Office.Downloader.L	 | </f>
        <v/>
      </c>
    </row>
    <row r="629">
      <c r="A629">
        <f>=100347	 | Trojan.Win32.Needaye.A	 | 2ad50484cbf729b951d7e1cd246f41bb</f>
        <v/>
      </c>
    </row>
    <row r="630">
      <c r="A630">
        <f>=1003479	 | Macro.Office.Thus.D	 | </f>
        <v/>
      </c>
    </row>
    <row r="631">
      <c r="A631">
        <f>=100348	 | Trojan.Win32.StartPage.AA	 | 209f322572a3e7e829cf25ce9306554d</f>
        <v/>
      </c>
    </row>
    <row r="632">
      <c r="A632">
        <f>=1003480	 | Macro.Office.Saver.A	 | </f>
        <v/>
      </c>
    </row>
    <row r="633">
      <c r="A633">
        <f>=1003484	 | Macro.Office.Downloader.M	 | </f>
        <v/>
      </c>
    </row>
    <row r="634">
      <c r="A634">
        <f>=1003485	 | Macro.Office.Downloader.N	 | </f>
        <v/>
      </c>
    </row>
    <row r="635">
      <c r="A635">
        <f>=1003486	 | Macro.Office.Laroux.C	 | </f>
        <v/>
      </c>
    </row>
    <row r="636">
      <c r="A636">
        <f>=1003487	 | Macro.Office.Laroux.L	 | </f>
        <v/>
      </c>
    </row>
    <row r="637">
      <c r="A637">
        <f>=100349	 | Backdoor.Win32.CCThree.C	 | 762ba6e20732f099abb8d570ec82b1d4</f>
        <v/>
      </c>
    </row>
    <row r="638">
      <c r="A638">
        <f>=1003491	 | Macro.Office.Marker.E	 | </f>
        <v/>
      </c>
    </row>
    <row r="639">
      <c r="A639">
        <f>=1003494	 | Macro.Office.Blackice.E	 | </f>
        <v/>
      </c>
    </row>
    <row r="640">
      <c r="A640">
        <f>=1003495	 | Macro.Office.Divi.B	 | </f>
        <v/>
      </c>
    </row>
    <row r="641">
      <c r="A641">
        <f>=1003496	 | Macro.Office.Relax.B	 | </f>
        <v/>
      </c>
    </row>
    <row r="642">
      <c r="A642">
        <f>=1003498	 | Macro.Office.Downloader.O	 | </f>
        <v/>
      </c>
    </row>
    <row r="643">
      <c r="A643">
        <f>=1003499	 | Macro.Office.Downloader.P	 | </f>
        <v/>
      </c>
    </row>
    <row r="644">
      <c r="A644">
        <f>=100350	 | Backdoor.Win32.Gh0st.AE	 | 4203eac6a2f64eba77a7aa122745820d</f>
        <v/>
      </c>
    </row>
    <row r="645">
      <c r="A645">
        <f>=1003500	 | Macro.Office.Downloader.Q	 | </f>
        <v/>
      </c>
    </row>
    <row r="646">
      <c r="A646">
        <f>=1003501	 | Macro.Office.Nsi.A	 | </f>
        <v/>
      </c>
    </row>
    <row r="647">
      <c r="A647">
        <f>=100351	 | Backdoor.Win32.PcClient.O	 | 503e4f38c4fcaf47a5999943d2e6ceef</f>
        <v/>
      </c>
    </row>
    <row r="648">
      <c r="A648">
        <f>=100352	 | Backdoor.Win32.Gh0st.AG	 | 215425128b63534e7a6ac6ab59398d29</f>
        <v/>
      </c>
    </row>
    <row r="649">
      <c r="A649">
        <f>=100353	 | Backdoor.Win32.Gh0st.AI	 | 8e0d5c43275f7133b1ff40652056e199</f>
        <v/>
      </c>
    </row>
    <row r="650">
      <c r="A650">
        <f>=100354	 | Trojan.Win32.GameOnline.CF	 | 894d289933f146e16e792cc624d36271</f>
        <v/>
      </c>
    </row>
    <row r="651">
      <c r="A651">
        <f>=100355	 | Trojan.Win32.VBCode.E	 | 0572bedb3cf5f2524c94ef075c9d8ea1</f>
        <v/>
      </c>
    </row>
    <row r="652">
      <c r="A652">
        <f>=1003553	 | Macro.Office.Downloader.R	 | 040c45aed34c73aaa53fb60fa4102073</f>
        <v/>
      </c>
    </row>
    <row r="653">
      <c r="A653">
        <f>=1003554	 | Macro.Office.Downloader.S	 | 040c45aed34c73aaa53fb60fa4102073</f>
        <v/>
      </c>
    </row>
    <row r="654">
      <c r="A654">
        <f>=100356	 | Worm.Win32.FakeFolder.AD	 | d6bde860dfa3a80c25dcb601f3940158</f>
        <v/>
      </c>
    </row>
    <row r="655">
      <c r="A655">
        <f>=100357	 | Trojan.Win32.GameOnline.CI	 | 4e3cb57d489f8e530fc84fae90c6e812</f>
        <v/>
      </c>
    </row>
    <row r="656">
      <c r="A656">
        <f>=100358	 | Backdoor.Win32.Gh0st.AT	 | 7587a43a632cb6d070ae907b72f0d750</f>
        <v/>
      </c>
    </row>
    <row r="657">
      <c r="A657">
        <f>=1003581	 | Macro.Office.Marker.F	 | 040c45aed34c73aaa53fb60fa4102073</f>
        <v/>
      </c>
    </row>
    <row r="658">
      <c r="A658">
        <f>=100359	 | Backdoor.Win32.Gh0st.AU	 | 9c0669b05d096d8f544c2fcdccc9e88d</f>
        <v/>
      </c>
    </row>
    <row r="659">
      <c r="A659">
        <f>=100360	 | Backdoor.Win32.Gh0st.AV	 | </f>
        <v/>
      </c>
    </row>
    <row r="660">
      <c r="A660">
        <f>=1003601	 | Macro.Office.Marker.G	 | 00b3f36bbc70851ed072a69d07450fed</f>
        <v/>
      </c>
    </row>
    <row r="661">
      <c r="A661">
        <f>=1003602	 | Macro.Office.Blackice.F	 | bcc70bd0e50dbee19cf0cbfb9d11c9ed</f>
        <v/>
      </c>
    </row>
    <row r="662">
      <c r="A662">
        <f>=1003603	 | Macro.Office.Poppy.B	 | 7b268cd96ac9d8bf2a6d6b40cc8b902f</f>
        <v/>
      </c>
    </row>
    <row r="663">
      <c r="A663">
        <f>=1003606	 | Macro.Office.Locas.G	 | d79122228665ab53a2ac96c85b2a11c0</f>
        <v/>
      </c>
    </row>
    <row r="664">
      <c r="A664">
        <f>=1003607	 | Macro.Office.Downloader.T	 | 043252523189f0bc66d22614e696220e</f>
        <v/>
      </c>
    </row>
    <row r="665">
      <c r="A665">
        <f>=1003608	 | Macro.Office.Downloader.U	 | 80b4b5f14b86dc137e806e80458e51e8</f>
        <v/>
      </c>
    </row>
    <row r="666">
      <c r="A666">
        <f>=100361	 | Backdoor.Win32.GrayPigeon.F	 | 6dcec533e882c3457bf1cc75870dbf86</f>
        <v/>
      </c>
    </row>
    <row r="667">
      <c r="A667">
        <f>=100362	 | Backdoor.Win32.Zegost.P	 | d2eaac6b64a34038e45a00d4ef1bc360</f>
        <v/>
      </c>
    </row>
    <row r="668">
      <c r="A668">
        <f>=100363	 | Trojan.Win32.Agent.Y	 | 9e5f35afd810ea9a4ac6b12d96b677e8</f>
        <v/>
      </c>
    </row>
    <row r="669">
      <c r="A669">
        <f>=100364	 | Worm.Win32.Morto.A	 | c359aff18a659449650be997cc0ccf0c</f>
        <v/>
      </c>
    </row>
    <row r="670">
      <c r="A670">
        <f>=100365	 | Backdoor.Win32.BaiJin.B	 | f0612dd438e2b2512f49ca9ead8da28f</f>
        <v/>
      </c>
    </row>
    <row r="671">
      <c r="A671">
        <f>=1003653	 | Macro.Office.Laroux.M	 | 040c45aed34c73aaa53fb60fa4102073</f>
        <v/>
      </c>
    </row>
    <row r="672">
      <c r="A672">
        <f>=100366	 | Backdoor.Win32.GrayPigeon.G	 | a8da4920ac0cb593ae9d91e4b6f53abd</f>
        <v/>
      </c>
    </row>
    <row r="673">
      <c r="A673">
        <f>=100367	 | Backdoor.Win32.Zegost.R	 | 39efedde9742241f8009d085b8d32fa2</f>
        <v/>
      </c>
    </row>
    <row r="674">
      <c r="A674">
        <f>=100368	 | Backdoor.Win32.Zegost.S	 | </f>
        <v/>
      </c>
    </row>
    <row r="675">
      <c r="A675">
        <f>=100369	 | Backdoor.Win32.Morix.A	 | </f>
        <v/>
      </c>
    </row>
    <row r="676">
      <c r="A676">
        <f>=1003693	 | Macro.Office.Agent.C	 | f6ae60c8a1dfd2e8cb71976fd3251b2c</f>
        <v/>
      </c>
    </row>
    <row r="677">
      <c r="A677">
        <f>=1003694	 | Macro.Office.Agent.D	 | f125c2dbdc7c2d5c373efdea04f24db1</f>
        <v/>
      </c>
    </row>
    <row r="678">
      <c r="A678">
        <f>=1003695	 | Macro.Office.Agent.E	 | f125c2dbdc7c2d5c373efdea04f24db1</f>
        <v/>
      </c>
    </row>
    <row r="679">
      <c r="A679">
        <f>=1003696	 | Macro.Office.Agent.F	 | f125c2dbdc7c2d5c373efdea04f24db1</f>
        <v/>
      </c>
    </row>
    <row r="680">
      <c r="A680">
        <f>=1003697	 | Macro.Office.Agent.G	 | f125c2dbdc7c2d5c373efdea04f24db1</f>
        <v/>
      </c>
    </row>
    <row r="681">
      <c r="A681">
        <f>=1003698	 | Macro.Office.Agent.H	 | f125c2dbdc7c2d5c373efdea04f24db1</f>
        <v/>
      </c>
    </row>
    <row r="682">
      <c r="A682">
        <f>=1003699	 | Macro.Office.Dropper.A	 | 8f99b0c482f583daff71dc380d843cc6</f>
        <v/>
      </c>
    </row>
    <row r="683">
      <c r="A683">
        <f>=100370	 | Trojan.Win32.StartPage.H	 | 070f51d1c3f4b31534295563d28bbb2b</f>
        <v/>
      </c>
    </row>
    <row r="684">
      <c r="A684">
        <f>=1003702	 | Macro.Office.Dropper.C	 | 4448db7e3ccc9404671b476f32cbb2ea</f>
        <v/>
      </c>
    </row>
    <row r="685">
      <c r="A685">
        <f>=1003703	 | Macro.Office.Downloader.V	 | 00c3081c9c373b2190465998f9a21a1a</f>
        <v/>
      </c>
    </row>
    <row r="686">
      <c r="A686">
        <f>=100371	 | Backdoor.Win32.Morix.B	 | 92d32e64447a14c24647332a359ec7e8</f>
        <v/>
      </c>
    </row>
    <row r="687">
      <c r="A687">
        <f>=100372	 | Trojan.Win32.GameOnline.CR	 | 14125e4701f9ecad57ede40d2474b690</f>
        <v/>
      </c>
    </row>
    <row r="688">
      <c r="A688">
        <f>=100373	 | RootKit.Win32.Agent.C	 | 7a43bf8d3b2d75fe2d9b65fba8af7fe9</f>
        <v/>
      </c>
    </row>
    <row r="689">
      <c r="A689">
        <f>=1003731	 | Macro.Office.Downloader.W	 | 80b4b5f14b86dc137e806e80458e51e8</f>
        <v/>
      </c>
    </row>
    <row r="690">
      <c r="A690">
        <f>=1003732	 | Macro.Office.Downloader.X	 | 80b4b5f14b86dc137e806e80458e51e8</f>
        <v/>
      </c>
    </row>
    <row r="691">
      <c r="A691">
        <f>=1003733	 | Macro.Office.Downloader.Y	 | 80b4b5f14b86dc137e806e80458e51e8</f>
        <v/>
      </c>
    </row>
    <row r="692">
      <c r="A692">
        <f>=100374	 | Backdoor.Win32.Agent.AZ	 | f08679fff3169ef09365e7836736e587</f>
        <v/>
      </c>
    </row>
    <row r="693">
      <c r="A693">
        <f>=1003744	 | Macro.Office.Downloader.AA	 | 3d520cd55191f779ea9fd41328f08f0d</f>
        <v/>
      </c>
    </row>
    <row r="694">
      <c r="A694">
        <f>=100375	 | Trojan.Win32.FakeUsp.D	 | 8b881ab528f8657a303e693223abf22d</f>
        <v/>
      </c>
    </row>
    <row r="695">
      <c r="A695">
        <f>=100376	 | Trojan.Win32.GameOnline.CW	 | cb36a0a4adec8e2eb2dcd1ed3702e975</f>
        <v/>
      </c>
    </row>
    <row r="696">
      <c r="A696">
        <f>=100377	 | Backdoor.Win32.DRat.A	 | 4996f5c163c693a6e5e71cc7bf9d3930</f>
        <v/>
      </c>
    </row>
    <row r="697">
      <c r="A697">
        <f>=100378	 | Worm.Win32.FakeFolder.AF	 | 4d8c8f1a2fd0bfcdac43893b70c74e5e</f>
        <v/>
      </c>
    </row>
    <row r="698">
      <c r="A698">
        <f>=1003782	 | Macro.Office.Dropper.D	 | f40a2f26b2a97d9f2bb1faa37d054a63</f>
        <v/>
      </c>
    </row>
    <row r="699">
      <c r="A699">
        <f>=100379	 | Worm.Win32.FakeFolder.AG	 | 23c9acd67e2e1fdcf494ca0322c0b4d0</f>
        <v/>
      </c>
    </row>
    <row r="700">
      <c r="A700">
        <f>=100380	 | Worm.Win32.FakeFolder.AH	 | 3661a7e94426587c51cc5c69023a4b81</f>
        <v/>
      </c>
    </row>
    <row r="701">
      <c r="A701">
        <f>=100381	 | Backdoor.Win32.Rbot.B	 | d405a26b8e0c4f61db13a9455829d878</f>
        <v/>
      </c>
    </row>
    <row r="702">
      <c r="A702">
        <f>=100382	 | RootKit.Win32.Agent.F	 | 1142e5f6fe3e087d36ea60d9e2e2651f</f>
        <v/>
      </c>
    </row>
    <row r="703">
      <c r="A703">
        <f>=100383	 | Trojan.Win32.FakeUsp.E	 | 3454515f730696a51f5dd1db6ebdc82e</f>
        <v/>
      </c>
    </row>
    <row r="704">
      <c r="A704">
        <f>=100384	 | Trojan.Win32.StartPage.I	 | de5b200bbd6461a1aa22316c9722666e</f>
        <v/>
      </c>
    </row>
    <row r="705">
      <c r="A705">
        <f>=100385	 | Backdoor.Win32.Gh0st.BL	 | </f>
        <v/>
      </c>
    </row>
    <row r="706">
      <c r="A706">
        <f>=100386	 | RootKit.Win32.Siglow.A	 | </f>
        <v/>
      </c>
    </row>
    <row r="707">
      <c r="A707">
        <f>=100387	 | Backdoor.Win32.Gh0st.BM	 | c096cfba98c35f04651878fd94c63468</f>
        <v/>
      </c>
    </row>
    <row r="708">
      <c r="A708">
        <f>=100388	 | Trojan.Win32.QQPass.Q	 | 79339fbb2e5e4187a5bbfdc27ee49198</f>
        <v/>
      </c>
    </row>
    <row r="709">
      <c r="A709">
        <f>=100389	 | Backdoor.Win32.Gh0st.BO	 | f62a5e94919cb255c437670f42c8bb46</f>
        <v/>
      </c>
    </row>
    <row r="710">
      <c r="A710">
        <f>=1003897	 | Macro.Office.Blackice.G	 | 3e22c826fcd9397626f61a04eb0840b8</f>
        <v/>
      </c>
    </row>
    <row r="711">
      <c r="A711">
        <f>=1003898	 | Macro.Office.Downloader.AB	 | 0c29944837601316bf36198d9af4987f</f>
        <v/>
      </c>
    </row>
    <row r="712">
      <c r="A712">
        <f>=1003899	 | Macro.Office.Downloader.AC	 | 27774958661545bd4c4d3d14bf305dad</f>
        <v/>
      </c>
    </row>
    <row r="713">
      <c r="A713">
        <f>=100390	 | Backdoor.Win32.Gh0st.BT	 | de5e9f616526b9c976e11a3cffc6ad2f</f>
        <v/>
      </c>
    </row>
    <row r="714">
      <c r="A714">
        <f>=1003900	 | Macro.Office.Downloader.AD	 | 18cbcc52319bca1dfcb599a000e1f94f</f>
        <v/>
      </c>
    </row>
    <row r="715">
      <c r="A715">
        <f>=1003907	 | Macro.Office.Melissa.A	 | f6ad201aa0f86865d688521efdee387e</f>
        <v/>
      </c>
    </row>
    <row r="716">
      <c r="A716">
        <f>=1003908	 | Macro.Office.Walker.A	 | b5c432f2511e146ddbd883aa84cb1041</f>
        <v/>
      </c>
    </row>
    <row r="717">
      <c r="A717">
        <f>=1003909	 | Macro.Office.Dropper.E	 | 37dd7fd4a5662b0bb694430bb1c92ad6</f>
        <v/>
      </c>
    </row>
    <row r="718">
      <c r="A718">
        <f>=100391	 | Backdoor.Win32.Gh0st.BW	 | 38bcbc0c4fd8ed816a91589861824cd8</f>
        <v/>
      </c>
    </row>
    <row r="719">
      <c r="A719">
        <f>=1003910	 | Macro.Office.Dropper.F	 | 07b1e4c165b8f62e3e2f9b8251ace77d</f>
        <v/>
      </c>
    </row>
    <row r="720">
      <c r="A720">
        <f>=1003911	 | Macro.Office.Dropper.G	 | 5b83d2a51b37a5157a81aa7dd6000908</f>
        <v/>
      </c>
    </row>
    <row r="721">
      <c r="A721">
        <f>=1003916	 | Macro.Office.GraceWire.A	 | 7af037489971a44ca93123e6dd777888</f>
        <v/>
      </c>
    </row>
    <row r="722">
      <c r="A722">
        <f>=100392	 | Worm.Win32.Stration.A	 | </f>
        <v/>
      </c>
    </row>
    <row r="723">
      <c r="A723">
        <f>=100393	 | Trojan.Win32.Runner.B	 | 478b7fbed93c3ffadf1ba4cbff8da0cd</f>
        <v/>
      </c>
    </row>
    <row r="724">
      <c r="A724">
        <f>=100394	 | Backdoor.Win32.Agent.BB	 | </f>
        <v/>
      </c>
    </row>
    <row r="725">
      <c r="A725">
        <f>=1003944	 | Macro.Office.QNC.A	 | 872e3474e8b41971f2035825613c2110</f>
        <v/>
      </c>
    </row>
    <row r="726">
      <c r="A726">
        <f>=100395	 | Backdoor.Win32.Agent.BC	 | b3d6074c3f160b84413a862fa4e897fd</f>
        <v/>
      </c>
    </row>
    <row r="727">
      <c r="A727">
        <f>=100396	 | Backdoor.Win32.Agent.BD	 | </f>
        <v/>
      </c>
    </row>
    <row r="728">
      <c r="A728">
        <f>=100397	 | RootKit.Win32.Siglow.B	 | 4f20daf428ef1f19b3b7cfe4cf5bb3bc</f>
        <v/>
      </c>
    </row>
    <row r="729">
      <c r="A729">
        <f>=100398	 | Backdoor.Win32.Gh0st.CC	 | 9070daaf84d30b3c6220afef0362a7b5</f>
        <v/>
      </c>
    </row>
    <row r="730">
      <c r="A730">
        <f>=100399	 | Backdoor.Win32.Gh0st.CD	 | b92d259d4ebc875861beca64620e6ef8</f>
        <v/>
      </c>
    </row>
    <row r="731">
      <c r="A731">
        <f>=100400	 | Backdoor.Win32.Gh0st.CG	 | 9499b04ff8946aaf24513a3f0da649bb</f>
        <v/>
      </c>
    </row>
    <row r="732">
      <c r="A732">
        <f>=100401	 | Trojan.Win32.Koutodoor.AV	 | </f>
        <v/>
      </c>
    </row>
    <row r="733">
      <c r="A733">
        <f>=100402	 | Backdoor.Win32.BDX.M	 | b5b8a9419cabe9672e3d2cdd1fbd79d1</f>
        <v/>
      </c>
    </row>
    <row r="734">
      <c r="A734">
        <f>=100403	 | Backdoor.Win32.BDX.N	 | 5f11ebb5d08e439be7ab501934ed5278</f>
        <v/>
      </c>
    </row>
    <row r="735">
      <c r="A735">
        <f>=100404	 | Backdoor.Win32.Gh0st.CL	 | 129860431344312f642796e28d59a8b1</f>
        <v/>
      </c>
    </row>
    <row r="736">
      <c r="A736">
        <f>=100405	 | Backdoor.Win32.BDX.P	 | 211ca36301ceb324d5aa41f8249eb6f8</f>
        <v/>
      </c>
    </row>
    <row r="737">
      <c r="A737">
        <f>=100406	 | Backdoor.Win32.Gh0st.CN	 | d38ea2553ee3f28d236b5e842f28d206</f>
        <v/>
      </c>
    </row>
    <row r="738">
      <c r="A738">
        <f>=100407	 | Backdoor.Win32.Zegost.AB	 | 9fce3937ed010ea6a4640f83aa1c9d99</f>
        <v/>
      </c>
    </row>
    <row r="739">
      <c r="A739">
        <f>=1004074	 | Macro.Office.Agent.I	 | 0bb81b7e93c1e7799affbacf3fb487d3</f>
        <v/>
      </c>
    </row>
    <row r="740">
      <c r="A740">
        <f>=1004077	 | Macro.Office.Agent.J	 | f1080204a942284a8f168f8122d3e003</f>
        <v/>
      </c>
    </row>
    <row r="741">
      <c r="A741">
        <f>=1004078	 | Macro.Office.Agent.K	 | c458fa3a40dc686bcd9b35fdeb23c998</f>
        <v/>
      </c>
    </row>
    <row r="742">
      <c r="A742">
        <f>=100408	 | RootKit.Win32.Siglow.C	 | </f>
        <v/>
      </c>
    </row>
    <row r="743">
      <c r="A743">
        <f>=100409	 | Backdoor.Win32.Gh0st.CV	 | 7095e9fddd6a62988d5dfb91f3982465</f>
        <v/>
      </c>
    </row>
    <row r="744">
      <c r="A744">
        <f>=100410	 | Trojan.Win32.VBCode.D	 | bb650266f497c6cf3373580eb04a8502</f>
        <v/>
      </c>
    </row>
    <row r="745">
      <c r="A745">
        <f>=1004101	 | Macro.Office.Thus.E	 | 4f96548c82734a17afae1fd170052382</f>
        <v/>
      </c>
    </row>
    <row r="746">
      <c r="A746">
        <f>=1004102	 | Macro.Office.StartOs.A	 | 0a3658d51c55e24663cdb307bb0da077</f>
        <v/>
      </c>
    </row>
    <row r="747">
      <c r="A747">
        <f>=1004105	 | Macro.Office.Agent.L	 | 003f61a3d050c6fe8160b6a61cbfdab7</f>
        <v/>
      </c>
    </row>
    <row r="748">
      <c r="A748">
        <f>=100411	 | Worm.Win32.Conficker.E	 | 45fb432ae8df61cc3f113f4e93035572</f>
        <v/>
      </c>
    </row>
    <row r="749">
      <c r="A749">
        <f>=1004110	 | Macro.Office.Agent.M	 | 118d88e7cb656d03eca8a8079bee7637</f>
        <v/>
      </c>
    </row>
    <row r="750">
      <c r="A750">
        <f>=1004111	 | Macro.Office.Agent.N	 | cd548b3d0d1e5edbc3132ef8e17164a3</f>
        <v/>
      </c>
    </row>
    <row r="751">
      <c r="A751">
        <f>=1004117	 | Macro.Office.Agent.O	 | b00743352b22757762de10d52bd9821d</f>
        <v/>
      </c>
    </row>
    <row r="752">
      <c r="A752">
        <f>=100412	 | Backdoor.Win32.Gh0st.CZ	 | f17cc9f23b2396c28c2bf7a3967f5398</f>
        <v/>
      </c>
    </row>
    <row r="753">
      <c r="A753">
        <f>=1004129	 | Macro.Office.Agent.P	 | 02f7c6a2655b32d16560d2aa72912c4e</f>
        <v/>
      </c>
    </row>
    <row r="754">
      <c r="A754">
        <f>=100413	 | Backdoor.Win32.Gh0st.DA	 | 6749212c5b4fc4dcb5cd501c4c081347</f>
        <v/>
      </c>
    </row>
    <row r="755">
      <c r="A755">
        <f>=1004130	 | Macro.Office.Agent.Q	 | 830688e89bbb2d6fffd0941d2026c386</f>
        <v/>
      </c>
    </row>
    <row r="756">
      <c r="A756">
        <f>=1004131	 | Macro.Office.Agent.R	 | 0f8ffeabc1ec006796417e795ba91fba</f>
        <v/>
      </c>
    </row>
    <row r="757">
      <c r="A757">
        <f>=1004132	 | Macro.Office.Agent.S	 | 93f5558f5e424bafee8d22cc0302204b</f>
        <v/>
      </c>
    </row>
    <row r="758">
      <c r="A758">
        <f>=1004134	 | Macro.Office.Agent.T	 | 09100fa8042114dd5737c5e5a1725bcc</f>
        <v/>
      </c>
    </row>
    <row r="759">
      <c r="A759">
        <f>=100414	 | Backdoor.Win32.Gh0st.DB	 | afe021033afe72fcdb2c3de6ab49923a</f>
        <v/>
      </c>
    </row>
    <row r="760">
      <c r="A760">
        <f>=1004145	 | Macro.Office.StartOs.B	 | 0089e15f95b0032b91ea975bbd91be2b</f>
        <v/>
      </c>
    </row>
    <row r="761">
      <c r="A761">
        <f>=1004146	 | Macro.Office.StartOs.C	 | 1067d53a11b3309c16a9a00b5df04623</f>
        <v/>
      </c>
    </row>
    <row r="762">
      <c r="A762">
        <f>=1004147	 | Macro.Office.StartOs.D	 | 2a277757588ab84b73b015f0097b1653</f>
        <v/>
      </c>
    </row>
    <row r="763">
      <c r="A763">
        <f>=100415	 | Backdoor.Win32.Vidro.A	 | afc9dbe1c97c2801d8e189272bf876ca</f>
        <v/>
      </c>
    </row>
    <row r="764">
      <c r="A764">
        <f>=1004158	 | Macro.Office.Agent.U	 | 8a55a0cb2afafd49fc16b35bb5769ea3</f>
        <v/>
      </c>
    </row>
    <row r="765">
      <c r="A765">
        <f>=100416	 | Backdoor.Win32.Gh0st.DC	 | a2b54a0a6fd5cef48fff08a2a8b12af7</f>
        <v/>
      </c>
    </row>
    <row r="766">
      <c r="A766">
        <f>=100417	 | Backdoor.Win32.NBVIP.B	 | 0ba085a6a8fb5633e702d19b4a10d8dc</f>
        <v/>
      </c>
    </row>
    <row r="767">
      <c r="A767">
        <f>=1004171	 | Macro.Office.Agent.V	 | 3685253f13d71a848d9c814b9a108c72</f>
        <v/>
      </c>
    </row>
    <row r="768">
      <c r="A768">
        <f>=1004172	 | Macro.Office.Agent.W	 | b182388664c155766b05aef075b9a1ab</f>
        <v/>
      </c>
    </row>
    <row r="769">
      <c r="A769">
        <f>=1004173	 | Macro.Office.Agent.X	 | 4cf8ce1cecae65efdf2d813c1260b2a3</f>
        <v/>
      </c>
    </row>
    <row r="770">
      <c r="A770">
        <f>=1004174	 | Macro.Office.Agent.Y	 | 1589bbbd875be177639ca5a39b1b4718</f>
        <v/>
      </c>
    </row>
    <row r="771">
      <c r="A771">
        <f>=1004178	 | Macro.Office.StartOs.E	 | 001df579b6df2f23b14d8414efa139ab</f>
        <v/>
      </c>
    </row>
    <row r="772">
      <c r="A772">
        <f>=100418	 | Backdoor.Win32.Gh0st.DE	 | 6139b99bb4c556bb462db022a32aff93</f>
        <v/>
      </c>
    </row>
    <row r="773">
      <c r="A773">
        <f>=100419	 | Backdoor.Win32.Gh0st.DH	 | 597c770ee3812c9c8e9c54eb4661867f</f>
        <v/>
      </c>
    </row>
    <row r="774">
      <c r="A774">
        <f>=100420	 | Trojan.Win32.EKanHi.A	 | a7dd25da76db69007d0b36f94bcae7a3</f>
        <v/>
      </c>
    </row>
    <row r="775">
      <c r="A775">
        <f>=100421	 | Dropper.Win32.FakeLPK.A	 | 3ce635333b24af5e6630c1fc4e11b227</f>
        <v/>
      </c>
    </row>
    <row r="776">
      <c r="A776">
        <f>=100422	 | Trojan.Win32.FakeUsp10.B	 | 773b3b2ac0e32779bd5a8bbf81ee1544</f>
        <v/>
      </c>
    </row>
    <row r="777">
      <c r="A777">
        <f>=100423	 | Backdoor.Win32.Agent.BE	 | </f>
        <v/>
      </c>
    </row>
    <row r="778">
      <c r="A778">
        <f>=100424	 | Trojan.Win32.StartPage.AI	 | 4d3878c86bb60a2a77e964b12e2d642f</f>
        <v/>
      </c>
    </row>
    <row r="779">
      <c r="A779">
        <f>=100425	 | Backdoor.Win32.Gh0st.DK	 | 805c2b5b567d652b535013c2aafcd815</f>
        <v/>
      </c>
    </row>
    <row r="780">
      <c r="A780">
        <f>=100426	 | Backdoor.Win32.Gh0st.DN	 | 66567eb71760488ae8d612c07cdc929e</f>
        <v/>
      </c>
    </row>
    <row r="781">
      <c r="A781">
        <f>=100427	 | Backdoor.Win32.Zegost.AD	 | d179bd3346b92cc52b1ae2fa0807f2e8</f>
        <v/>
      </c>
    </row>
    <row r="782">
      <c r="A782">
        <f>=100428	 | Backdoor.Win32.Zegost.AF	 | 1b653bbdcbb5b1f4504bfc557aa836ee</f>
        <v/>
      </c>
    </row>
    <row r="783">
      <c r="A783">
        <f>=100429	 | Backdoor.Win32.BaiJin.H	 | 0aa5e9e2f1d2e66bfb6c9a6b2eaefcff</f>
        <v/>
      </c>
    </row>
    <row r="784">
      <c r="A784">
        <f>=100430	 | Backdoor.Win32.Gh0st.DQ	 | b8f9e62c11ea45e5de432a0d146e10e3</f>
        <v/>
      </c>
    </row>
    <row r="785">
      <c r="A785">
        <f>=100431	 | Backdoor.Win32.Gh0st.DR	 | </f>
        <v/>
      </c>
    </row>
    <row r="786">
      <c r="A786">
        <f>=100432	 | Backdoor.Win32.Gh0st.DS	 | 86f6c2cdfa6828dca78cec2427a76bee</f>
        <v/>
      </c>
    </row>
    <row r="787">
      <c r="A787">
        <f>=100433	 | Backdoor.Win32.Gh0st.DU	 | f7e3b8070295496e870f5fc3f10c8750</f>
        <v/>
      </c>
    </row>
    <row r="788">
      <c r="A788">
        <f>=100434	 | Trojan.Win32.Agent.AB	 | 1fff0d1ee6d8b47250e33b081eef3f72</f>
        <v/>
      </c>
    </row>
    <row r="789">
      <c r="A789">
        <f>=100435	 | Worm.Win32.FakeFolder.AL	 | 2da2437f02d25eb39d2656e710376902</f>
        <v/>
      </c>
    </row>
    <row r="790">
      <c r="A790">
        <f>=100436	 | Backdoor.Win32.Bjlog.A	 | 0382783e030e28fe3a5ba432622c23a0</f>
        <v/>
      </c>
    </row>
    <row r="791">
      <c r="A791">
        <f>=100437	 | Trojan.Win32.StartPage.AM	 | 027f98d3605cdc86dcaaada286a75776</f>
        <v/>
      </c>
    </row>
    <row r="792">
      <c r="A792">
        <f>=100438	 | Backdoor.Win32.SetupEngine.B	 | </f>
        <v/>
      </c>
    </row>
    <row r="793">
      <c r="A793">
        <f>=100439	 | Trojan.Win32.ECodeAgent.A	 | </f>
        <v/>
      </c>
    </row>
    <row r="794">
      <c r="A794">
        <f>=100440	 | Backdoor.Win32.Zegost.AH	 | 76dec813cbf5a4bf8df8b365d6bd3f98</f>
        <v/>
      </c>
    </row>
    <row r="795">
      <c r="A795">
        <f>=100441	 | RootKit.Win32.VirDrvLdr.B	 | </f>
        <v/>
      </c>
    </row>
    <row r="796">
      <c r="A796">
        <f>=100442	 | Backdoor.Win32.Zegost.AI	 | </f>
        <v/>
      </c>
    </row>
    <row r="797">
      <c r="A797">
        <f>=100443	 | Backdoor.Win32.Gh0st.EB	 | </f>
        <v/>
      </c>
    </row>
    <row r="798">
      <c r="A798">
        <f>=100444	 | Trojan.Win32.StartPage.AP	 | 936385ec654ab104b90cf818cd5277f4</f>
        <v/>
      </c>
    </row>
    <row r="799">
      <c r="A799">
        <f>=100445	 | Backdoor.Win32.GrayPigeon.I	 | bbc3eabad8fb25e5c11c52f9cb5828a9</f>
        <v/>
      </c>
    </row>
    <row r="800">
      <c r="A800">
        <f>=100446	 | Backdoor.Win32.Gh0st.EG	 | </f>
        <v/>
      </c>
    </row>
    <row r="801">
      <c r="A801">
        <f>=100447	 | Worm.Win32.FakeFolder.AQ	 | 30b71e32a212e337d2f9aa03676e1c4d</f>
        <v/>
      </c>
    </row>
    <row r="802">
      <c r="A802">
        <f>=100448	 | Backdoor.Win32.Detarmal.A	 | 814309cc326e22bf5681c7e9b59dc738</f>
        <v/>
      </c>
    </row>
    <row r="803">
      <c r="A803">
        <f>=100449	 | Backdoor.Win32.Gh0st.EM	 | f8de29fdb86ae2a8c3a2c6efa1a9e534</f>
        <v/>
      </c>
    </row>
    <row r="804">
      <c r="A804">
        <f>=100450	 | Trojan.Win32.QQPass.AJ	 | b2bfe5b087d75f3f2b669e5df322d9eb</f>
        <v/>
      </c>
    </row>
    <row r="805">
      <c r="A805">
        <f>=100451	 | Backdoor.Win32.Gh0st.EQ	 | </f>
        <v/>
      </c>
    </row>
    <row r="806">
      <c r="A806">
        <f>=100452	 | Trojan.Win32.StartPage.AW	 | b181238ba68b8863918339028517b34e</f>
        <v/>
      </c>
    </row>
    <row r="807">
      <c r="A807">
        <f>=100453	 | Backdoor.Win32.Bandok.A	 | b5ef23595a4dd2c6790d52ac7b82b96a</f>
        <v/>
      </c>
    </row>
    <row r="808">
      <c r="A808">
        <f>=100454	 | RootKit.Win32.Siglow.I	 | 783991521075c322a419717eb360d70c</f>
        <v/>
      </c>
    </row>
    <row r="809">
      <c r="A809">
        <f>=100455	 | Backdoor.Win32.Gh0st.EU	 | </f>
        <v/>
      </c>
    </row>
    <row r="810">
      <c r="A810">
        <f>=100456	 | Backdoor.Win32.Gh0st.EV	 | </f>
        <v/>
      </c>
    </row>
    <row r="811">
      <c r="A811">
        <f>=100457	 | Backdoor.Win32.Shark.A	 | 45405998f42917065a9b31205a6367f9</f>
        <v/>
      </c>
    </row>
    <row r="812">
      <c r="A812">
        <f>=100458	 | Backdoor.Win32.BDX.T	 | db048cfec65d4f4f6d41481de30b600f</f>
        <v/>
      </c>
    </row>
    <row r="813">
      <c r="A813">
        <f>=100459	 | Backdoor.Win32.Srat.C	 | 528590b5227f329af6036ccff5b90e53</f>
        <v/>
      </c>
    </row>
    <row r="814">
      <c r="A814">
        <f>=100460	 | Trojan.Win32.VBCode.P	 | e00769ce55ea7493ca5fc0589402474e</f>
        <v/>
      </c>
    </row>
    <row r="815">
      <c r="A815">
        <f>=100461	 | Backdoor.Win32.Agent.BP	 | 84a211d2adbe5bbaf0f691934531e556</f>
        <v/>
      </c>
    </row>
    <row r="816">
      <c r="A816">
        <f>=100462	 | Backdoor.Win32.Agent.BQ	 | a3c2cb2bf9fa5e58673a0fd88240c34f</f>
        <v/>
      </c>
    </row>
    <row r="817">
      <c r="A817">
        <f>=100463	 | Backdoor.Win32.Agent.BR	 | 8edb9b5b4db54e5c73b4ccd4ece0b95e</f>
        <v/>
      </c>
    </row>
    <row r="818">
      <c r="A818">
        <f>=100464	 | Trojan.Win32.StartPage.AX	 | 8e8c90f5b53b39fb572fc3ceccfb31d9</f>
        <v/>
      </c>
    </row>
    <row r="819">
      <c r="A819">
        <f>=100465	 | Backdoor.Win32.PcClient.R	 | </f>
        <v/>
      </c>
    </row>
    <row r="820">
      <c r="A820">
        <f>=100466	 | Trojan.Win32.BHO.P	 | 0bb0b74d86559fbbc5bb708dd731807f</f>
        <v/>
      </c>
    </row>
    <row r="821">
      <c r="A821">
        <f>=100467	 | Backdoor.Win32.Gh0st.FC	 | 42dc1ee0f3aa1368b421c6e1cd3c48e4</f>
        <v/>
      </c>
    </row>
    <row r="822">
      <c r="A822">
        <f>=100468	 | Backdoor.Win32.BDX.V	 | b699e2180e9f2ea953df234ad5e71ed7</f>
        <v/>
      </c>
    </row>
    <row r="823">
      <c r="A823">
        <f>=100469	 | Trojan.Win32.FakeLPK.C	 | ac1044a3af492d33279cead0e1cc719a</f>
        <v/>
      </c>
    </row>
    <row r="824">
      <c r="A824">
        <f>=100470	 | Backdoor.Win32.Gh0st.FG	 | </f>
        <v/>
      </c>
    </row>
    <row r="825">
      <c r="A825">
        <f>=100471	 | Trojan.Win32.VBCode.F	 | </f>
        <v/>
      </c>
    </row>
    <row r="826">
      <c r="A826">
        <f>=100472	 | Trojan.Win32.TaoJin.D	 | </f>
        <v/>
      </c>
    </row>
    <row r="827">
      <c r="A827">
        <f>=100473	 | RootKit.Win32.Agent.L	 | </f>
        <v/>
      </c>
    </row>
    <row r="828">
      <c r="A828">
        <f>=100474	 | Trojan.Win32.NtHook.A	 | f0399a33f24a0235f13394709e58f1fa</f>
        <v/>
      </c>
    </row>
    <row r="829">
      <c r="A829">
        <f>=100475	 | Backdoor.Win32.Gh0st.FJ	 | 4f235809b5f0477dbec6a1be3dfbc0de</f>
        <v/>
      </c>
    </row>
    <row r="830">
      <c r="A830">
        <f>=100476	 | Trojan.Win32.Agent.Q	 | </f>
        <v/>
      </c>
    </row>
    <row r="831">
      <c r="A831">
        <f>=100477	 | Backdoor.Win32.PcClient.S	 | 3bb541123578449036459b372fd60eba</f>
        <v/>
      </c>
    </row>
    <row r="832">
      <c r="A832">
        <f>=100478	 | Trojan.Win32.Agent.DN	 | 63e420d9bfc0e5efaf9d536aa03ac18a</f>
        <v/>
      </c>
    </row>
    <row r="833">
      <c r="A833">
        <f>=100479	 | Trojan.Win32.Agent.T	 | </f>
        <v/>
      </c>
    </row>
    <row r="834">
      <c r="A834">
        <f>=100480	 | Backdoor.Win32.Gh0st.FQ	 | 9a4f0634dea3c8c60216e2f227d2ce27</f>
        <v/>
      </c>
    </row>
    <row r="835">
      <c r="A835">
        <f>=100481	 | Trojan.Win32.Agent.AI	 | be9fd5ed9d14fd59de3d900ff12c4325</f>
        <v/>
      </c>
    </row>
    <row r="836">
      <c r="A836">
        <f>=100482	 | Trojan.Win32.Agent.AK	 | e04986f198292458139efe0defd7c396</f>
        <v/>
      </c>
    </row>
    <row r="837">
      <c r="A837">
        <f>=100483	 | Trojan.Win32.StartPage.BF	 | e0ca1ca2e3469f2edd824b33b5a1a75b</f>
        <v/>
      </c>
    </row>
    <row r="838">
      <c r="A838">
        <f>=100484	 | Worm.Win32.FakeFolder.BE	 | 1f6a0e59ca4ac4799916b55831a7bab9</f>
        <v/>
      </c>
    </row>
    <row r="839">
      <c r="A839">
        <f>=100485	 | Worm.Win32.FakeFolder.BF	 | 0b8cbbd260eaec03cd83b178bd732c58</f>
        <v/>
      </c>
    </row>
    <row r="840">
      <c r="A840">
        <f>=100486	 | Backdoor.Win32.Agent.BW	 | 5b319aaa8594d9cc8022a2ab899b22e2</f>
        <v/>
      </c>
    </row>
    <row r="841">
      <c r="A841">
        <f>=100487	 | Backdoor.Win32.Agent.BY	 | 5aa260fa6529a27b8a7e7882425e7f39</f>
        <v/>
      </c>
    </row>
    <row r="842">
      <c r="A842">
        <f>=100488	 | RootKit.Win32.SSDT.B	 | 4b96629cbddee8d0d22bb55aeb0e1463</f>
        <v/>
      </c>
    </row>
    <row r="843">
      <c r="A843">
        <f>=100489	 | Backdoor.Win32.BDS.A	 | 0edd32d74cbc14b32b25088f5be912bd</f>
        <v/>
      </c>
    </row>
    <row r="844">
      <c r="A844">
        <f>=100490	 | RootKit.Win32.NtHookDaemon.C	 | 2fbc52874579e1f85e8db2f9b24ceb81</f>
        <v/>
      </c>
    </row>
    <row r="845">
      <c r="A845">
        <f>=100491	 | Trojan.Win32.Agent.AZ	 | 53fab20763c78b0ed6fa45752a892ba6</f>
        <v/>
      </c>
    </row>
    <row r="846">
      <c r="A846">
        <f>=100492	 | Backdoor.Win32.Gh0st.GF	 | 96b14186558889c10445484155e58aab</f>
        <v/>
      </c>
    </row>
    <row r="847">
      <c r="A847">
        <f>=100493	 | Worm.Win32.TIBiC.A	 | ac0b1a4823cab879b5d2e4bf5b0254fe</f>
        <v/>
      </c>
    </row>
    <row r="848">
      <c r="A848">
        <f>=100494	 | Trojan.Win32.Agent.DO	 | 0d6a0f1a2e219a1d2051ce1c66a80fd6</f>
        <v/>
      </c>
    </row>
    <row r="849">
      <c r="A849">
        <f>=100495	 | Worm.Win32.Lovgate.A	 | 51e5e39751a92a235f21b8f5898ea378</f>
        <v/>
      </c>
    </row>
    <row r="850">
      <c r="A850">
        <f>=100496	 | Backdoor.Win32.Gh0st.GJ	 | fc6abe7c86c76f61c04d36d18d7bdb8c</f>
        <v/>
      </c>
    </row>
    <row r="851">
      <c r="A851">
        <f>=100497	 | Backdoor.Win32.Agent.CD	 | </f>
        <v/>
      </c>
    </row>
    <row r="852">
      <c r="A852">
        <f>=100498	 | Backdoor.Win32.Gh0st.GK	 | 57c9e93dab1d17166485ddd6640bd18d</f>
        <v/>
      </c>
    </row>
    <row r="853">
      <c r="A853">
        <f>=100499	 | Worm.Win32.Jorik.C	 | </f>
        <v/>
      </c>
    </row>
    <row r="854">
      <c r="A854">
        <f>=100500	 | Backdoor.Win32.Agent.CE	 | 6c555316d75eb8e26788305acf443b2e</f>
        <v/>
      </c>
    </row>
    <row r="855">
      <c r="A855">
        <f>=100501	 | Backdoor.Win32.GrayPigeon.M	 | 6d30dc0954939e13e9ac499d855c1d2e</f>
        <v/>
      </c>
    </row>
    <row r="856">
      <c r="A856">
        <f>=1005016	 | Macro.Office.Agent.AA	 | BA0826644508B74AB872526D715E78D2</f>
        <v/>
      </c>
    </row>
    <row r="857">
      <c r="A857">
        <f>=100502	 | Trojan.Win32.Downloader.M	 | e966b4e5c1cef5db951a1ed2d762d4ba</f>
        <v/>
      </c>
    </row>
    <row r="858">
      <c r="A858">
        <f>=100503	 | RootKit.Win32.Qhost.D	 | 465d2cdb126e9c0118e205905f7e12ea</f>
        <v/>
      </c>
    </row>
    <row r="859">
      <c r="A859">
        <f>=1005031	 | Macro.Office.Agent.AB	 | A88C343555A410AD1D7316BC40F532E6</f>
        <v/>
      </c>
    </row>
    <row r="860">
      <c r="A860">
        <f>=1005032	 | Macro.Office.Agent.AC	 | 319BD352FF9DE62A5830D165062136AF</f>
        <v/>
      </c>
    </row>
    <row r="861">
      <c r="A861">
        <f>=1005033	 | Macro.Office.Agent.AD	 | FD12887C0B8273E07A7148EF17054330</f>
        <v/>
      </c>
    </row>
    <row r="862">
      <c r="A862">
        <f>=1005034	 | Macro.Office.Agent.AE	 | B0B6348E513718777CF197964A674DD1</f>
        <v/>
      </c>
    </row>
    <row r="863">
      <c r="A863">
        <f>=1005035	 | Macro.Office.Agent.AF	 | 9D60236D646560C1D1AC007C440F7E7C</f>
        <v/>
      </c>
    </row>
    <row r="864">
      <c r="A864">
        <f>=1005036	 | Macro.Office.Agent.AG	 | CA385528EB134C6C1060D13DFA58ECC6</f>
        <v/>
      </c>
    </row>
    <row r="865">
      <c r="A865">
        <f>=1005037	 | Macro.Office.Agent.AH	 | E0F2084342333E400292FD3A5375D8F0</f>
        <v/>
      </c>
    </row>
    <row r="866">
      <c r="A866">
        <f>=1005038	 | Macro.Office.Agent.AI	 | 2E88A8A2D84AB6C37B3E03F58C198844</f>
        <v/>
      </c>
    </row>
    <row r="867">
      <c r="A867">
        <f>=1005039	 | Macro.Office.Agent.AJ	 | 2478A16FC63CC1C442E0026A9257138D</f>
        <v/>
      </c>
    </row>
    <row r="868">
      <c r="A868">
        <f>=100504	 | Trojan.Win32.Agent.AQ	 | 20002ec45c40fd6ad77baf93b714090b</f>
        <v/>
      </c>
    </row>
    <row r="869">
      <c r="A869">
        <f>=1005040	 | Macro.Office.Agent.AK	 | FE8CBF19A1CCCC249904ED13A829A006</f>
        <v/>
      </c>
    </row>
    <row r="870">
      <c r="A870">
        <f>=1005041	 | Macro.Office.Agent.AL	 | AEC739940F324C556781133D533C5DEE</f>
        <v/>
      </c>
    </row>
    <row r="871">
      <c r="A871">
        <f>=1005042	 | Macro.Office.Agent.AM	 | 9AE1DDFCDC988C001AFB9BB7934BAABA</f>
        <v/>
      </c>
    </row>
    <row r="872">
      <c r="A872">
        <f>=1005043	 | Macro.Office.Agent.AN	 | 97EFC9A7F9BCA7EED46C5E957E90BBAD</f>
        <v/>
      </c>
    </row>
    <row r="873">
      <c r="A873">
        <f>=1005044	 | Macro.Office.Agent.AO	 | 39B1DABC89AF36F7562F5ACE8D596E0D</f>
        <v/>
      </c>
    </row>
    <row r="874">
      <c r="A874">
        <f>=1005045	 | Macro.Office.Agent.AP	 | 515AF86FFAC8CDDC2F2CA9AD868C9C2D</f>
        <v/>
      </c>
    </row>
    <row r="875">
      <c r="A875">
        <f>=1005046	 | Macro.Office.Agent.AQ	 | A71F0F89944DCDB6562CCFCCAF287A4E</f>
        <v/>
      </c>
    </row>
    <row r="876">
      <c r="A876">
        <f>=1005047	 | Macro.Office.Agent.AR	 | 3B70ABD2293B90458DBC767CD9C34FD4</f>
        <v/>
      </c>
    </row>
    <row r="877">
      <c r="A877">
        <f>=1005048	 | Macro.Office.Agent.AS	 | 922EE77EFBA0F0F59171A713D8A30D27</f>
        <v/>
      </c>
    </row>
    <row r="878">
      <c r="A878">
        <f>=1005049	 | Macro.Office.Agent.AT	 | 1933565F1CC8893A3E3BA06C97548CDE</f>
        <v/>
      </c>
    </row>
    <row r="879">
      <c r="A879">
        <f>=100505	 | Trojan.Win32.Dofoil.A	 | 7cf0c2be1f240408f07be0d1e344378a</f>
        <v/>
      </c>
    </row>
    <row r="880">
      <c r="A880">
        <f>=1005050	 | Macro.Office.Agent.AU	 | 0C2C1D601D12FA533273EB22D0526A40</f>
        <v/>
      </c>
    </row>
    <row r="881">
      <c r="A881">
        <f>=1005051	 | Macro.Office.Agent.AV	 | 7D73EF4250E8CB07B87C431E15D72155</f>
        <v/>
      </c>
    </row>
    <row r="882">
      <c r="A882">
        <f>=1005052	 | Macro.Office.Agent.AW	 | 926731C2E1A172D5F1E8D221447CC934</f>
        <v/>
      </c>
    </row>
    <row r="883">
      <c r="A883">
        <f>=1005053	 | Macro.Office.Agent.AX	 | C3BBDEB4B065EA78097C38B9DC8992A7</f>
        <v/>
      </c>
    </row>
    <row r="884">
      <c r="A884">
        <f>=1005054	 | Macro.Office.Agent.AY	 | 1ABF17CC5019F629C3940425064CDF23</f>
        <v/>
      </c>
    </row>
    <row r="885">
      <c r="A885">
        <f>=1005055	 | Macro.Office.Agent.BA	 | D48816DF73706FC4EC127B5A35ED87B3</f>
        <v/>
      </c>
    </row>
    <row r="886">
      <c r="A886">
        <f>=1005056	 | Macro.Office.Agent.BB	 | A0591BFC1CCECDAEA1CC00F12FEC5746</f>
        <v/>
      </c>
    </row>
    <row r="887">
      <c r="A887">
        <f>=1005057	 | Macro.Office.Agent.BC	 | 2A09D105F331391EDB99221A93DF6EC8</f>
        <v/>
      </c>
    </row>
    <row r="888">
      <c r="A888">
        <f>=1005058	 | Macro.Office.Agent.BD	 | 161F1CFA8C24B5E06D0DACFFFE0C2F05</f>
        <v/>
      </c>
    </row>
    <row r="889">
      <c r="A889">
        <f>=1005059	 | Macro.Office.Agent.BE	 | 7F7C7F432F266A081C86A0D1D5E155EA</f>
        <v/>
      </c>
    </row>
    <row r="890">
      <c r="A890">
        <f>=100506	 | Backdoor.Win32.Gh0st.GM	 | 7bfe7276acd48af736d57d5e45ab780b</f>
        <v/>
      </c>
    </row>
    <row r="891">
      <c r="A891">
        <f>=1005060	 | Macro.Office.Agent.BF	 | 41076DFD13FD9B8B884A6AB354A6C25A</f>
        <v/>
      </c>
    </row>
    <row r="892">
      <c r="A892">
        <f>=1005061	 | Macro.Office.Agent.BG	 | 9F2025A97AFB4564E3CE81CC8A51D2F9</f>
        <v/>
      </c>
    </row>
    <row r="893">
      <c r="A893">
        <f>=1005062	 | Macro.Office.Agent.BH	 | 2BC182926B34BC95A3C340F099052B03</f>
        <v/>
      </c>
    </row>
    <row r="894">
      <c r="A894">
        <f>=1005063	 | Macro.Office.Agent.BI	 | 5767002074AD4D7C0DC9BDB7083C555C</f>
        <v/>
      </c>
    </row>
    <row r="895">
      <c r="A895">
        <f>=1005064	 | Macro.Office.Agent.BJ	 | 442A4FD72E50146D9350F85FFBEFEA47</f>
        <v/>
      </c>
    </row>
    <row r="896">
      <c r="A896">
        <f>=1005065	 | Macro.Office.Agent.BK	 | 426B4992EF8E7FE8108DFFC59734E609</f>
        <v/>
      </c>
    </row>
    <row r="897">
      <c r="A897">
        <f>=1005066	 | Macro.Office.Agent.BL	 | 89B376E1DFF7D9B3C68499DE3ECDD6B3</f>
        <v/>
      </c>
    </row>
    <row r="898">
      <c r="A898">
        <f>=1005067	 | Macro.Office.Agent.BM	 | D396274285BAFAF13E4673577F8FAC8B</f>
        <v/>
      </c>
    </row>
    <row r="899">
      <c r="A899">
        <f>=1005068	 | Macro.Office.Agent.BN	 | E93FB41C9123E6E7A211E2C32C6A553F</f>
        <v/>
      </c>
    </row>
    <row r="900">
      <c r="A900">
        <f>=1005069	 | Macro.Office.Agent.BO	 | B9E7DAB3CB619CF190F41B3254E16428</f>
        <v/>
      </c>
    </row>
    <row r="901">
      <c r="A901">
        <f>=100507	 | Trojan.Win32.Loader.E	 | </f>
        <v/>
      </c>
    </row>
    <row r="902">
      <c r="A902">
        <f>=1005070	 | Macro.Office.Agent.BP	 | 904DBE0C691565BAE09AAA30FB3C1E31</f>
        <v/>
      </c>
    </row>
    <row r="903">
      <c r="A903">
        <f>=1005071	 | Macro.Office.Agent.BQ	 | DCA91965F8175B435D7C7A8D56C79641</f>
        <v/>
      </c>
    </row>
    <row r="904">
      <c r="A904">
        <f>=1005072	 | Macro.Office.Agent.BR	 | B9B536088907FB3BE6B73EF360D8666F</f>
        <v/>
      </c>
    </row>
    <row r="905">
      <c r="A905">
        <f>=1005073	 | Macro.Office.Agent.BS	 | CCF20F804E9CCABF24759B41C09A3FEF</f>
        <v/>
      </c>
    </row>
    <row r="906">
      <c r="A906">
        <f>=1005074	 | Macro.Office.Agent.BT	 | E2430F2B5E0BAAF54764E06913E516AF</f>
        <v/>
      </c>
    </row>
    <row r="907">
      <c r="A907">
        <f>=1005075	 | Macro.Office.MelissaFX.X	 | 3EF7E1D7BBD991A4E9ABD67BA2EC287D</f>
        <v/>
      </c>
    </row>
    <row r="908">
      <c r="A908">
        <f>=1005076	 | Macro.Office.Melissa.Y	 | AAA850B752E0FCDDE35D4471AFC0DB33</f>
        <v/>
      </c>
    </row>
    <row r="909">
      <c r="A909">
        <f>=1005078	 | Macro.Office.Agent.BV	 | 24C07CDF40F1CC9769E5FE2745459FBD</f>
        <v/>
      </c>
    </row>
    <row r="910">
      <c r="A910">
        <f>=1005079	 | Macro.Office.Agent.BW	 | 362F22D882AF61C9B5B1D7DCEBFE9D07</f>
        <v/>
      </c>
    </row>
    <row r="911">
      <c r="A911">
        <f>=100508	 | RootKit.Win32.KillAV.G	 | 04acac5cd7e279ae2bd38659114bffce</f>
        <v/>
      </c>
    </row>
    <row r="912">
      <c r="A912">
        <f>=1005080	 | Macro.Office.Agent.BX	 | 362F22D882AF61C9B5B1D7DCEBFE9D07</f>
        <v/>
      </c>
    </row>
    <row r="913">
      <c r="A913">
        <f>=1005081	 | Macro.Office.Agent.BY	 | CA25DAD2EC27BDCD14EC2FFC63900D62</f>
        <v/>
      </c>
    </row>
    <row r="914">
      <c r="A914">
        <f>=1005082	 | Macro.Office.Agent.CA	 | D3A9A5AADF0E3A267BA8C8D934163DCF</f>
        <v/>
      </c>
    </row>
    <row r="915">
      <c r="A915">
        <f>=1005083	 | Macro.Office.Agent.CB	 | 90ADB8963203BE5362F4F80CE179B877</f>
        <v/>
      </c>
    </row>
    <row r="916">
      <c r="A916">
        <f>=1005084	 | Macro.Office.Agent.CC	 | D0D71D60962C1F7A5A6960ADAC61C001</f>
        <v/>
      </c>
    </row>
    <row r="917">
      <c r="A917">
        <f>=1005085	 | Macro.Office.Agent.CD	 | EFCA7DC9AD7C5413605AA44E4050CEC5</f>
        <v/>
      </c>
    </row>
    <row r="918">
      <c r="A918">
        <f>=1005086	 | Macro.Office.Agent.CE	 | 257613C558E0DA7B2FD35948B166620B</f>
        <v/>
      </c>
    </row>
    <row r="919">
      <c r="A919">
        <f>=1005087	 | Macro.Office.Agent.CF	 | 94E55004D3CF4B9204C0B4D63D5F6FF0</f>
        <v/>
      </c>
    </row>
    <row r="920">
      <c r="A920">
        <f>=1005088	 | Macro.Office.Agent.CG	 | B7CC86A77A880C7F764837CCB3AD18AD</f>
        <v/>
      </c>
    </row>
    <row r="921">
      <c r="A921">
        <f>=1005089	 | Macro.Office.Agent.CH	 | D374C8DA41B5008B28483133A31C0738</f>
        <v/>
      </c>
    </row>
    <row r="922">
      <c r="A922">
        <f>=100509	 | RootKit.Win32.KillAV.H	 | </f>
        <v/>
      </c>
    </row>
    <row r="923">
      <c r="A923">
        <f>=1005090	 | Macro.Office.XlScan.A	 | A125838A342E68D091E69BB3B7739D73</f>
        <v/>
      </c>
    </row>
    <row r="924">
      <c r="A924">
        <f>=1005095	 | Macro.Office.Agent.CI	 | 2C5BA262F192F034AAD0D724FE3FA035</f>
        <v/>
      </c>
    </row>
    <row r="925">
      <c r="A925">
        <f>=1005097	 | Macro.Office.Agent.CJ	 | 330410E96F607F6314EF19E735ECAA53</f>
        <v/>
      </c>
    </row>
    <row r="926">
      <c r="A926">
        <f>=1005098	 | Macro.Office.Agent.CK	 | 6C445D789FC128093E0A239BA0D2B995</f>
        <v/>
      </c>
    </row>
    <row r="927">
      <c r="A927">
        <f>=1005099	 | Macro.Office.Agent.CL	 | 4D8B445294D013BC9C33C3B7273EED2E</f>
        <v/>
      </c>
    </row>
    <row r="928">
      <c r="A928">
        <f>=100510	 | Trojan.Win32.Agent.DP	 | </f>
        <v/>
      </c>
    </row>
    <row r="929">
      <c r="A929">
        <f>=1005100	 | Macro.Office.Agent.CM	 | 4452531C7A20C2E62F68FC7C9A063B8E</f>
        <v/>
      </c>
    </row>
    <row r="930">
      <c r="A930">
        <f>=1005102	 | Macro.Office.Agent.CN	 | 12EFE4073625C67758196C3227CA07BF</f>
        <v/>
      </c>
    </row>
    <row r="931">
      <c r="A931">
        <f>=1005103	 | Macro.Office.Agent.CO	 | CEB76AF9CB9F47E31903B452EBE87471</f>
        <v/>
      </c>
    </row>
    <row r="932">
      <c r="A932">
        <f>=1005104	 | Macro.Office.Agent.CP	 | A3C529BA306365108A12EDDF27B73A5F</f>
        <v/>
      </c>
    </row>
    <row r="933">
      <c r="A933">
        <f>=1005105	 | Macro.Office.Agent.CQ	 | 8388E8C7E50460225E6873267F918CCD</f>
        <v/>
      </c>
    </row>
    <row r="934">
      <c r="A934">
        <f>=1005109	 | Macro.Office.Agent.CS	 | C0375315F57282E8E4102A6726519D1D</f>
        <v/>
      </c>
    </row>
    <row r="935">
      <c r="A935">
        <f>=100511	 | Backdoor.Win32.Agent.CW	 | </f>
        <v/>
      </c>
    </row>
    <row r="936">
      <c r="A936">
        <f>=1005110	 | Macro.Office.Agent.CT	 | C0375315F57282E8E4102A6726519D1D</f>
        <v/>
      </c>
    </row>
    <row r="937">
      <c r="A937">
        <f>=1005111	 | Macro.Office.Agent.CU	 | 1F1AD808F281C2C37BD9345CFE8B642A</f>
        <v/>
      </c>
    </row>
    <row r="938">
      <c r="A938">
        <f>=1005112	 | Macro.Office.Agent.CV	 | C2974C01376150920C639A5F7C315AB8</f>
        <v/>
      </c>
    </row>
    <row r="939">
      <c r="A939">
        <f>=1005113	 | Macro.Office.Agent.CW	 | 22621E1E15D9CAF081753BCF9FC84FA2</f>
        <v/>
      </c>
    </row>
    <row r="940">
      <c r="A940">
        <f>=1005114	 | Macro.Office.Agent.CX	 | 1EBE75CFF82464ECC957C353CE5D0FA8</f>
        <v/>
      </c>
    </row>
    <row r="941">
      <c r="A941">
        <f>=1005115	 | Macro.Office.Cartman.A	 | 01B31308B54984AAD69649D5FE057338</f>
        <v/>
      </c>
    </row>
    <row r="942">
      <c r="A942">
        <f>=1005117	 | Macro.Office.Agent.CY	 | 112889C58B0137A4647EBA131BC3F70F</f>
        <v/>
      </c>
    </row>
    <row r="943">
      <c r="A943">
        <f>=1005119	 | Macro.Office.Agent.DA	 | 6C369508F5E9B0DBBF7004BC1A77B5A3</f>
        <v/>
      </c>
    </row>
    <row r="944">
      <c r="A944">
        <f>=100512	 | Worm.Win32.VB.A	 | 6e0e6c9a9f8a7f6abcf4fc71f80a398f</f>
        <v/>
      </c>
    </row>
    <row r="945">
      <c r="A945">
        <f>=1005120	 | Macro.Office.Agent.DB	 | D03AEC6917801DB9C4E20B5FE40BDFCC</f>
        <v/>
      </c>
    </row>
    <row r="946">
      <c r="A946">
        <f>=1005121	 | Macro.Office.CrazyMan.A	 | 9B7B6FCCA0229E21D01B787CE9B68BE4</f>
        <v/>
      </c>
    </row>
    <row r="947">
      <c r="A947">
        <f>=1005122	 | Macro.Office.Agent.DC	 | FFB79D46C0D2E7D078BB218629D28E21</f>
        <v/>
      </c>
    </row>
    <row r="948">
      <c r="A948">
        <f>=1005123	 | Macro.Office.Agent.DD	 | F2036B512F3A6A69ECA2A99C1F6EC6EC</f>
        <v/>
      </c>
    </row>
    <row r="949">
      <c r="A949">
        <f>=1005124	 | Macro.Office.Agent.DE	 | E39C91D6437990B60CD8F092C9A9792C</f>
        <v/>
      </c>
    </row>
    <row r="950">
      <c r="A950">
        <f>=1005125	 | Macro.Office.Agent.DF	 | D2AFAAC0172F1AD057975D2E98DD60FF</f>
        <v/>
      </c>
    </row>
    <row r="951">
      <c r="A951">
        <f>=1005129	 | Macro.Office.Agent.DJ	 | DBABCFD607DAD0DC87D374BCE2805872</f>
        <v/>
      </c>
    </row>
    <row r="952">
      <c r="A952">
        <f>=1005130	 | Macro.Office.Agent.DK	 | C688B95778C2A796B878C697FF7B7B03</f>
        <v/>
      </c>
    </row>
    <row r="953">
      <c r="A953">
        <f>=1005131	 | Macro.Office.Agent.DL	 | ACD2FEFF4CDE672A422E844B5E85FAA5</f>
        <v/>
      </c>
    </row>
    <row r="954">
      <c r="A954">
        <f>=1005136	 | Macro.Office.Agent.DN	 | A8D5585F05D4FCADA954D8F8AAD2C386</f>
        <v/>
      </c>
    </row>
    <row r="955">
      <c r="A955">
        <f>=1005137	 | Macro.Office.Caligula.A	 | A8D5585F05D4FCADA954D8F8AAD2C386</f>
        <v/>
      </c>
    </row>
    <row r="956">
      <c r="A956">
        <f>=1005138	 | Macro.Office.Agent.DO	 | B1518C15E37AFA141AE9236E93D32723</f>
        <v/>
      </c>
    </row>
    <row r="957">
      <c r="A957">
        <f>=1005139	 | Macro.Office.Agent.DP	 | 0FC7272C9EB9B667D0597F9D72BBDEAB</f>
        <v/>
      </c>
    </row>
    <row r="958">
      <c r="A958">
        <f>=100514	 | Backdoor.Win32.Agent.DA	 | </f>
        <v/>
      </c>
    </row>
    <row r="959">
      <c r="A959">
        <f>=1005140	 | Macro.Office.Agent.DQ	 | F24F52E834EB44E1E06F6C4A09066B86</f>
        <v/>
      </c>
    </row>
    <row r="960">
      <c r="A960">
        <f>=1005146	 | Macro.Office.Agent.DR	 | B0EC44BD13DD708A0C145FB459E8FA55</f>
        <v/>
      </c>
    </row>
    <row r="961">
      <c r="A961">
        <f>=1005147	 | Macro.Office.Agent.DS	 | AAFDC40E47DB19F36D40E12FD9CA690E</f>
        <v/>
      </c>
    </row>
    <row r="962">
      <c r="A962">
        <f>=1005148	 | Macro.Office.Agent.DT	 | 378977D69C7C210BB44D99A5FF37A6D3</f>
        <v/>
      </c>
    </row>
    <row r="963">
      <c r="A963">
        <f>=1005149	 | Macro.Office.CAP.A	 | 46AB9B5575A22BAF71A49C505FEEDB6C</f>
        <v/>
      </c>
    </row>
    <row r="964">
      <c r="A964">
        <f>=100515	 | Trojan.Win32.TaoJin.K	 | 7cafb8400144702dbc59633471ba6220</f>
        <v/>
      </c>
    </row>
    <row r="965">
      <c r="A965">
        <f>=1005150	 | Macro.Office.CyberHack.A	 | 14ED26C6555E1D175981764AFDFA85D8</f>
        <v/>
      </c>
    </row>
    <row r="966">
      <c r="A966">
        <f>=1005151	 | Macro.Office.Agent.DU	 | BD3CB219E2463DDEB72FB88E46A16283</f>
        <v/>
      </c>
    </row>
    <row r="967">
      <c r="A967">
        <f>=1005152	 | Macro.Office.Agent.DV	 | F09CB22886E0666A2247753BCC6E97C6</f>
        <v/>
      </c>
    </row>
    <row r="968">
      <c r="A968">
        <f>=1005153	 | Macro.Office.Agent.DW	 | 2FE7A438A680B9861D2C99CD625B6343</f>
        <v/>
      </c>
    </row>
    <row r="969">
      <c r="A969">
        <f>=1005154	 | Macro.Office.Ketapang.A	 | 6A4A187555EF0BB1C1776FACECC38A31</f>
        <v/>
      </c>
    </row>
    <row r="970">
      <c r="A970">
        <f>=1005155	 | Macro.Office.Agent.DX	 | 82EC8FEDA81EB0D43E74285D80B9FA7B</f>
        <v/>
      </c>
    </row>
    <row r="971">
      <c r="A971">
        <f>=1005156	 | Macro.Office.Agent.DY	 | 34031D444037600520A2F7513D337FBD</f>
        <v/>
      </c>
    </row>
    <row r="972">
      <c r="A972">
        <f>=1005157	 | Macro.Office.Agent.EA	 | 7491B45D067678C79B46634CEEEB8ED2</f>
        <v/>
      </c>
    </row>
    <row r="973">
      <c r="A973">
        <f>=1005158	 | Macro.Office.Fei.A	 | E02B064998DCC2691F90DDAE61FCB477</f>
        <v/>
      </c>
    </row>
    <row r="974">
      <c r="A974">
        <f>=100516	 | Trojan.Win32.FakeAV.B	 | </f>
        <v/>
      </c>
    </row>
    <row r="975">
      <c r="A975">
        <f>=100517	 | Backdoor.Win32.Small.A	 | 4c909cad701ed32bdb13c279628c6920</f>
        <v/>
      </c>
    </row>
    <row r="976">
      <c r="A976">
        <f>=100518	 | Trojan.Win32.TaoJin.L	 | 21e63650e79a0d5ddc6f3c3399aef28b</f>
        <v/>
      </c>
    </row>
    <row r="977">
      <c r="A977">
        <f>=100519	 | Worm.Win32.Mau.A	 | </f>
        <v/>
      </c>
    </row>
    <row r="978">
      <c r="A978">
        <f>=100520	 | Trojan.Win32.Trickler.A	 | </f>
        <v/>
      </c>
    </row>
    <row r="979">
      <c r="A979">
        <f>=100521	 | Worm.Win32.Small.B	 | 009191ef51aa16b795e25591a075d0fd</f>
        <v/>
      </c>
    </row>
    <row r="980">
      <c r="A980">
        <f>=100522	 | Worm.Win32.VB.B	 | 1619bf82771dd67184f7e33f5f772b31</f>
        <v/>
      </c>
    </row>
    <row r="981">
      <c r="A981">
        <f>=100523	 | Trojan.Win32.Delf.A	 | 4e22775699416e81275fea3266e14bba</f>
        <v/>
      </c>
    </row>
    <row r="982">
      <c r="A982">
        <f>=100524	 | Trojan.Win32.Keylogger.A	 | f5a094a69f8fa7a25f228433066af8bb</f>
        <v/>
      </c>
    </row>
    <row r="983">
      <c r="A983">
        <f>=100525	 | Trojan.Win32.Phishbank.A	 | b268503457565a9bd87790fedff7cf3a</f>
        <v/>
      </c>
    </row>
    <row r="984">
      <c r="A984">
        <f>=100526	 | Worm.Win32.Nofear.A	 | 70aaf48931196c37bf52d9e7f6ef3ebd</f>
        <v/>
      </c>
    </row>
    <row r="985">
      <c r="A985">
        <f>=100527	 | Trojan.Win32.Sirefef.A	 | 3bb3445929de64edabb943059dc22417</f>
        <v/>
      </c>
    </row>
    <row r="986">
      <c r="A986">
        <f>=100528	 | Backdoor.Win32.Delf.A	 | 0276921fa56b17c750963feb69447cf7</f>
        <v/>
      </c>
    </row>
    <row r="987">
      <c r="A987">
        <f>=100529	 | Trojan.Win32.Delf.B	 | 0c933261de344689c32fe55b591f500b</f>
        <v/>
      </c>
    </row>
    <row r="988">
      <c r="A988">
        <f>=100530	 | Worm.Win32.Socks.B	 | </f>
        <v/>
      </c>
    </row>
    <row r="989">
      <c r="A989">
        <f>=100531	 | Trojan.Win32.Agent.AS	 | 97bb01f9f9bd3ec0e25634ee4a64a8ab</f>
        <v/>
      </c>
    </row>
    <row r="990">
      <c r="A990">
        <f>=100532	 | Worm.Win32.FakeFolder.BN	 | 63d96780e97696c59664608d8c0327e7</f>
        <v/>
      </c>
    </row>
    <row r="991">
      <c r="A991">
        <f>=100533	 | Trojan.Win32.Agent.AG	 | </f>
        <v/>
      </c>
    </row>
    <row r="992">
      <c r="A992">
        <f>=100534	 | Trojan.Win32.KillAV.X	 | d63733e7a3f13aa09abd452a9082ccf3</f>
        <v/>
      </c>
    </row>
    <row r="993">
      <c r="A993">
        <f>=100535	 | Worm.Win32.Agent.A	 | 1566766c851272caa1d145908acd9ced</f>
        <v/>
      </c>
    </row>
    <row r="994">
      <c r="A994">
        <f>=100536	 | Backdoor.Win32.Agent.DO	 | fe05eb9187bfe921f5cd8f3c3de1d623</f>
        <v/>
      </c>
    </row>
    <row r="995">
      <c r="A995">
        <f>=100537	 | Trojan.Win32.Lydra.A	 | 4884d676107d006c2cd276d08c34f75c</f>
        <v/>
      </c>
    </row>
    <row r="996">
      <c r="A996">
        <f>=100538	 | Trojan.Win32.KillAV.Y	 | dd464adbbab9892add8c6da7a0634d78</f>
        <v/>
      </c>
    </row>
    <row r="997">
      <c r="A997">
        <f>=100539	 | Worm.Win32.Pykse.A	 | a328ab55e8b7f451e3221aa05cabaf73</f>
        <v/>
      </c>
    </row>
    <row r="998">
      <c r="A998">
        <f>=100540	 | Trojan.Win32.Agent.AH	 | c2e5fbaee6bd4e7b41d9868d6ee73f8c</f>
        <v/>
      </c>
    </row>
    <row r="999">
      <c r="A999">
        <f>=100541	 | Backdoor.Win32.Agent.DS	 | </f>
        <v/>
      </c>
    </row>
    <row r="1000">
      <c r="A1000">
        <f>=100542	 | Trojan.Win32.Dialer.A	 | f0653db2f331e09d7d8bcec714746cfe</f>
        <v/>
      </c>
    </row>
    <row r="1001">
      <c r="A1001">
        <f>=100543	 | Worm.Win32.Ridnu.A	 | c1b33a0bee3d3b9980f290dc13be0eaa</f>
        <v/>
      </c>
    </row>
    <row r="1002">
      <c r="A1002">
        <f>=100544	 | Trojan.Win32.Agent.BK	 | </f>
        <v/>
      </c>
    </row>
    <row r="1003">
      <c r="A1003">
        <f>=100545	 | Trojan.Win32.StartPage.BL	 | 1740b6a8c125d7bba5a98a515dcb87f4</f>
        <v/>
      </c>
    </row>
    <row r="1004">
      <c r="A1004">
        <f>=100546	 | Trojan.Win32.VB.B	 | 14aece9a55a9e976a15c7686b30b62a3</f>
        <v/>
      </c>
    </row>
    <row r="1005">
      <c r="A1005">
        <f>=100547	 | Worm.Win32.VB.D	 | 594eec0537140d35ff4a2bc829b83bee</f>
        <v/>
      </c>
    </row>
    <row r="1006">
      <c r="A1006">
        <f>=100548	 | Worm.Win32.VB.E	 | 19f97e6a4640a3d6c7c7aeb68be3bc7e</f>
        <v/>
      </c>
    </row>
    <row r="1007">
      <c r="A1007">
        <f>=100549	 | Trojan.Win32.Lydra.B	 | 1c90aec89fb86f9c0fb697a5950983e6</f>
        <v/>
      </c>
    </row>
    <row r="1008">
      <c r="A1008">
        <f>=100550	 | Backdoor.Win32.RatStact.B	 | </f>
        <v/>
      </c>
    </row>
    <row r="1009">
      <c r="A1009">
        <f>=100551	 | Trojan.Win32.VB.C	 | bd8e9fbf599b5f5e3f4eb6a55f770da8</f>
        <v/>
      </c>
    </row>
    <row r="1010">
      <c r="A1010">
        <f>=100552	 | Worm.Win32.VB.F	 | 15076f67310129c29cc3fc252604430f</f>
        <v/>
      </c>
    </row>
    <row r="1011">
      <c r="A1011">
        <f>=100553	 | Trojan.Win32.Wordapas.A	 | edd8e5a67b019ddf7ffce25e08f5096c</f>
        <v/>
      </c>
    </row>
    <row r="1012">
      <c r="A1012">
        <f>=100554	 | Trojan.Win32.StartPage.BN	 | 8d507aa98b6a40ebc0ddcb41029d8468</f>
        <v/>
      </c>
    </row>
    <row r="1013">
      <c r="A1013">
        <f>=100555	 | Trojan.Win32.GameOnline.DZ	 | d578df6a70a7b98fdc5d098bc6f910bf</f>
        <v/>
      </c>
    </row>
    <row r="1014">
      <c r="A1014">
        <f>=100556	 | Backdoor.Win32.Gh0st.HB	 | 54d8a9c9631aecf0c82cced418357142</f>
        <v/>
      </c>
    </row>
    <row r="1015">
      <c r="A1015">
        <f>=100557	 | Backdoor.Win32.Gh0st.HC	 | dea22d3127cbd2f436cbb4996274e421</f>
        <v/>
      </c>
    </row>
    <row r="1016">
      <c r="A1016">
        <f>=100558	 | Trojan.Win32.KillAV.AA	 | 5556fbb858936ae409d5c2b033e66bac</f>
        <v/>
      </c>
    </row>
    <row r="1017">
      <c r="A1017">
        <f>=100559	 | Trojan.Win32.Rit.A	 | d5cdea429ac662a3f60ce87da0dbec14</f>
        <v/>
      </c>
    </row>
    <row r="1018">
      <c r="A1018">
        <f>=100560	 | Backdoor.Win32.Agent.DZ	 | </f>
        <v/>
      </c>
    </row>
    <row r="1019">
      <c r="A1019">
        <f>=100561	 | Trojan.Win32.GameOnline.EA	 | </f>
        <v/>
      </c>
    </row>
    <row r="1020">
      <c r="A1020">
        <f>=100562	 | Trojan.Win32.Agent.DQ	 | </f>
        <v/>
      </c>
    </row>
    <row r="1021">
      <c r="A1021">
        <f>=100563	 | Trojan.Win32.Agent.C	 | </f>
        <v/>
      </c>
    </row>
    <row r="1022">
      <c r="A1022">
        <f>=100564	 | Worm.Win32.FakeFolder.BO	 | 91fb64acf2b9d073ae5b09a08be0153a</f>
        <v/>
      </c>
    </row>
    <row r="1023">
      <c r="A1023">
        <f>=100565	 | Trojan.Win32.VBCode.Q	 | f4a97d284095a70cf46c3134a13d812a</f>
        <v/>
      </c>
    </row>
    <row r="1024">
      <c r="A1024">
        <f>=100566	 | Worm.Win32.FakeFolder.BP	 | 3a86e4fd4332164b25e044791408c42b</f>
        <v/>
      </c>
    </row>
    <row r="1025">
      <c r="A1025">
        <f>=100567	 | Trojan.Win32.Agent.D	 | </f>
        <v/>
      </c>
    </row>
    <row r="1026">
      <c r="A1026">
        <f>=100568	 | Backdoor.Win32.Agent.EB	 | f247897ee48cc4c120de47d39fdf87cd</f>
        <v/>
      </c>
    </row>
    <row r="1027">
      <c r="A1027">
        <f>=100569	 | Worm.Win32.VB.H	 | 91cfd3d65c4b94f7c61dad7aa11c8479</f>
        <v/>
      </c>
    </row>
    <row r="1028">
      <c r="A1028">
        <f>=100570	 | Trojan.Win32.Agent.DR	 | </f>
        <v/>
      </c>
    </row>
    <row r="1029">
      <c r="A1029">
        <f>=100571	 | Backdoor.Win32.Agent.EC	 | 49562bc4226380aff67533a027e11abf</f>
        <v/>
      </c>
    </row>
    <row r="1030">
      <c r="A1030">
        <f>=100572	 | Backdoor.Win32.Gh0st.HE	 | 27077180fdc3a329416d4ea8b80f50c9</f>
        <v/>
      </c>
    </row>
    <row r="1031">
      <c r="A1031">
        <f>=100573	 | Worm.Win32.Fifesock.A	 | 86d7de8a051a961dc0831e67511349a0</f>
        <v/>
      </c>
    </row>
    <row r="1032">
      <c r="A1032">
        <f>=100574	 | Backdoor.Win32.Agent.ED	 | </f>
        <v/>
      </c>
    </row>
    <row r="1033">
      <c r="A1033">
        <f>=100575	 | Trojan.Win32.Loader.J	 | </f>
        <v/>
      </c>
    </row>
    <row r="1034">
      <c r="A1034">
        <f>=100576	 | Trojan.Win32.Zbot.B	 | </f>
        <v/>
      </c>
    </row>
    <row r="1035">
      <c r="A1035">
        <f>=100577	 | Trojan.Win32.Loader.K	 | 3342260926cb6272fd1b641d22f75ef7</f>
        <v/>
      </c>
    </row>
    <row r="1036">
      <c r="A1036">
        <f>=100578	 | Trojan.Win32.Zbot.A	 | f4092487d3055eb89be8f56c9b397d80</f>
        <v/>
      </c>
    </row>
    <row r="1037">
      <c r="A1037">
        <f>=100579	 | Trojan.Win32.Loader.L	 | 1ae479af9c1a8dea5280297811766414</f>
        <v/>
      </c>
    </row>
    <row r="1038">
      <c r="A1038">
        <f>=100580	 | Backdoor.Win32.Zegost.AK	 | </f>
        <v/>
      </c>
    </row>
    <row r="1039">
      <c r="A1039">
        <f>=100581	 | Trojan.Win32.Agent.DS	 | </f>
        <v/>
      </c>
    </row>
    <row r="1040">
      <c r="A1040">
        <f>=100582	 | Backdoor.Win32.Gh0st.HO	 | </f>
        <v/>
      </c>
    </row>
    <row r="1041">
      <c r="A1041">
        <f>=100583	 | Trojan.Win32.KillAV.AC	 | </f>
        <v/>
      </c>
    </row>
    <row r="1042">
      <c r="A1042">
        <f>=100584	 | Trojan.Win32.QQPass.BS	 | </f>
        <v/>
      </c>
    </row>
    <row r="1043">
      <c r="A1043">
        <f>=100585	 | Trojan.Win32.Clicker.T	 | e392d93a061b672d590b1cd9d45f688c</f>
        <v/>
      </c>
    </row>
    <row r="1044">
      <c r="A1044">
        <f>=100586	 | Backdoor.Win32.Gh0st.HY	 | d48e6527f36735c0f719f737d89a287f</f>
        <v/>
      </c>
    </row>
    <row r="1045">
      <c r="A1045">
        <f>=100587	 | Backdoor.Win32.Gh0st.IA	 | </f>
        <v/>
      </c>
    </row>
    <row r="1046">
      <c r="A1046">
        <f>=100588	 | Trojan.Win32.KillAV.AD	 | ca29d1f63e8d8938e4bc4ed3cde4fc79</f>
        <v/>
      </c>
    </row>
    <row r="1047">
      <c r="A1047">
        <f>=1005885	 | Macro.Office.Dropper.I	 | ef9f05472edbcb9fa2a2823671e207a6</f>
        <v/>
      </c>
    </row>
    <row r="1048">
      <c r="A1048">
        <f>=100589	 | Trojan.Win32.Farfli.C	 | </f>
        <v/>
      </c>
    </row>
    <row r="1049">
      <c r="A1049">
        <f>=100590	 | Backdoor.Win32.Gh0st.IE	 | </f>
        <v/>
      </c>
    </row>
    <row r="1050">
      <c r="A1050">
        <f>=1005901	 | Macro.Office.Generic.A	 | 1adef0fdf4876d639e8a0a5933ecb0e8</f>
        <v/>
      </c>
    </row>
    <row r="1051">
      <c r="A1051">
        <f>=1005902	 | Macro.Office.Generic.B	 | 1b63608eec85915b15c0131935f11974</f>
        <v/>
      </c>
    </row>
    <row r="1052">
      <c r="A1052">
        <f>=100591	 | Backdoor.Win32.Agent.EN	 | </f>
        <v/>
      </c>
    </row>
    <row r="1053">
      <c r="A1053">
        <f>=100592	 | Backdoor.Win32.Gh0st.IH	 | </f>
        <v/>
      </c>
    </row>
    <row r="1054">
      <c r="A1054">
        <f>=100593	 | Backdoor.Win32.Gh0st.IM	 | </f>
        <v/>
      </c>
    </row>
    <row r="1055">
      <c r="A1055">
        <f>=100594	 | Backdoor.Win32.Gh0st.IN	 | 860f42ed005f843a3aa92dbbabc98bac</f>
        <v/>
      </c>
    </row>
    <row r="1056">
      <c r="A1056">
        <f>=100595	 | Trojan.Win32.Downloader.N	 | </f>
        <v/>
      </c>
    </row>
    <row r="1057">
      <c r="A1057">
        <f>=1005956	 | Macro.Office.Generic.D	 | 3fec6c230c042aa70a20ab4082eea5fe</f>
        <v/>
      </c>
    </row>
    <row r="1058">
      <c r="A1058">
        <f>=1005957	 | Macro.Office.Generic.E	 | 802683f233b83c3a2b6f8a0b39d87d5b</f>
        <v/>
      </c>
    </row>
    <row r="1059">
      <c r="A1059">
        <f>=1005958	 | Macro.Office.Generic.F	 | 4d0f8297062ef4d625f0b1263114e095</f>
        <v/>
      </c>
    </row>
    <row r="1060">
      <c r="A1060">
        <f>=100596	 | Backdoor.Win32.Gh0st.IO	 | </f>
        <v/>
      </c>
    </row>
    <row r="1061">
      <c r="A1061">
        <f>=1005960	 | Macro.Office.Generic.H	 | 05d56971906f4a56e1fca244e9f1c869</f>
        <v/>
      </c>
    </row>
    <row r="1062">
      <c r="A1062">
        <f>=100597	 | Backdoor.Win32.Gh0st.IV	 | </f>
        <v/>
      </c>
    </row>
    <row r="1063">
      <c r="A1063">
        <f>=1005977	 | Macro.Office.Generic.K	 | 655a8a63f6f29aeb2f635951f4d725e7</f>
        <v/>
      </c>
    </row>
    <row r="1064">
      <c r="A1064">
        <f>=100598	 | Backdoor.Win32.Agent.ER	 | </f>
        <v/>
      </c>
    </row>
    <row r="1065">
      <c r="A1065">
        <f>=100599	 | Backdoor.Win32.Agent.ES	 | 37a0597b425693c893d27eeb74162088</f>
        <v/>
      </c>
    </row>
    <row r="1066">
      <c r="A1066">
        <f>=100600	 | Backdoor.Win32.Agent.EU	 | 7155b57399efa66f7dd94c8539b4c7e3</f>
        <v/>
      </c>
    </row>
    <row r="1067">
      <c r="A1067">
        <f>=100601	 | Trojan.Win32.Agent.DT	 | </f>
        <v/>
      </c>
    </row>
    <row r="1068">
      <c r="A1068">
        <f>=100602	 | Backdoor.Win32.Agent.EX	 | </f>
        <v/>
      </c>
    </row>
    <row r="1069">
      <c r="A1069">
        <f>=100603	 | Trojan.Win32.Agent.G	 | </f>
        <v/>
      </c>
    </row>
    <row r="1070">
      <c r="A1070">
        <f>=100604	 | Trojan.Win32.QQPass.BW	 | 456f3f1304740365ffb67034d315b571</f>
        <v/>
      </c>
    </row>
    <row r="1071">
      <c r="A1071">
        <f>=100605	 | Backdoor.Win32.Agent.EY	 | 9dcb0b7725a1160fd85a4d28e7660855</f>
        <v/>
      </c>
    </row>
    <row r="1072">
      <c r="A1072">
        <f>=100606	 | Trojan.Win32.Agent.DU	 | </f>
        <v/>
      </c>
    </row>
    <row r="1073">
      <c r="A1073">
        <f>=100607	 | Backdoor.Win32.Gh0st.IY	 | </f>
        <v/>
      </c>
    </row>
    <row r="1074">
      <c r="A1074">
        <f>=100608	 | Backdoor.Win32.Agent.EZ	 | </f>
        <v/>
      </c>
    </row>
    <row r="1075">
      <c r="A1075">
        <f>=100609	 | Backdoor.Win32.Agent.FA	 | </f>
        <v/>
      </c>
    </row>
    <row r="1076">
      <c r="A1076">
        <f>=100610	 | Backdoor.Win32.Gh0st.IZ	 | </f>
        <v/>
      </c>
    </row>
    <row r="1077">
      <c r="A1077">
        <f>=100611	 | Trojan.Win32.Agent.AO	 | </f>
        <v/>
      </c>
    </row>
    <row r="1078">
      <c r="A1078">
        <f>=100612	 | Worm.Win32.Gamarue.A	 | b9d280ce9932bc14b45a47f9623e114e</f>
        <v/>
      </c>
    </row>
    <row r="1079">
      <c r="A1079">
        <f>=100613	 | Worm.Win32.Gamarue.B	 | ea6abe3e146cb9a14ed9189dedeaa1ea</f>
        <v/>
      </c>
    </row>
    <row r="1080">
      <c r="A1080">
        <f>=100614	 | Trojan.Win32.Skintrim.A	 | </f>
        <v/>
      </c>
    </row>
    <row r="1081">
      <c r="A1081">
        <f>=100615	 | Backdoor.Win32.Gh0st.JB	 | </f>
        <v/>
      </c>
    </row>
    <row r="1082">
      <c r="A1082">
        <f>=100616	 | Trojan.Win32.Keylogger.B	 | 500e6f564d7aa9b4f3cd6f1b622c7d9f</f>
        <v/>
      </c>
    </row>
    <row r="1083">
      <c r="A1083">
        <f>=100617	 | Trojan.Win32.Zbot.C	 | 3bafe2386289105a18cd96ed3abb64e1</f>
        <v/>
      </c>
    </row>
    <row r="1084">
      <c r="A1084">
        <f>=100618	 | Backdoor.Win32.Turkojan.A	 | dd33848f314d46e450993d522abee0c2</f>
        <v/>
      </c>
    </row>
    <row r="1085">
      <c r="A1085">
        <f>=100619	 | Backdoor.Win32.Buzus.A	 | dc5c7bded5587d3068e0dc05ab7de3dc</f>
        <v/>
      </c>
    </row>
    <row r="1086">
      <c r="A1086">
        <f>=100620	 | Backdoor.Win32.Bifrose.A	 | 606be61d37e0407553e5605a4980d6e3</f>
        <v/>
      </c>
    </row>
    <row r="1087">
      <c r="A1087">
        <f>=100621	 | Trojan.Win32.Downloader.O	 | 3af75c3b6681d93f490035746680b0ae</f>
        <v/>
      </c>
    </row>
    <row r="1088">
      <c r="A1088">
        <f>=100622	 | Trojan.Win32.Agent.DV	 | fe3821010174482c47f7b28831655fcf</f>
        <v/>
      </c>
    </row>
    <row r="1089">
      <c r="A1089">
        <f>=1006221	 | Macro.Office.Agent.EB	 | 6106b4ea2aedcb51b6dd023be61248d0</f>
        <v/>
      </c>
    </row>
    <row r="1090">
      <c r="A1090">
        <f>=100623	 | Trojan.Win32.FakeIE.A	 | </f>
        <v/>
      </c>
    </row>
    <row r="1091">
      <c r="A1091">
        <f>=100624	 | Worm.Win32.Palevo.A	 | db1e5766ccf52499c11631497dfa634a</f>
        <v/>
      </c>
    </row>
    <row r="1092">
      <c r="A1092">
        <f>=1006249	 | Macro.Office.Generic.N	 | a06d8a76ef25a5e8a558b33bdfc8eb23</f>
        <v/>
      </c>
    </row>
    <row r="1093">
      <c r="A1093">
        <f>=100625	 | Trojan.Win32.Dropper.B	 | 670c4bdc372883992b55e65ef742fc29</f>
        <v/>
      </c>
    </row>
    <row r="1094">
      <c r="A1094">
        <f>=1006250	 | Macro.Office.Generic.O	 | ac410c5f71d453cab00f24da3a84331a</f>
        <v/>
      </c>
    </row>
    <row r="1095">
      <c r="A1095">
        <f>=1006251	 | Macro.Office.Generic.P	 | c2aa1faae79eaa77ebad16f8a1480d85</f>
        <v/>
      </c>
    </row>
    <row r="1096">
      <c r="A1096">
        <f>=1006252	 | Macro.Office.Generic.Q	 | d6de1ba2e3844d9b70b4db25b4c1b9f1</f>
        <v/>
      </c>
    </row>
    <row r="1097">
      <c r="A1097">
        <f>=1006253	 | Macro.Office.Generic.R	 | 1badb0a4e056df467540990943aecd64</f>
        <v/>
      </c>
    </row>
    <row r="1098">
      <c r="A1098">
        <f>=1006254	 | Macro.Office.Generic.S	 | 1588d01d880cc38863974c927ec59019</f>
        <v/>
      </c>
    </row>
    <row r="1099">
      <c r="A1099">
        <f>=1006255	 | Macro.Office.Generic.T	 | 54ee92d3e2b94a1885e73a6968ed5ed4</f>
        <v/>
      </c>
    </row>
    <row r="1100">
      <c r="A1100">
        <f>=1006258	 | Macro.Office.Generic.U	 | 0c5a4fbad13bfbc6248bc6684decfb12</f>
        <v/>
      </c>
    </row>
    <row r="1101">
      <c r="A1101">
        <f>=1006259	 | Macro.Office.Downloader.AI	 | 86e7db83c22a06104f0490cec961fdfa</f>
        <v/>
      </c>
    </row>
    <row r="1102">
      <c r="A1102">
        <f>=100626	 | Trojan.Win32.FakePic.G	 | 090debcdf553827854144245dcd9aa83</f>
        <v/>
      </c>
    </row>
    <row r="1103">
      <c r="A1103">
        <f>=100627	 | Backdoor.Win32.Agent.FF	 | 0e7dc53b6b1b687f5e72173a4ccfd4ba</f>
        <v/>
      </c>
    </row>
    <row r="1104">
      <c r="A1104">
        <f>=100628	 | Worm.Win32.Msmm.A	 | 550918d9d8598046225b39f38f3e1f7b</f>
        <v/>
      </c>
    </row>
    <row r="1105">
      <c r="A1105">
        <f>=100629	 | Trojan.Win32.VB.A	 | 00c5e0f40f1034efc9926b893004bf2d</f>
        <v/>
      </c>
    </row>
    <row r="1106">
      <c r="A1106">
        <f>=1006294	 | Macro.Office.Agent.EC	 | 30db10bbe431cf4d25f9dd44b7b9b308</f>
        <v/>
      </c>
    </row>
    <row r="1107">
      <c r="A1107">
        <f>=100630	 | Backdoor.Win32.Agent.FG	 | </f>
        <v/>
      </c>
    </row>
    <row r="1108">
      <c r="A1108">
        <f>=1006301	 | Macro.Office.Generic.V	 | b4e83acb912d5a20023179fb52b5c29c</f>
        <v/>
      </c>
    </row>
    <row r="1109">
      <c r="A1109">
        <f>=1006302	 | Trojan.Win32.Generic.GI	 | 45ec7c04970330c5ca8c9241358d864f</f>
        <v/>
      </c>
    </row>
    <row r="1110">
      <c r="A1110">
        <f>=1006303	 | Macro.Office.Generic.W	 | 92d499bb61395f29d2c09616894ba429</f>
        <v/>
      </c>
    </row>
    <row r="1111">
      <c r="A1111">
        <f>=100631	 | Trojan.Win32.StartPage.BW	 | 850abab7ae91266bb858fd5685aaebe6</f>
        <v/>
      </c>
    </row>
    <row r="1112">
      <c r="A1112">
        <f>=100632	 | Worm.Win32.VB.J	 | 51a8c7bfab15f16a2cabe6e299a5f30b</f>
        <v/>
      </c>
    </row>
    <row r="1113">
      <c r="A1113">
        <f>=100633	 | Trojan.Win32.VB.R	 | eec3a9731d3b78e7a8843ff16ed3ede9</f>
        <v/>
      </c>
    </row>
    <row r="1114">
      <c r="A1114">
        <f>=100634	 | Backdoor.Win32.Bot.B	 | b8cdb615cfbd17a7f14f0f04f00b842b</f>
        <v/>
      </c>
    </row>
    <row r="1115">
      <c r="A1115">
        <f>=100635	 | Trojan.Win32.Chinky.A	 | 4e3b2abf7019e927eab57900dbe35743</f>
        <v/>
      </c>
    </row>
    <row r="1116">
      <c r="A1116">
        <f>=100636	 | Trojan.Win32.Delf.D	 | 6f61c112086e642a2e345044355fe170</f>
        <v/>
      </c>
    </row>
    <row r="1117">
      <c r="A1117">
        <f>=100637	 | Trojan.Win32.Dropper.C	 | a4dda4e05001ebceb1dd1eee7656e0e0</f>
        <v/>
      </c>
    </row>
    <row r="1118">
      <c r="A1118">
        <f>=1006376	 | Macro.Office.Agent.ED	 | 51de3fd5298b1f9ed4f3dcbfdaf0b158</f>
        <v/>
      </c>
    </row>
    <row r="1119">
      <c r="A1119">
        <f>=100638	 | Trojan.Win32.Ecode.B	 | 4fa42a8bc05c5bb1632ecd11a28eaff4</f>
        <v/>
      </c>
    </row>
    <row r="1120">
      <c r="A1120">
        <f>=100639	 | Trojan.Win32.VB.D	 | 9df079e43ef58ff97123f832cae7d24e</f>
        <v/>
      </c>
    </row>
    <row r="1121">
      <c r="A1121">
        <f>=1006398	 | Macro.Office.Generic.X	 | 0F6C91AA38D4E6F751535EE3A545AEAE</f>
        <v/>
      </c>
    </row>
    <row r="1122">
      <c r="A1122">
        <f>=100640	 | Trojan.Win32.Agent.AR	 | 567eeababb12ea3a50179bc656bcc957</f>
        <v/>
      </c>
    </row>
    <row r="1123">
      <c r="A1123">
        <f>=1006406	 | Macro.Office.Downloader.AJ	 | 79345c835c80bcbabbeb2a3dfc7e9c05</f>
        <v/>
      </c>
    </row>
    <row r="1124">
      <c r="A1124">
        <f>=1006407	 | Macro.Office.Downloader.AK	 | 6ec3475fe9ae631e1c7957922eb3b945</f>
        <v/>
      </c>
    </row>
    <row r="1125">
      <c r="A1125">
        <f>=1006408	 | Macro.Office.Downloader.AL	 | a3b96040c7322fda84ffa0bcb8c18e80</f>
        <v/>
      </c>
    </row>
    <row r="1126">
      <c r="A1126">
        <f>=1006409	 | Macro.Office.Donoff.C	 | ad76bbb19d39f64e20eb89b330538828</f>
        <v/>
      </c>
    </row>
    <row r="1127">
      <c r="A1127">
        <f>=100641	 | Trojan.Win32.SalityStub.A	 | 4188dc858b48a5c30f8c035d6dbc62f2</f>
        <v/>
      </c>
    </row>
    <row r="1128">
      <c r="A1128">
        <f>=1006410	 | Macro.Office.Generic.Y	 | 4dbfb3d66b53874f01b287f2648ecdd8</f>
        <v/>
      </c>
    </row>
    <row r="1129">
      <c r="A1129">
        <f>=1006411	 | Macro.Office.Generic.AA	 | 159836537e7002961aa06c6896524fd5</f>
        <v/>
      </c>
    </row>
    <row r="1130">
      <c r="A1130">
        <f>=1006412	 | Macro.Office.Generic.AB	 | 0d0bdf9cd350eaa235ed42355186a0f0</f>
        <v/>
      </c>
    </row>
    <row r="1131">
      <c r="A1131">
        <f>=1006413	 | Macro.Office.Obfuse.A	 | b00f497b8e657e6ac34c8481cf2fe16c</f>
        <v/>
      </c>
    </row>
    <row r="1132">
      <c r="A1132">
        <f>=1006414	 | Macro.Office.Powdow.A	 | 4ff4f1ce2dedc4821280c2f938062556</f>
        <v/>
      </c>
    </row>
    <row r="1133">
      <c r="A1133">
        <f>=100642	 | Backdoor.Win32.PIvy.A	 | 0aa92b93711ec674354a258372c91197</f>
        <v/>
      </c>
    </row>
    <row r="1134">
      <c r="A1134">
        <f>=100643	 | Worm.Win32.FakeFolder.BS	 | adb97b9f608de1b101f6f41ee8ecfc41</f>
        <v/>
      </c>
    </row>
    <row r="1135">
      <c r="A1135">
        <f>=100644	 | Trojan.Win32.Zbot.D	 | fafb3082c6e13a2566862b5ddde5bc1b</f>
        <v/>
      </c>
    </row>
    <row r="1136">
      <c r="A1136">
        <f>=100645	 | Trojan.Win32.VB.E	 | 261086a18bd35f729e2fb50436c19715</f>
        <v/>
      </c>
    </row>
    <row r="1137">
      <c r="A1137">
        <f>=100646	 | Trojan.Win32.VBInject.A	 | 4140566e7578c57e318fe6d6d4188c09</f>
        <v/>
      </c>
    </row>
    <row r="1138">
      <c r="A1138">
        <f>=100647	 | Trojan.Win32.Veslorn.B	 | 0caef33ebfb065ce624771b47d078855</f>
        <v/>
      </c>
    </row>
    <row r="1139">
      <c r="A1139">
        <f>=100648	 | Worm.Win32.AutoIt.C	 | 3735cffd263845e07c29172322b97d6f</f>
        <v/>
      </c>
    </row>
    <row r="1140">
      <c r="A1140">
        <f>=100649	 | Worm.Win32.FakeFolder.BW	 | 14614310ebb62d86a4aad4a7f95836c6</f>
        <v/>
      </c>
    </row>
    <row r="1141">
      <c r="A1141">
        <f>=100650	 | Worm.Win32.FakeFolder.BX	 | ca60adcbbaed733632ec0077e7950b89</f>
        <v/>
      </c>
    </row>
    <row r="1142">
      <c r="A1142">
        <f>=100651	 | Trojan.Win32.VBCode.J	 | 1d478df9e39c3945bb4cc95d46360937</f>
        <v/>
      </c>
    </row>
    <row r="1143">
      <c r="A1143">
        <f>=100652	 | Backdoor.Win32.Agent.FL	 | </f>
        <v/>
      </c>
    </row>
    <row r="1144">
      <c r="A1144">
        <f>=100653	 | Worm.Win32.FakeFolder.BY	 | 42ec266c4ae76764bc11eb64087abc96</f>
        <v/>
      </c>
    </row>
    <row r="1145">
      <c r="A1145">
        <f>=100654	 | Worm.Win32.FakeFolder.BZ	 | 5dd7ded8205fdea25f11cf678443ac89</f>
        <v/>
      </c>
    </row>
    <row r="1146">
      <c r="A1146">
        <f>=100655	 | Worm.Win32.FakeFolder.CB	 | cf3f1fd6de16055daf39ff18a6dfc401</f>
        <v/>
      </c>
    </row>
    <row r="1147">
      <c r="A1147">
        <f>=100656	 | Backdoor.Win32.Agent.FR	 | 6daa72cf31140e2fe8e3f15bfbcb3a23</f>
        <v/>
      </c>
    </row>
    <row r="1148">
      <c r="A1148">
        <f>=1006566	 | Macro.Office.PsDownload.A	 | 2aff753741a3b36b022870805972efe8</f>
        <v/>
      </c>
    </row>
    <row r="1149">
      <c r="A1149">
        <f>=100657	 | Backdoor.Win32.Agent.FT	 | 01d1bbfa54d8eea1a71930b5275b7e00</f>
        <v/>
      </c>
    </row>
    <row r="1150">
      <c r="A1150">
        <f>=100658	 | Backdoor.Win32.Agent.FW	 | dbfa5477408390b30bda5ff8d0de739b</f>
        <v/>
      </c>
    </row>
    <row r="1151">
      <c r="A1151">
        <f>=100659	 | Backdoor.Win32.Agent.GA	 | dc86cda28589f7a1c9013fd852b52668</f>
        <v/>
      </c>
    </row>
    <row r="1152">
      <c r="A1152">
        <f>=100660	 | Worm.Win32.FakeFolder.CC	 | </f>
        <v/>
      </c>
    </row>
    <row r="1153">
      <c r="A1153">
        <f>=100661	 | Worm.Win32.FakeFolder.CE	 | 7a4799318477bab2403b40a7f6b384c9</f>
        <v/>
      </c>
    </row>
    <row r="1154">
      <c r="A1154">
        <f>=100662	 | Trojan.Win32.Cosmu.A	 | 501021c6b7844f965abc05e3fbf50d3e</f>
        <v/>
      </c>
    </row>
    <row r="1155">
      <c r="A1155">
        <f>=1006622	 | Macro.Office.Agent.EF	 | e79487a953a7e3117194b86111b6c6b5</f>
        <v/>
      </c>
    </row>
    <row r="1156">
      <c r="A1156">
        <f>=100663	 | Worm.Win32.Sperolz.A	 | 1a34ca2623fd28f69528d981a0be0dbd</f>
        <v/>
      </c>
    </row>
    <row r="1157">
      <c r="A1157">
        <f>=100664	 | Trojan.Win32.VBCode.I	 | c0f9d1f2333f772faf81c73475aff00b</f>
        <v/>
      </c>
    </row>
    <row r="1158">
      <c r="A1158">
        <f>=100665	 | Worm.Win32.VBCode.A	 | 01430f5300bf7b1cc3e1ea51ee05adf5</f>
        <v/>
      </c>
    </row>
    <row r="1159">
      <c r="A1159">
        <f>=100666	 | Backdoor.Win32.Poison.A	 | a7d4933d8fd44f14e034e77264ae1b06</f>
        <v/>
      </c>
    </row>
    <row r="1160">
      <c r="A1160">
        <f>=1006661	 | Macro.Office.Agent.EG	 | e79487a953a7e3117194b86111b6c6b5</f>
        <v/>
      </c>
    </row>
    <row r="1161">
      <c r="A1161">
        <f>=100667	 | Worm.Win32.FakeFolder.CL	 | 4e14889b631c790464157be08852df28</f>
        <v/>
      </c>
    </row>
    <row r="1162">
      <c r="A1162">
        <f>=100668	 | Worm.Win32.FakeFolder.CM	 | edff4d3ed304686280bce6f4877747b7</f>
        <v/>
      </c>
    </row>
    <row r="1163">
      <c r="A1163">
        <f>=100669	 | Backdoor.Win32.Agent.GD	 | 441965e44301b6cc726bf67ebf3394ec</f>
        <v/>
      </c>
    </row>
    <row r="1164">
      <c r="A1164">
        <f>=1006694	 | Macro.Office.Generic.AU	 | e1b08372502e89b033eeb952a80c43df</f>
        <v/>
      </c>
    </row>
    <row r="1165">
      <c r="A1165">
        <f>=1006695	 | Macro.Office.Downloader.AO	 | 22531c954fadbebb2fe9ce50673377ef</f>
        <v/>
      </c>
    </row>
    <row r="1166">
      <c r="A1166">
        <f>=1006697	 | Macro.Office.Generic.AV	 | e9e2a555d883bad3d506ccd79cf7ca2d</f>
        <v/>
      </c>
    </row>
    <row r="1167">
      <c r="A1167">
        <f>=1006698	 | Macro.Office.SLoad.AT	 | 230c21c9c1457b861c242b1597af8da4</f>
        <v/>
      </c>
    </row>
    <row r="1168">
      <c r="A1168">
        <f>=100670	 | Trojan.Win32.Misc.E	 | ab2266bbd84b7caac1607397e419bf49</f>
        <v/>
      </c>
    </row>
    <row r="1169">
      <c r="A1169">
        <f>=1006705	 | Macro.Office.Downloader.AP	 | 050bd554d80841336675ab22cca132de</f>
        <v/>
      </c>
    </row>
    <row r="1170">
      <c r="A1170">
        <f>=1006707	 | Macro.Office.Agent.EN	 | 3d632ca28a7685d6413201f64bff3968</f>
        <v/>
      </c>
    </row>
    <row r="1171">
      <c r="A1171">
        <f>=1006708	 | Macro.Office.Generic.AX	 | 0152990cdb9326c101b62cff15491a08</f>
        <v/>
      </c>
    </row>
    <row r="1172">
      <c r="A1172">
        <f>=100671	 | Backdoor.Win32.Agent.GF	 | a6c7ea4f32db06a47ce396d3377f5e95</f>
        <v/>
      </c>
    </row>
    <row r="1173">
      <c r="A1173">
        <f>=100672	 | Worm.Win32.VB.L	 | </f>
        <v/>
      </c>
    </row>
    <row r="1174">
      <c r="A1174">
        <f>=100673	 | Worm.Win32.Palevo.B	 | d66c39119183fe2eb086c95e704ed25b</f>
        <v/>
      </c>
    </row>
    <row r="1175">
      <c r="A1175">
        <f>=1006736	 | Macro.Office.Generic.BD	 | 0bb85fdf6dd02ff176fce6451f0b7849</f>
        <v/>
      </c>
    </row>
    <row r="1176">
      <c r="A1176">
        <f>=100674	 | Worm.Win32.Palevo.C	 | 98812839bd6597ec86fad72a0f20d4e5</f>
        <v/>
      </c>
    </row>
    <row r="1177">
      <c r="A1177">
        <f>=1006740	 | Macro.Office.Generic.BE	 | 1c9a8cca9a08968ee6cce76325224269</f>
        <v/>
      </c>
    </row>
    <row r="1178">
      <c r="A1178">
        <f>=1006743	 | Macro.Office.Generic.BF	 | 02d53fc5bd15069ea5bc5c2f892d1727</f>
        <v/>
      </c>
    </row>
    <row r="1179">
      <c r="A1179">
        <f>=1006744	 | Macro.Office.Generic.BG	 | 1c2199595bd2a2f20c7992dafe61590f</f>
        <v/>
      </c>
    </row>
    <row r="1180">
      <c r="A1180">
        <f>=1006748	 | Macro.Office.Agent.EO	 | e10f7c9026eb5ecb119a8e5f76068041</f>
        <v/>
      </c>
    </row>
    <row r="1181">
      <c r="A1181">
        <f>=100675	 | Backdoor.Win32.Agent.GG	 | 8d4300f9314eaaf9b4ff8c1ff9f95bb4</f>
        <v/>
      </c>
    </row>
    <row r="1182">
      <c r="A1182">
        <f>=1006750	 | Macro.Office.Emotet.B	 | 19b8a57ef773224188742136e3cf3319</f>
        <v/>
      </c>
    </row>
    <row r="1183">
      <c r="A1183">
        <f>=1006751	 | Macro.Office.Downloader.AQ	 | fc4be15b981a942101f7e525cbbbf6a3</f>
        <v/>
      </c>
    </row>
    <row r="1184">
      <c r="A1184">
        <f>=1006752	 | Macro.Office.Downloader.AR	 | feb2e291f24a06aed32cd6b73b5514c8</f>
        <v/>
      </c>
    </row>
    <row r="1185">
      <c r="A1185">
        <f>=1006754	 | Macro.Office.Downloader.AS	 | 0a9cdfa0e3e7b7c88669c44d5f658f65</f>
        <v/>
      </c>
    </row>
    <row r="1186">
      <c r="A1186">
        <f>=1006755	 | Macro.Office.Downloader.AT	 | ffb934a1f3e652e5f653e7a141f5ce68</f>
        <v/>
      </c>
    </row>
    <row r="1187">
      <c r="A1187">
        <f>=1006756	 | Macro.Office.Agent.EP	 | 1224f33cc7d9fb2eec3056db60dd9a5d</f>
        <v/>
      </c>
    </row>
    <row r="1188">
      <c r="A1188">
        <f>=1006757	 | Macro.Office.Agent.EQ	 | 380782da1e3fd4e1704ccd67211a5084</f>
        <v/>
      </c>
    </row>
    <row r="1189">
      <c r="A1189">
        <f>=1006759	 | Macro.Office.Generic.BH	 | cabb3ab8e0ccf695d3ae49326f98239b</f>
        <v/>
      </c>
    </row>
    <row r="1190">
      <c r="A1190">
        <f>=100676	 | Backdoor.Win32.Gh0st.JC	 | </f>
        <v/>
      </c>
    </row>
    <row r="1191">
      <c r="A1191">
        <f>=1006760	 | Macro.Office.Shelmock.A	 | fd0d6dd3bef925a18a9b3b5cb0e54de9</f>
        <v/>
      </c>
    </row>
    <row r="1192">
      <c r="A1192">
        <f>=1006762	 | Macro.Office.Stratos.A	 | eab8237eeacac81cf8776a459cf0c19a</f>
        <v/>
      </c>
    </row>
    <row r="1193">
      <c r="A1193">
        <f>=1006766	 | Macro.Office.Downloader.AV	 | 05d1645b76784ce56a6ae042f8440620</f>
        <v/>
      </c>
    </row>
    <row r="1194">
      <c r="A1194">
        <f>=1006768	 | Macro.Office.Downloader.AX	 | 3f16393eef5df3842f06f13f3c88c7d0</f>
        <v/>
      </c>
    </row>
    <row r="1195">
      <c r="A1195">
        <f>=1006769	 | Macro.Office.Downloader.AY	 | 0c9ae31ac52a11ad75849f01a8206e9e</f>
        <v/>
      </c>
    </row>
    <row r="1196">
      <c r="A1196">
        <f>=100677	 | Backdoor.Win32.Agent.GO	 | </f>
        <v/>
      </c>
    </row>
    <row r="1197">
      <c r="A1197">
        <f>=1006770	 | Macro.Office.Downloader.BA	 | 1bdd0a79866f8565f78211a08516b624</f>
        <v/>
      </c>
    </row>
    <row r="1198">
      <c r="A1198">
        <f>=1006771	 | Macro.Office.Downloader.BB	 | 90fb76eab812c76061c0b887a2e5212e</f>
        <v/>
      </c>
    </row>
    <row r="1199">
      <c r="A1199">
        <f>=1006772	 | Macro.Office.Swabfex.A	 | 103c2daa99dc735157ab6624b4fa745b</f>
        <v/>
      </c>
    </row>
    <row r="1200">
      <c r="A1200">
        <f>=1006777	 | Macro.Office.Dropper.L	 | 4535f1e4b9d1392504cc317f764b4de5</f>
        <v/>
      </c>
    </row>
    <row r="1201">
      <c r="A1201">
        <f>=1006778	 | Macro.Office.GraceWire.B	 | 2a220d684212040222b6611454af8bec</f>
        <v/>
      </c>
    </row>
    <row r="1202">
      <c r="A1202">
        <f>=100678	 | Trojan.Win32.Neojit.A	 | </f>
        <v/>
      </c>
    </row>
    <row r="1203">
      <c r="A1203">
        <f>=1006781	 | Macro.Office.Agent.ES	 | 10f5f8ace7c31ccbfbeaad1a19e30a68</f>
        <v/>
      </c>
    </row>
    <row r="1204">
      <c r="A1204">
        <f>=1006782	 | Macro.Office.Downloader.BC	 | efbd13c886f783c6f9aa4f3da2f3de36</f>
        <v/>
      </c>
    </row>
    <row r="1205">
      <c r="A1205">
        <f>=1006784	 | Macro.Office.Agent.ET	 | f09827b6e6f7a12765ed99578c497eaf</f>
        <v/>
      </c>
    </row>
    <row r="1206">
      <c r="A1206">
        <f>=1006785	 | Macro.Office.SAgent.A	 | 05a2750d2d79a97f6512a53db352675a</f>
        <v/>
      </c>
    </row>
    <row r="1207">
      <c r="A1207">
        <f>=1006786	 | Macro.Office.Agent.EU	 | 14c05f0e27ab766bf476a6eadb55fc31</f>
        <v/>
      </c>
    </row>
    <row r="1208">
      <c r="A1208">
        <f>=1006789	 | Macro.Office.Agent.EW	 | 4164c3bf1d28e5452880d06660a931a1</f>
        <v/>
      </c>
    </row>
    <row r="1209">
      <c r="A1209">
        <f>=100679	 | Worm.Win32.Vobfus.A	 | ab1fcd1c420400135cccc30966e706b0</f>
        <v/>
      </c>
    </row>
    <row r="1210">
      <c r="A1210">
        <f>=1006790	 | Macro.Office.Agent.EX	 | 75c646b17f5f3b3e0383aac0e73c65b8</f>
        <v/>
      </c>
    </row>
    <row r="1211">
      <c r="A1211">
        <f>=1006791	 | Macro.Office.Donoff.F	 | 59c449c6b41312d5012080fbcda43f86</f>
        <v/>
      </c>
    </row>
    <row r="1212">
      <c r="A1212">
        <f>=1006792	 | Macro.Office.Downloader.BE	 | fda30bea8e1eb9c37d176b4bd3a04e68</f>
        <v/>
      </c>
    </row>
    <row r="1213">
      <c r="A1213">
        <f>=1006795	 | Macro.Office.Downloader.BF	 | f73e9d923899ec4a3f400e8817eeaeb8</f>
        <v/>
      </c>
    </row>
    <row r="1214">
      <c r="A1214">
        <f>=1006796	 | Macro.Office.Downloader.BG	 | 190f85b1949b751dec2105f13358b87d</f>
        <v/>
      </c>
    </row>
    <row r="1215">
      <c r="A1215">
        <f>=1006797	 | Macro.Office.Downloader.BH	 | 0f99021d0a6b5fe4af7b948dcdd45cbd</f>
        <v/>
      </c>
    </row>
    <row r="1216">
      <c r="A1216">
        <f>=1006798	 | Macro.Office.Downloader.BI	 | 421ce110ef883790cbf7117f370fce51</f>
        <v/>
      </c>
    </row>
    <row r="1217">
      <c r="A1217">
        <f>=1006799	 | Macro.Office.Downloader.BJ	 | 3572bb895989ccf5dd64cfb9c987af24</f>
        <v/>
      </c>
    </row>
    <row r="1218">
      <c r="A1218">
        <f>=100680	 | Trojan.Win32.Agent.BV	 | e6ef39b2d66ce597c2ca2f58a128e152</f>
        <v/>
      </c>
    </row>
    <row r="1219">
      <c r="A1219">
        <f>=1006808	 | Macro.Office.Downloader.BK	 | db7a93e1084c3793a57c32963ced4d8a</f>
        <v/>
      </c>
    </row>
    <row r="1220">
      <c r="A1220">
        <f>=1006809	 | Macro.Office.Emotet.C	 | 13db212cb6d6871d3863201449ddcdfe</f>
        <v/>
      </c>
    </row>
    <row r="1221">
      <c r="A1221">
        <f>=100681	 | Trojan.Win32.Agent.BW	 | f39e37651ab75b5319aad84300a5df67</f>
        <v/>
      </c>
    </row>
    <row r="1222">
      <c r="A1222">
        <f>=1006810	 | Macro.Office.Agent.FA	 | 078016c3bad0317b44370ea9500eb417</f>
        <v/>
      </c>
    </row>
    <row r="1223">
      <c r="A1223">
        <f>=1006811	 | Macro.Office.Downloader.BL	 | f611487fd1f96972633411c5d897187f</f>
        <v/>
      </c>
    </row>
    <row r="1224">
      <c r="A1224">
        <f>=1006814	 | Macro.Office.Agent.FB	 | 07f5159aaf5a1695218c6b1cf1965a60</f>
        <v/>
      </c>
    </row>
    <row r="1225">
      <c r="A1225">
        <f>=1006819	 | Macro.Office.Agent.FD	 | 059b040dd860e0ac115131e5cd0d4edd</f>
        <v/>
      </c>
    </row>
    <row r="1226">
      <c r="A1226">
        <f>=100682	 | Worm.Win32.Stuxnet.A	 | 9f2c5ef197a16165420f02cc1d9fa72e</f>
        <v/>
      </c>
    </row>
    <row r="1227">
      <c r="A1227">
        <f>=1006822	 | Macro.Office.Agent.FF	 | 85c197a5b55af06eed101026250291a1</f>
        <v/>
      </c>
    </row>
    <row r="1228">
      <c r="A1228">
        <f>=1006823	 | Macro.Office.Agent.FG	 | c79e62fc5bf69c13faff8a3026d83854</f>
        <v/>
      </c>
    </row>
    <row r="1229">
      <c r="A1229">
        <f>=100683	 | Worm.Win32.Stuxnet.B	 | 4f946f3005ee65381e765f22d091d1ec</f>
        <v/>
      </c>
    </row>
    <row r="1230">
      <c r="A1230">
        <f>=1006830	 | Macro.Office.Downloader.BN	 | 45f7f63dfdb414d9aea2f956a305acb5</f>
        <v/>
      </c>
    </row>
    <row r="1231">
      <c r="A1231">
        <f>=100684	 | Backdoor.Win32.Agent.GS	 | </f>
        <v/>
      </c>
    </row>
    <row r="1232">
      <c r="A1232">
        <f>=1006842	 | Macro.Office.Donoff.G	 | 40644dd55c38a3b7f2595580f250ef66</f>
        <v/>
      </c>
    </row>
    <row r="1233">
      <c r="A1233">
        <f>=100685	 | Trojan.Win32.Zusy.B	 | 6c5c454461f8ad0407aa0e9339e0c92b</f>
        <v/>
      </c>
    </row>
    <row r="1234">
      <c r="A1234">
        <f>=1006855	 | Macro.Office.Agent.FQ	 | 1fcd2d81747438d6681f7b41ce8920ee</f>
        <v/>
      </c>
    </row>
    <row r="1235">
      <c r="A1235">
        <f>=100686	 | Trojan.Win32.Zusy.C	 | 1a8d611f39690b56090c51d486313021</f>
        <v/>
      </c>
    </row>
    <row r="1236">
      <c r="A1236">
        <f>=100687	 | Trojan.Win32.Zusy.D	 | 0f97f1e14f6cdb84e872068e6d1ce730</f>
        <v/>
      </c>
    </row>
    <row r="1237">
      <c r="A1237">
        <f>=1006870	 | Macro.Office.Generic.BM	 | 107e34c679612b72e037a670c05710a0</f>
        <v/>
      </c>
    </row>
    <row r="1238">
      <c r="A1238">
        <f>=100688	 | Trojan.Win32.Zusy.E	 | 6033f58fd1fea2893404661cdd3bec44</f>
        <v/>
      </c>
    </row>
    <row r="1239">
      <c r="A1239">
        <f>=1006880	 | Macro.Office.Donoff.J	 | ff2081cfcd02fb52b2b85da1993238cd</f>
        <v/>
      </c>
    </row>
    <row r="1240">
      <c r="A1240">
        <f>=100689	 | Trojan.Win32.GameOnline.EN	 | 6de6e7ce41898ec7870d44c638204231</f>
        <v/>
      </c>
    </row>
    <row r="1241">
      <c r="A1241">
        <f>=1006896	 | Macro.Office.Agent.FX	 | 105103456c57384b9d507f0c454bcec7</f>
        <v/>
      </c>
    </row>
    <row r="1242">
      <c r="A1242">
        <f>=100690	 | Trojan.Win32.Fosniw.A	 | b73762fc9c7461e204d64ee9629bdf8e</f>
        <v/>
      </c>
    </row>
    <row r="1243">
      <c r="A1243">
        <f>=1006902	 | Macro.Office.Downloader.CB	 | ff3e1c3adc964f32f9053be8b7c52b25</f>
        <v/>
      </c>
    </row>
    <row r="1244">
      <c r="A1244">
        <f>=1006908	 | Macro.Office.Agent.GB	 | 0998478e7d730b4ffd43e9d2ddc58d53</f>
        <v/>
      </c>
    </row>
    <row r="1245">
      <c r="A1245">
        <f>=100691	 | Trojan.Win32.GameOnline.EP	 | 8acea8200c412e11e0662e540dc1ec91</f>
        <v/>
      </c>
    </row>
    <row r="1246">
      <c r="A1246">
        <f>=1006911	 | Macro.Office.Agent.GD	 | 2e823a77d1b41a032f3b75a13aad3f08</f>
        <v/>
      </c>
    </row>
    <row r="1247">
      <c r="A1247">
        <f>=1006913	 | Macro.Office.Downloader.CC	 | ff6802e718589244450b5380e6ea7df5</f>
        <v/>
      </c>
    </row>
    <row r="1248">
      <c r="A1248">
        <f>=1006915	 | Macro.Office.Agent.GG	 | fd0f67be8c2f9f63ee68bc531f36c642</f>
        <v/>
      </c>
    </row>
    <row r="1249">
      <c r="A1249">
        <f>=100692	 | Trojan.Win32.VB.S	 | 6c560f6f2f809b1d764a5a9fc30fe593</f>
        <v/>
      </c>
    </row>
    <row r="1250">
      <c r="A1250">
        <f>=1006921	 | Macro.Office.Downloader.CF	 | 1a8ddbc60b84d81e51b0b73d53c058c3</f>
        <v/>
      </c>
    </row>
    <row r="1251">
      <c r="A1251">
        <f>=1006926	 | Macro.Office.SAgent.C	 | fd488b1e78d8684bf945fa6faee96ed0</f>
        <v/>
      </c>
    </row>
    <row r="1252">
      <c r="A1252">
        <f>=100693	 | Trojan.Win32.VB.T	 | 2a7c7a2d6d2b2ad34d513f218c84a234</f>
        <v/>
      </c>
    </row>
    <row r="1253">
      <c r="A1253">
        <f>=1006930	 | Macro.Office.Downloader.CG	 | f6e7ebadec5404d3982941f0c95b0e6b</f>
        <v/>
      </c>
    </row>
    <row r="1254">
      <c r="A1254">
        <f>=1006931	 | Macro.Office.Agent.GL	 | f9407216e2644b259ba1644e9bb5ce96</f>
        <v/>
      </c>
    </row>
    <row r="1255">
      <c r="A1255">
        <f>=1006934	 | Macro.Office.Emotet.E	 | ddf92c4424452d6638683651654064b6</f>
        <v/>
      </c>
    </row>
    <row r="1256">
      <c r="A1256">
        <f>=1006935	 | Macro.Office.Agent.GN	 | f5144426eba64f62c2ed37cddc7e53bf</f>
        <v/>
      </c>
    </row>
    <row r="1257">
      <c r="A1257">
        <f>=1006937	 | Macro.Office.Generic.BN	 | f8bef26191e2d388fe396f2fd8e806f6</f>
        <v/>
      </c>
    </row>
    <row r="1258">
      <c r="A1258">
        <f>=100694	 | Trojan.Win32.VB.G	 | adb3691716419ddb272589c87136de47</f>
        <v/>
      </c>
    </row>
    <row r="1259">
      <c r="A1259">
        <f>=1006940	 | Macro.Office.Shellex.A	 | c40d85eca4e3c6e75146f6392cac18dd</f>
        <v/>
      </c>
    </row>
    <row r="1260">
      <c r="A1260">
        <f>=1006941	 | Macro.Office.Shellex.B	 | ad4f1f54e82e5bf1e72315fa0225f146</f>
        <v/>
      </c>
    </row>
    <row r="1261">
      <c r="A1261">
        <f>=1006946	 | Macro.Office.Downloader.CI	 | 029a2d0c05609884a6fd683eeb0046cd</f>
        <v/>
      </c>
    </row>
    <row r="1262">
      <c r="A1262">
        <f>=100695	 | Trojan.Win32.VB.H	 | 4012cee9fe01d937f7c472615695aed8</f>
        <v/>
      </c>
    </row>
    <row r="1263">
      <c r="A1263">
        <f>=100696	 | Trojan.Win32.VB.I	 | cacfc64ff5926bd368ff3c7a88ba7e3f</f>
        <v/>
      </c>
    </row>
    <row r="1264">
      <c r="A1264">
        <f>=100697	 | Trojan.Win32.VB.J	 | 58d0d0f105a987eeaf5dc59d75838f40</f>
        <v/>
      </c>
    </row>
    <row r="1265">
      <c r="A1265">
        <f>=1006970	 | Macro.Office.Agent.GQ	 | fae47beac9942c9488ba5758b410c207</f>
        <v/>
      </c>
    </row>
    <row r="1266">
      <c r="A1266">
        <f>=1006973	 | Macro.Office.Generic.BO	 | 01e8491b7d0bd95fc2e6ce4ccdc87f6b</f>
        <v/>
      </c>
    </row>
    <row r="1267">
      <c r="A1267">
        <f>=1006974	 | Macro.Office.Generic.BP	 | 364d6d9980e8f2e946b358ddf69a508d</f>
        <v/>
      </c>
    </row>
    <row r="1268">
      <c r="A1268">
        <f>=100698	 | Trojan.Win32.VB.K	 | 7d4c11e69616ed168fe529720698226f</f>
        <v/>
      </c>
    </row>
    <row r="1269">
      <c r="A1269">
        <f>=100699	 | Backdoor.Win32.Agent.GX	 | </f>
        <v/>
      </c>
    </row>
    <row r="1270">
      <c r="A1270">
        <f>=100700	 | Backdoor.Win32.Agent.GY	 | b7b788457c157bc5f52b0b388ddd3b56</f>
        <v/>
      </c>
    </row>
    <row r="1271">
      <c r="A1271">
        <f>=1007003	 | Macro.Office.Generic.BQ	 | 002c4c4ab64bc1fec1a19f9c697e71d3</f>
        <v/>
      </c>
    </row>
    <row r="1272">
      <c r="A1272">
        <f>=1007004	 | Macro.Office.Generic.BR	 | 61ae35dc9d3ee1b8618b59ab0036aa4e</f>
        <v/>
      </c>
    </row>
    <row r="1273">
      <c r="A1273">
        <f>=100701	 | Backdoor.Win32.Agent.HC	 | </f>
        <v/>
      </c>
    </row>
    <row r="1274">
      <c r="A1274">
        <f>=1007016	 | Macro.Office.Donoff.L	 | d196f05023242e160d90037aee6f1184</f>
        <v/>
      </c>
    </row>
    <row r="1275">
      <c r="A1275">
        <f>=100702	 | Trojan.Win32.VBCode.R	 | 0f1b6708f64e08052067a45b3d7e5a99</f>
        <v/>
      </c>
    </row>
    <row r="1276">
      <c r="A1276">
        <f>=100703	 | Trojan.Win32.Agent.CC	 | </f>
        <v/>
      </c>
    </row>
    <row r="1277">
      <c r="A1277">
        <f>=100704	 | Trojan.Win32.Vundo.Q	 | 0582064ad5923412a5edcaeda27b3575</f>
        <v/>
      </c>
    </row>
    <row r="1278">
      <c r="A1278">
        <f>=100705	 | Backdoor.Win32.Agent.HF	 | b73c5f569786172468094e876c114e7c</f>
        <v/>
      </c>
    </row>
    <row r="1279">
      <c r="A1279">
        <f>=100706	 | Backdoor.Win32.Agent.HG	 | 7a3d07aaea2ffe5425f49a0a2baf0ca5</f>
        <v/>
      </c>
    </row>
    <row r="1280">
      <c r="A1280">
        <f>=100707	 | Backdoor.Win32.Agent.HH	 | </f>
        <v/>
      </c>
    </row>
    <row r="1281">
      <c r="A1281">
        <f>=100708	 | Backdoor.Win32.Farfli.A	 | </f>
        <v/>
      </c>
    </row>
    <row r="1282">
      <c r="A1282">
        <f>=100709	 | Trojan.Win32.VBCode.S	 | 53c73a2572e44a8c53232beb6cd2f662</f>
        <v/>
      </c>
    </row>
    <row r="1283">
      <c r="A1283">
        <f>=100710	 | Trojan.Win32.FakeInstaller.B	 | 03c853479a0de043ee94b65b3dfbda78</f>
        <v/>
      </c>
    </row>
    <row r="1284">
      <c r="A1284">
        <f>=100711	 | Trojan.Win32.Delf.E	 | 420f3fe517b4570a6a7b7bcbc7315b6b</f>
        <v/>
      </c>
    </row>
    <row r="1285">
      <c r="A1285">
        <f>=100712	 | Worm.Win32.FakeFolder.CS	 | dd3dc42d435cea0378a0fe254acf1548</f>
        <v/>
      </c>
    </row>
    <row r="1286">
      <c r="A1286">
        <f>=1007120	 | Macro.Office.Downloader.CK	 | c25b71015fadabcd13f5816ae0c2c33d</f>
        <v/>
      </c>
    </row>
    <row r="1287">
      <c r="A1287">
        <f>=1007123	 | Macro.Office.Generic.BV	 | 0F6C91AA38D4E6F751535EE3A545AEAE</f>
        <v/>
      </c>
    </row>
    <row r="1288">
      <c r="A1288">
        <f>=100713	 | Backdoor.Win32.Agent.HL	 | af15d8c3f8606d5bbdb10558e621dc7c</f>
        <v/>
      </c>
    </row>
    <row r="1289">
      <c r="A1289">
        <f>=100714	 | Backdoor.Win32.Agent.HN	 | </f>
        <v/>
      </c>
    </row>
    <row r="1290">
      <c r="A1290">
        <f>=1007142	 | Macro.Office.Dropper.N	 | f41d4650e3fb0278ff0a4eaa62eb44bf</f>
        <v/>
      </c>
    </row>
    <row r="1291">
      <c r="A1291">
        <f>=100715	 | Backdoor.Win32.Agent.HO	 | 194f32d9409acd4245ac8056325b9a4b</f>
        <v/>
      </c>
    </row>
    <row r="1292">
      <c r="A1292">
        <f>=100716	 | Backdoor.Win32.Agent.HP	 | 6992753e2bc47705ed9c7b314cfc3e1e</f>
        <v/>
      </c>
    </row>
    <row r="1293">
      <c r="A1293">
        <f>=100717	 | Backdoor.Win32.Agent.HS	 | 1bfc2acfc8ce2a25750114e759a1a6e6</f>
        <v/>
      </c>
    </row>
    <row r="1294">
      <c r="A1294">
        <f>=100718	 | Worm.Win32.Brontok.C	 | 6d978853e90fc18eca1a3901b743cc91</f>
        <v/>
      </c>
    </row>
    <row r="1295">
      <c r="A1295">
        <f>=100719	 | Worm.Win32.Brontok.D	 | 4ff59a110f25943020bd2929548bc675</f>
        <v/>
      </c>
    </row>
    <row r="1296">
      <c r="A1296">
        <f>=100720	 | Backdoor.Win32.Agent.HU	 | e13ec6d03b13bcff4c9bb85820fa788c</f>
        <v/>
      </c>
    </row>
    <row r="1297">
      <c r="A1297">
        <f>=100721	 | Backdoor.Win32.Agent.HV	 | </f>
        <v/>
      </c>
    </row>
    <row r="1298">
      <c r="A1298">
        <f>=100722	 | Trojan.Win32.VBCode.T	 | cf859a5e7be41c33604e367671b71f4a</f>
        <v/>
      </c>
    </row>
    <row r="1299">
      <c r="A1299">
        <f>=100723	 | Trojan.Win32.Buzus.A	 | 136a055e733e4d5d93e4e68adce289f6</f>
        <v/>
      </c>
    </row>
    <row r="1300">
      <c r="A1300">
        <f>=100724	 | Trojan.Win32.Agent.CD	 | </f>
        <v/>
      </c>
    </row>
    <row r="1301">
      <c r="A1301">
        <f>=100725	 | Worm.Win32.FakeDoc.A	 | bf2cad3347fcd910bd3b6a040f8a0998</f>
        <v/>
      </c>
    </row>
    <row r="1302">
      <c r="A1302">
        <f>=100726	 | Trojan.Win32.VBCode.U	 | 56416e5691a32e79b7004f2937fabfc0</f>
        <v/>
      </c>
    </row>
    <row r="1303">
      <c r="A1303">
        <f>=100727	 | Trojan.Win32.VBCode.V	 | </f>
        <v/>
      </c>
    </row>
    <row r="1304">
      <c r="A1304">
        <f>=100728	 | Trojan.Win32.Buzus.B	 | 955e0f1019cc64e5379a664c4273f205</f>
        <v/>
      </c>
    </row>
    <row r="1305">
      <c r="A1305">
        <f>=100729	 | Worm.Win32.FakeDoc.B	 | e3d26d37fb970b55c2217dd85146acab</f>
        <v/>
      </c>
    </row>
    <row r="1306">
      <c r="A1306">
        <f>=100730	 | Trojan.Win32.Buzus.D	 | da6647ba5a0b58e90c70c67ef7d206d0</f>
        <v/>
      </c>
    </row>
    <row r="1307">
      <c r="A1307">
        <f>=100731	 | Worm.Win32.FakeDoc.C	 | 0f50cd9adf589835129a87e231eff420</f>
        <v/>
      </c>
    </row>
    <row r="1308">
      <c r="A1308">
        <f>=100732	 | Trojan.Win32.Agent.CE	 | ddb0f6aa35457431b4e6b7e5e7309653</f>
        <v/>
      </c>
    </row>
    <row r="1309">
      <c r="A1309">
        <f>=100733	 | Backdoor.Win32.Agent.HY	 | </f>
        <v/>
      </c>
    </row>
    <row r="1310">
      <c r="A1310">
        <f>=100734	 | Backdoor.Win32.Agent.IB	 | 4c21b42198d6af8c704430a3bddc4a1d</f>
        <v/>
      </c>
    </row>
    <row r="1311">
      <c r="A1311">
        <f>=100735	 | Trojan.Win32.Delf.F	 | fa424f71c41124e0823b91e246f3d7d9</f>
        <v/>
      </c>
    </row>
    <row r="1312">
      <c r="A1312">
        <f>=1007351	 | Macro.Office.Generic.BX	 | 3b41c3d33589de59952989dafd18f0a7</f>
        <v/>
      </c>
    </row>
    <row r="1313">
      <c r="A1313">
        <f>=1007356	 | Macro.Office.Agent.GR	 | 4f4b085463f4a8885497de8cbcc2aceb</f>
        <v/>
      </c>
    </row>
    <row r="1314">
      <c r="A1314">
        <f>=100736	 | Trojan.Win32.Agent.R	 | ba887477c0923ae485573d1766085d8a</f>
        <v/>
      </c>
    </row>
    <row r="1315">
      <c r="A1315">
        <f>=1007366	 | Trojan.Win32.Dridex.C	 | afe503e43cb3c6f7818d2947a4fc9532</f>
        <v/>
      </c>
    </row>
    <row r="1316">
      <c r="A1316">
        <f>=100737	 | Backdoor.Win32.Agent.IF	 | d96cd53405fd16674a4901e1954885ae</f>
        <v/>
      </c>
    </row>
    <row r="1317">
      <c r="A1317">
        <f>=100738	 | Backdoor.Win32.Agent.IG	 | f810c56ce91719812ac6534cf3b5522c</f>
        <v/>
      </c>
    </row>
    <row r="1318">
      <c r="A1318">
        <f>=1007387	 | Macro.Office.Startpage.B	 | 1e2e7cee29f7941d0c817b202ac6597f</f>
        <v/>
      </c>
    </row>
    <row r="1319">
      <c r="A1319">
        <f>=100739	 | Backdoor.Win32.Gh0st.JE	 | 348f0891a8042b013868f47f4b85d350</f>
        <v/>
      </c>
    </row>
    <row r="1320">
      <c r="A1320">
        <f>=100740	 | Backdoor.Win32.Agent.IT	 | e273dc34fe1b187fb73c23e6edd24449</f>
        <v/>
      </c>
    </row>
    <row r="1321">
      <c r="A1321">
        <f>=100741	 | Backdoor.Win32.Agent.IY	 | 0f33290048632b0c53262292c8146a0c</f>
        <v/>
      </c>
    </row>
    <row r="1322">
      <c r="A1322">
        <f>=1007418	 | Macro.Office.Agent.GT	 | 2dd2d9fc4f0ec2e1cc6aa1bd4af1aef0</f>
        <v/>
      </c>
    </row>
    <row r="1323">
      <c r="A1323">
        <f>=100742	 | Backdoor.Win32.Agent.JE	 | 466f1f4187c9ed0a893a8d6db3c47ab0</f>
        <v/>
      </c>
    </row>
    <row r="1324">
      <c r="A1324">
        <f>=100743	 | Backdoor.Win32.Agent.JH	 | </f>
        <v/>
      </c>
    </row>
    <row r="1325">
      <c r="A1325">
        <f>=100744	 | Trojan.Win32.Inject.B	 | 71973408b3d3767ded2f78a6189e43d1</f>
        <v/>
      </c>
    </row>
    <row r="1326">
      <c r="A1326">
        <f>=100745	 | Worm.Win32.Barys.A	 | bbfd7437a66b1b35e4b8c3742f65e8b5</f>
        <v/>
      </c>
    </row>
    <row r="1327">
      <c r="A1327">
        <f>=100746	 | Backdoor.Win32.Agent.JK	 | 0ae807c1c349f3b1cbac086da3b3301e</f>
        <v/>
      </c>
    </row>
    <row r="1328">
      <c r="A1328">
        <f>=100747	 | Backdoor.Win32.Agent.JO	 | 4b3696637a7446938a2da8ee2110697b</f>
        <v/>
      </c>
    </row>
    <row r="1329">
      <c r="A1329">
        <f>=100748	 | Backdoor.Win32.Agent.JQ	 | </f>
        <v/>
      </c>
    </row>
    <row r="1330">
      <c r="A1330">
        <f>=100749	 | Backdoor.Win32.Agent.JT	 | 7727dd5f949cf11d5bae730df5ac2074</f>
        <v/>
      </c>
    </row>
    <row r="1331">
      <c r="A1331">
        <f>=100750	 | Backdoor.Win32.Agent.KE	 | </f>
        <v/>
      </c>
    </row>
    <row r="1332">
      <c r="A1332">
        <f>=100751	 | Backdoor.Win32.Agent.KH	 | 3f56ba2f19ac1facf8d977b219cae85d</f>
        <v/>
      </c>
    </row>
    <row r="1333">
      <c r="A1333">
        <f>=100752	 | Trojan.Win32.Agent.AA	 | </f>
        <v/>
      </c>
    </row>
    <row r="1334">
      <c r="A1334">
        <f>=100753	 | Backdoor.Win32.Agent.KL	 | </f>
        <v/>
      </c>
    </row>
    <row r="1335">
      <c r="A1335">
        <f>=100754	 | Backdoor.Win32.Bulknet.A	 | </f>
        <v/>
      </c>
    </row>
    <row r="1336">
      <c r="A1336">
        <f>=100755	 | Backdoor.Win32.Agent.KS	 | 4a6f8e274f67d7bff0260030c481a344</f>
        <v/>
      </c>
    </row>
    <row r="1337">
      <c r="A1337">
        <f>=100756	 | Backdoor.Win32.Agent.KT	 | 4991930c00f533624d724240c605c450</f>
        <v/>
      </c>
    </row>
    <row r="1338">
      <c r="A1338">
        <f>=100757	 | Backdoor.Win32.Agent.KU	 | </f>
        <v/>
      </c>
    </row>
    <row r="1339">
      <c r="A1339">
        <f>=100758	 | Trojan.Win32.Loader.N	 | 81139c584f09eb1d1ee4498ae711b732</f>
        <v/>
      </c>
    </row>
    <row r="1340">
      <c r="A1340">
        <f>=100759	 | Backdoor.Win32.Agent.LD	 | </f>
        <v/>
      </c>
    </row>
    <row r="1341">
      <c r="A1341">
        <f>=100760	 | Backdoor.Win32.Agent.LK	 | </f>
        <v/>
      </c>
    </row>
    <row r="1342">
      <c r="A1342">
        <f>=100761	 | RootKit.Win32.Agent.W	 | 0269cb38beead6117e8c020b1f367b02</f>
        <v/>
      </c>
    </row>
    <row r="1343">
      <c r="A1343">
        <f>=100762	 | Backdoor.Win32.BFFClient.C	 | 4c9baeebe9f76aff33ea389afe388b9c</f>
        <v/>
      </c>
    </row>
    <row r="1344">
      <c r="A1344">
        <f>=100763	 | Worm.Win32.FakeFolder.CT	 | aae42cfd98664be1360dc49fbc9e6ef1</f>
        <v/>
      </c>
    </row>
    <row r="1345">
      <c r="A1345">
        <f>=100764	 | Worm.Win32.Lebag.B	 | ddac2dfc8a3c28f39c24396e6748d810</f>
        <v/>
      </c>
    </row>
    <row r="1346">
      <c r="A1346">
        <f>=100765	 | Trojan.Win32.GameOnline.ES	 | beb64618abc63e180b0368e98d5217c4</f>
        <v/>
      </c>
    </row>
    <row r="1347">
      <c r="A1347">
        <f>=100766	 | Backdoor.Win32.xiaoqi.A	 | </f>
        <v/>
      </c>
    </row>
    <row r="1348">
      <c r="A1348">
        <f>=100767	 | Backdoor.Win32.Agent.LY	 | a04a8fc8112e5a3e03bd0d954322449d</f>
        <v/>
      </c>
    </row>
    <row r="1349">
      <c r="A1349">
        <f>=100768	 | Trojan.Win32.Loader.O	 | 7737cc4b7952e5d8f1a58e084669db29</f>
        <v/>
      </c>
    </row>
    <row r="1350">
      <c r="A1350">
        <f>=100769	 | Backdoor.Win32.Agent.LZ	 | 0fcc4fa628ce35285a65c3e9471338f3</f>
        <v/>
      </c>
    </row>
    <row r="1351">
      <c r="A1351">
        <f>=100770	 | Backdoor.Win32.Agent.MA	 | cb6af65eb064387695fecb0150eb220a</f>
        <v/>
      </c>
    </row>
    <row r="1352">
      <c r="A1352">
        <f>=100771	 | Trojan.Win32.FakeIEBrowser.AA	 | </f>
        <v/>
      </c>
    </row>
    <row r="1353">
      <c r="A1353">
        <f>=100772	 | Worm.Win32.FakeFolder.CU	 | 00b5068cf1dbb56ef6a279f90e0e7c75</f>
        <v/>
      </c>
    </row>
    <row r="1354">
      <c r="A1354">
        <f>=100773	 | Backdoor.Win32.Agent.MF	 | </f>
        <v/>
      </c>
    </row>
    <row r="1355">
      <c r="A1355">
        <f>=100775	 | Backdoor.Win32.Agent.MK	 | a9cf80a1bd0f22480851bea4ca54da92</f>
        <v/>
      </c>
    </row>
    <row r="1356">
      <c r="A1356">
        <f>=1007753	 | Macro.Office.Generic.BY	 | 5B3D72061B8B5EA4CBCB41271961CE7C</f>
        <v/>
      </c>
    </row>
    <row r="1357">
      <c r="A1357">
        <f>=100776	 | Backdoor.Win32.Agent.MN	 | e61be22cf6019346eef829ec06dfe7c1</f>
        <v/>
      </c>
    </row>
    <row r="1358">
      <c r="A1358">
        <f>=100777	 | Backdoor.Win32.Agent.NF	 | </f>
        <v/>
      </c>
    </row>
    <row r="1359">
      <c r="A1359">
        <f>=100778	 | Trojan.Win32.Agent.BE	 | </f>
        <v/>
      </c>
    </row>
    <row r="1360">
      <c r="A1360">
        <f>=100779	 | RootKit.Win32.Alman.A	 | </f>
        <v/>
      </c>
    </row>
    <row r="1361">
      <c r="A1361">
        <f>=100780	 | RootKit.Win32.Alman.B	 | </f>
        <v/>
      </c>
    </row>
    <row r="1362">
      <c r="A1362">
        <f>=100781	 | Backdoor.Win32.Agent.MR	 | </f>
        <v/>
      </c>
    </row>
    <row r="1363">
      <c r="A1363">
        <f>=100782	 | Backdoor.Win32.xiaoqi.D	 | 619f73bdc17f150c0b2b2195977217ae</f>
        <v/>
      </c>
    </row>
    <row r="1364">
      <c r="A1364">
        <f>=100783	 | Backdoor.Win32.Agent.MS	 | </f>
        <v/>
      </c>
    </row>
    <row r="1365">
      <c r="A1365">
        <f>=1007832	 | Trojan.Win32.Emotet.DBTUMWA	 | 1c7d626d9ebdf3229146852f0687ae45</f>
        <v/>
      </c>
    </row>
    <row r="1366">
      <c r="A1366">
        <f>=100784	 | Backdoor.Win32.Agent.MT	 | </f>
        <v/>
      </c>
    </row>
    <row r="1367">
      <c r="A1367">
        <f>=100785	 | Trojan.Win32.Spirit.H	 | 8ef67a7bf28016e67205da6912a142c1</f>
        <v/>
      </c>
    </row>
    <row r="1368">
      <c r="A1368">
        <f>=100786	 | Backdoor.Win32.Agent.NB	 | </f>
        <v/>
      </c>
    </row>
    <row r="1369">
      <c r="A1369">
        <f>=100787	 | Backdoor.Win32.Agent.ND	 | 83af0b96ef401afed67a9ae719965a78</f>
        <v/>
      </c>
    </row>
    <row r="1370">
      <c r="A1370">
        <f>=100788	 | Backdoor.Win32.xiaoqi.F	 | 2faf6b5ae8f3039af6752dba0050253c</f>
        <v/>
      </c>
    </row>
    <row r="1371">
      <c r="A1371">
        <f>=100789	 | Trojan.Win32.QQPass.CP	 | </f>
        <v/>
      </c>
    </row>
    <row r="1372">
      <c r="A1372">
        <f>=100790	 | Backdoor.Win32.Agent.NJ	 | 3bfb2f00c120493e5d5c133e8201ef54</f>
        <v/>
      </c>
    </row>
    <row r="1373">
      <c r="A1373">
        <f>=100791	 | Backdoor.Win32.Agent.NL	 | 7de9a93d7e89d337f5e66d6631d02638</f>
        <v/>
      </c>
    </row>
    <row r="1374">
      <c r="A1374">
        <f>=100792	 | Trojan.Win32.QQPass.CQ	 | </f>
        <v/>
      </c>
    </row>
    <row r="1375">
      <c r="A1375">
        <f>=100793	 | Dropper.Win32.FakeLPK.B	 | f3bcbf6e717b560a4bafdf36cf659b34</f>
        <v/>
      </c>
    </row>
    <row r="1376">
      <c r="A1376">
        <f>=100794	 | Dropper.Win32.FakeLPK.C	 | e9db63a2fefd079b9642cac71277718c</f>
        <v/>
      </c>
    </row>
    <row r="1377">
      <c r="A1377">
        <f>=100795	 | Dropper.Win32.FakeLPK.D	 | e57ed82511dc61a81d03d35893d97cc3</f>
        <v/>
      </c>
    </row>
    <row r="1378">
      <c r="A1378">
        <f>=100796	 | Worm.Win32.Conficker.F	 | </f>
        <v/>
      </c>
    </row>
    <row r="1379">
      <c r="A1379">
        <f>=100797	 | Backdoor.Win32.Agent.NQ	 | </f>
        <v/>
      </c>
    </row>
    <row r="1380">
      <c r="A1380">
        <f>=100798	 | Trojan.Win32.Spirit.I	 | </f>
        <v/>
      </c>
    </row>
    <row r="1381">
      <c r="A1381">
        <f>=100799	 | Backdoor.Win32.Agent.NS	 | </f>
        <v/>
      </c>
    </row>
    <row r="1382">
      <c r="A1382">
        <f>=100800	 | Worm.Win32.Conficker.G	 | ffb33e085fbcd31d2e5d73ddda356aa8</f>
        <v/>
      </c>
    </row>
    <row r="1383">
      <c r="A1383">
        <f>=100801	 | Backdoor.Win32.Agent.NT	 | 9b5e848248d50b12d8cc1e0098671de6</f>
        <v/>
      </c>
    </row>
    <row r="1384">
      <c r="A1384">
        <f>=100802	 | Backdoor.Win32.Agent.NX	 | </f>
        <v/>
      </c>
    </row>
    <row r="1385">
      <c r="A1385">
        <f>=100803	 | Backdoor.Win32.Agent.NY	 | 451864bfe81aa40063d913d816fc22bd</f>
        <v/>
      </c>
    </row>
    <row r="1386">
      <c r="A1386">
        <f>=100804	 | Backdoor.Win32.Agent.OD	 | d1d48680dcbdbdafc57e5939da576734</f>
        <v/>
      </c>
    </row>
    <row r="1387">
      <c r="A1387">
        <f>=1008049	 | Macro.Office.Generic.CA	 | a21c23adb4ae9b3e53113103353eff06</f>
        <v/>
      </c>
    </row>
    <row r="1388">
      <c r="A1388">
        <f>=100805	 | Backdoor.Win32.Agent.OG	 | 6535a1ee44b19d5c7d6435803af2a1ba</f>
        <v/>
      </c>
    </row>
    <row r="1389">
      <c r="A1389">
        <f>=100806	 | Worm.Win32.Gamarue.C	 | 6c901c5cd585274dc794f240b44ea346</f>
        <v/>
      </c>
    </row>
    <row r="1390">
      <c r="A1390">
        <f>=100807	 | Worm.Win32.Gamarue.D	 | ea2ea8987a5679bd3d2d252b78559801</f>
        <v/>
      </c>
    </row>
    <row r="1391">
      <c r="A1391">
        <f>=100808	 | Worm.Win32.Gamarue.E	 | 66ef4d28b756ad446c77e6e1e3d2a3cc</f>
        <v/>
      </c>
    </row>
    <row r="1392">
      <c r="A1392">
        <f>=100809	 | Worm.Win32.Gamarue.F	 | 164d5e639f1dbbf60b0ed4769c56ddd0</f>
        <v/>
      </c>
    </row>
    <row r="1393">
      <c r="A1393">
        <f>=100810	 | Worm.Win32.Gamarue.G	 | 928b0a524cfd1112a22da2727678c024</f>
        <v/>
      </c>
    </row>
    <row r="1394">
      <c r="A1394">
        <f>=100811	 | Backdoor.Win32.Agent.OL	 | </f>
        <v/>
      </c>
    </row>
    <row r="1395">
      <c r="A1395">
        <f>=100812	 | Backdoor.Win32.Agent.ON	 | </f>
        <v/>
      </c>
    </row>
    <row r="1396">
      <c r="A1396">
        <f>=100813	 | Backdoor.Win32.Agent.OQ	 | 5a28b6beeb0752e12da2d0a27300ed2b</f>
        <v/>
      </c>
    </row>
    <row r="1397">
      <c r="A1397">
        <f>=100814	 | Worm.Win32.Gamarue.J	 | </f>
        <v/>
      </c>
    </row>
    <row r="1398">
      <c r="A1398">
        <f>=100815	 | Trojan.Win32.Agent.ED	 | 05a0cdf341d07f6c2ff490b8a483c066</f>
        <v/>
      </c>
    </row>
    <row r="1399">
      <c r="A1399">
        <f>=1008151	 | Macro.Office.Generic.CB	 | f9631af188613c35817eef9aec6fb587</f>
        <v/>
      </c>
    </row>
    <row r="1400">
      <c r="A1400">
        <f>=100816	 | Trojan.Win32.Loader.Q	 | </f>
        <v/>
      </c>
    </row>
    <row r="1401">
      <c r="A1401">
        <f>=100817	 | Backdoor.Win32.Agent.PB	 | </f>
        <v/>
      </c>
    </row>
    <row r="1402">
      <c r="A1402">
        <f>=1008171	 | Macro.Office.Agent.GU	 | 4c4354492c7657312754fc151f29f84a</f>
        <v/>
      </c>
    </row>
    <row r="1403">
      <c r="A1403">
        <f>=1008175	 | Macro.Office.Obfuse.EU	 | 2aba1efb7ca912abc40f05e30f155eb0</f>
        <v/>
      </c>
    </row>
    <row r="1404">
      <c r="A1404">
        <f>=1008176	 | Macro.Office.Obfuse.EV	 | 95f4463fc3e7f0b5994c0b4c4ae479da</f>
        <v/>
      </c>
    </row>
    <row r="1405">
      <c r="A1405">
        <f>=1008177	 | Macro.Office.Obfuse.EW	 | 79c5bf2a781b4b4d28e9a8c7907117d0</f>
        <v/>
      </c>
    </row>
    <row r="1406">
      <c r="A1406">
        <f>=100818	 | Trojan.Win32.Spirit.P	 | </f>
        <v/>
      </c>
    </row>
    <row r="1407">
      <c r="A1407">
        <f>=100819	 | Backdoor.Win32.Agent.PD	 | </f>
        <v/>
      </c>
    </row>
    <row r="1408">
      <c r="A1408">
        <f>=100820	 | Backdoor.Win32.Agent.PE	 | 7dca5f10cbd4ec6e0ad0c5038f0b5af5</f>
        <v/>
      </c>
    </row>
    <row r="1409">
      <c r="A1409">
        <f>=100821	 | Backdoor.Win32.Agent.PG	 | 3c55ee7c026562eed506e0b327f23a76</f>
        <v/>
      </c>
    </row>
    <row r="1410">
      <c r="A1410">
        <f>=100822	 | Backdoor.Win32.Agent.PI	 | 43db311b9adfd2deeb9b0420a4b26e80</f>
        <v/>
      </c>
    </row>
    <row r="1411">
      <c r="A1411">
        <f>=100823	 | RootKit.Win32.KillProc.A	 | 32b2394fe18f856dc39e55815212e23d</f>
        <v/>
      </c>
    </row>
    <row r="1412">
      <c r="A1412">
        <f>=100824	 | Backdoor.Win32.Agent.PO	 | 4b046f66d61046fd5a6431afe2b228eb</f>
        <v/>
      </c>
    </row>
    <row r="1413">
      <c r="A1413">
        <f>=100825	 | Backdoor.Win32.Agent.PR	 | 883ecbb5136e54892ec1bb03e403d6b0</f>
        <v/>
      </c>
    </row>
    <row r="1414">
      <c r="A1414">
        <f>=100826	 | Backdoor.Win32.Bot.C	 | </f>
        <v/>
      </c>
    </row>
    <row r="1415">
      <c r="A1415">
        <f>=100827	 | Worm.Win32.Barys.F	 | b4a7da424f1d7d1f81abe09dff7cf7fc</f>
        <v/>
      </c>
    </row>
    <row r="1416">
      <c r="A1416">
        <f>=100828	 | Worm.Win32.Barys.G	 | 6d5f2d8d17f27ba48cf635a77d3b20a6</f>
        <v/>
      </c>
    </row>
    <row r="1417">
      <c r="A1417">
        <f>=100829	 | Worm.Win32.Barys.H	 | 3951d15aeb7868b6bc679166a2e2d974</f>
        <v/>
      </c>
    </row>
    <row r="1418">
      <c r="A1418">
        <f>=100830	 | Trojan.Win32.Agent.BI	 | 557302f9f467cfe2ac609944ef161a41</f>
        <v/>
      </c>
    </row>
    <row r="1419">
      <c r="A1419">
        <f>=100831	 | Backdoor.Win32.Agent.PU	 | 807b590bea67f48f547037df5333be4f</f>
        <v/>
      </c>
    </row>
    <row r="1420">
      <c r="A1420">
        <f>=100832	 | Worm.Win32.Allaple.AB	 | 110618dd0dc142b841419c85ce272463</f>
        <v/>
      </c>
    </row>
    <row r="1421">
      <c r="A1421">
        <f>=1008322	 | Macro.Office.Generic.CC	 | 5337751b1840108022cb2d47ae4f1e12</f>
        <v/>
      </c>
    </row>
    <row r="1422">
      <c r="A1422">
        <f>=1008323	 | Macro.Office.Generic.CD	 | 097d917e08c67fa1124cffa60e821e0e</f>
        <v/>
      </c>
    </row>
    <row r="1423">
      <c r="A1423">
        <f>=1008324	 | Macro.Office.Downloader.CN	 | 14210bdaebba6154d52eda3e31e6b3e1</f>
        <v/>
      </c>
    </row>
    <row r="1424">
      <c r="A1424">
        <f>=1008325	 | Macro.Office.Downloader.CO	 | 87e05c472a38f7216a167c4abbe4a09b</f>
        <v/>
      </c>
    </row>
    <row r="1425">
      <c r="A1425">
        <f>=1008327	 | Macro.Office.Downloader.CQ	 | 1dab8ecbae9a034307b7ca2baae83573</f>
        <v/>
      </c>
    </row>
    <row r="1426">
      <c r="A1426">
        <f>=1008328	 | Macro.Office.Downloader.CR	 | b2d13c17fc6755cce903752971b7bad5</f>
        <v/>
      </c>
    </row>
    <row r="1427">
      <c r="A1427">
        <f>=1008329	 | Macro.Office.Downloader.CS	 | bd24b69ad15cf7afc15100f61d54f948</f>
        <v/>
      </c>
    </row>
    <row r="1428">
      <c r="A1428">
        <f>=100833	 | Trojan.Win32.Hook007.N	 | </f>
        <v/>
      </c>
    </row>
    <row r="1429">
      <c r="A1429">
        <f>=1008331	 | Macro.Office.Generic.CF	 | bcd4a39421c7e3d1bea9e7cc706436dd</f>
        <v/>
      </c>
    </row>
    <row r="1430">
      <c r="A1430">
        <f>=1008333	 | Macro.Office.Generic.CG	 | 0b9b95850ed78e7a880a3092bd35fd71</f>
        <v/>
      </c>
    </row>
    <row r="1431">
      <c r="A1431">
        <f>=100834	 | Trojan.Win32.Agent.AV	 | f5cfaaff10641515e1219d5acc7024fb</f>
        <v/>
      </c>
    </row>
    <row r="1432">
      <c r="A1432">
        <f>=100835	 | Trojan.Win32.GameOnline.EV	 | c66ee16c905d1b29a896dad9c3f4a403</f>
        <v/>
      </c>
    </row>
    <row r="1433">
      <c r="A1433">
        <f>=100836	 | Trojan.Win32.Agent.EE	 | e207aa0dc9c0d9d08375c988d4345b70</f>
        <v/>
      </c>
    </row>
    <row r="1434">
      <c r="A1434">
        <f>=100837	 | Trojan.Win32.FakeLPK.D	 | </f>
        <v/>
      </c>
    </row>
    <row r="1435">
      <c r="A1435">
        <f>=100838	 | Backdoor.Win32.Agent.QM	 | </f>
        <v/>
      </c>
    </row>
    <row r="1436">
      <c r="A1436">
        <f>=100839	 | Trojan.Win32.Agent.BL	 | </f>
        <v/>
      </c>
    </row>
    <row r="1437">
      <c r="A1437">
        <f>=100840	 | Backdoor.Win32.Agent.QR	 | 885512e954cd833a6b51394f5ba62798</f>
        <v/>
      </c>
    </row>
    <row r="1438">
      <c r="A1438">
        <f>=100841	 | Backdoor.Win32.Agent.QT	 | </f>
        <v/>
      </c>
    </row>
    <row r="1439">
      <c r="A1439">
        <f>=100842	 | Trojan.Win32.Agent.BN	 | </f>
        <v/>
      </c>
    </row>
    <row r="1440">
      <c r="A1440">
        <f>=100843	 | Trojan.Win32.Agent.BO	 | </f>
        <v/>
      </c>
    </row>
    <row r="1441">
      <c r="A1441">
        <f>=100844	 | RootKit.Win32.Agent.AA	 | </f>
        <v/>
      </c>
    </row>
    <row r="1442">
      <c r="A1442">
        <f>=100845	 | Backdoor.Win32.Gh0st.JL	 | </f>
        <v/>
      </c>
    </row>
    <row r="1443">
      <c r="A1443">
        <f>=100846	 | RootKit.Win32.Agent.AB	 | 338408dac226e56cafbd72fb44d34ed9</f>
        <v/>
      </c>
    </row>
    <row r="1444">
      <c r="A1444">
        <f>=100847	 | Trojan.Win32.VBCode.W	 | </f>
        <v/>
      </c>
    </row>
    <row r="1445">
      <c r="A1445">
        <f>=100848	 | Worm.Win32.Gamarue.M	 | 6f1c33bba4671b641ea10f62d337397b</f>
        <v/>
      </c>
    </row>
    <row r="1446">
      <c r="A1446">
        <f>=100849	 | Backdoor.Win32.Agent.QZ	 | bc17e04c9f0654b3e03961bebaec906a</f>
        <v/>
      </c>
    </row>
    <row r="1447">
      <c r="A1447">
        <f>=1008497	 | Macro.Office.Downloader.CT	 | acc56c5e51b57146f86cc257b3dc88ec</f>
        <v/>
      </c>
    </row>
    <row r="1448">
      <c r="A1448">
        <f>=100850	 | Backdoor.Win32.Agent.RG	 | </f>
        <v/>
      </c>
    </row>
    <row r="1449">
      <c r="A1449">
        <f>=100851	 | Backdoor.Win32.Agent.RH	 | </f>
        <v/>
      </c>
    </row>
    <row r="1450">
      <c r="A1450">
        <f>=1008519	 | Macro.Office.Kangatang.A	 | ac6b88e961cc2cdb2ec6a1063e4553fd</f>
        <v/>
      </c>
    </row>
    <row r="1451">
      <c r="A1451">
        <f>=100852	 | Backdoor.Win32.Agent.RI	 | 39498a8cde5b766966ee62805f2be9df</f>
        <v/>
      </c>
    </row>
    <row r="1452">
      <c r="A1452">
        <f>=100853	 | Backdoor.Win32.Agent.RP	 | 1da3441288ed3711825b1f06a7a0524c</f>
        <v/>
      </c>
    </row>
    <row r="1453">
      <c r="A1453">
        <f>=100854	 | Backdoor.Win32.Zbot.A	 | </f>
        <v/>
      </c>
    </row>
    <row r="1454">
      <c r="A1454">
        <f>=1008541	 | Macro.Office.Downloader.CU	 | 913be00e59f26120e915ab916fc8db1b</f>
        <v/>
      </c>
    </row>
    <row r="1455">
      <c r="A1455">
        <f>=100855	 | Backdoor.Win32.Zbot.B	 | 295cb9c3d0f54304e2239e45f0b3ce30</f>
        <v/>
      </c>
    </row>
    <row r="1456">
      <c r="A1456">
        <f>=100856	 | Worm.Win32.Gamarue.N	 | 578947d20a8c5e41ff04c1de15c998ce</f>
        <v/>
      </c>
    </row>
    <row r="1457">
      <c r="A1457">
        <f>=100857	 | Trojan.Win32.Agent.BT	 | 00eb3edda27a1b74a40d8ea12d2966d5</f>
        <v/>
      </c>
    </row>
    <row r="1458">
      <c r="A1458">
        <f>=100858	 | Trojan.Win32.GameOnline.FG	 | 3394ec4a63b89bad4be9d356eb4cf87c</f>
        <v/>
      </c>
    </row>
    <row r="1459">
      <c r="A1459">
        <f>=100859	 | Worm.Win32.Conficker.H	 | fce11294a5934b99e693c341f6d52c3b</f>
        <v/>
      </c>
    </row>
    <row r="1460">
      <c r="A1460">
        <f>=100860	 | Trojan.Win32.Loader.T	 | ffffea76ff06d781bc79819c3e0ed3b7</f>
        <v/>
      </c>
    </row>
    <row r="1461">
      <c r="A1461">
        <f>=100861	 | Backdoor.Win32.XiaoBei.A	 | </f>
        <v/>
      </c>
    </row>
    <row r="1462">
      <c r="A1462">
        <f>=100862	 | Trojan.Win32.Spirit.AO	 | </f>
        <v/>
      </c>
    </row>
    <row r="1463">
      <c r="A1463">
        <f>=100863	 | Backdoor.Win32.Agent.RZ	 | </f>
        <v/>
      </c>
    </row>
    <row r="1464">
      <c r="A1464">
        <f>=100864	 | Worm.Win32.FakeFolder.CY	 | d6e13d549572a13a4c520c65822c0a21</f>
        <v/>
      </c>
    </row>
    <row r="1465">
      <c r="A1465">
        <f>=1008646	 | Macro.Office.Downloader.CW	 | 025f5cfe0a096b03f6a9c4173b5e532a</f>
        <v/>
      </c>
    </row>
    <row r="1466">
      <c r="A1466">
        <f>=1008649	 | Macro.Office.Generic.CH	 | 08c1c648f69db8dc16d00076b8c45b49</f>
        <v/>
      </c>
    </row>
    <row r="1467">
      <c r="A1467">
        <f>=100865	 | Worm.Win32.Agent.E	 | ae4fe64005f96d21cee8ee537aaf1e95</f>
        <v/>
      </c>
    </row>
    <row r="1468">
      <c r="A1468">
        <f>=1008651	 | Macro.Office.Downloader.CX	 | 973269fc46476f001c6707c1cd2409e2</f>
        <v/>
      </c>
    </row>
    <row r="1469">
      <c r="A1469">
        <f>=1008653	 | Macro.Office.Generic.CI	 | 9fe0424b2a03fcd8254cb7e910ddb488</f>
        <v/>
      </c>
    </row>
    <row r="1470">
      <c r="A1470">
        <f>=1008654	 | Macro.Office.Generic.CJ	 | 07293972a29c072a2a72112b8ed23f93</f>
        <v/>
      </c>
    </row>
    <row r="1471">
      <c r="A1471">
        <f>=1008655	 | Macro.Office.SAgent.D	 | 4bb3584cc8f750ab27bf51e2d154496b</f>
        <v/>
      </c>
    </row>
    <row r="1472">
      <c r="A1472">
        <f>=1008656	 | Macro.Office.Generic.CK	 | 696b5c482ada37aa9a455cc41313fcce</f>
        <v/>
      </c>
    </row>
    <row r="1473">
      <c r="A1473">
        <f>=1008658	 | Macro.Office.Generic.CL	 | 48914d38a1c1695f05af14fce3d6243a</f>
        <v/>
      </c>
    </row>
    <row r="1474">
      <c r="A1474">
        <f>=1008659	 | Macro.Office.Downloader.CY	 | 71661ec4904100765fa8173bd58cd3f8</f>
        <v/>
      </c>
    </row>
    <row r="1475">
      <c r="A1475">
        <f>=100866	 | Trojan.Win32.Spirit.AP	 | 016243340ef777fa449066300d4cc42c</f>
        <v/>
      </c>
    </row>
    <row r="1476">
      <c r="A1476">
        <f>=1008661	 | Macro.Office.Downloader.DB	 | eb4de7853199e7025e946d01bfef47d8</f>
        <v/>
      </c>
    </row>
    <row r="1477">
      <c r="A1477">
        <f>=1008662	 | Macro.Office.Downloader.DC	 | 5f8bc9b193340a045df1640e77342e3b</f>
        <v/>
      </c>
    </row>
    <row r="1478">
      <c r="A1478">
        <f>=1008663	 | Macro.Office.Downloader.DD	 | 3f556de60ea9e7477ab8d08a74fe5eee</f>
        <v/>
      </c>
    </row>
    <row r="1479">
      <c r="A1479">
        <f>=1008665	 | Macro.Office.Downloader.DE	 | 9f6dbf4a8872376eb579cfa419eb1b7c</f>
        <v/>
      </c>
    </row>
    <row r="1480">
      <c r="A1480">
        <f>=1008666	 | Macro.Office.Qakbot.A	 | 299bf31a5c4ef0253c3ffb918d30efca</f>
        <v/>
      </c>
    </row>
    <row r="1481">
      <c r="A1481">
        <f>=1008668	 | Macro.Office.Generic.CM	 | 6E252EC21F0A311447EBA6A28A12D12C</f>
        <v/>
      </c>
    </row>
    <row r="1482">
      <c r="A1482">
        <f>=1008669	 | Macro.Office.Generic.CN	 | 9416fddd352340ccb04e264c28b0cd61</f>
        <v/>
      </c>
    </row>
    <row r="1483">
      <c r="A1483">
        <f>=100867	 | Trojan.Win32.DNFOnline.E	 | 9b4bf62b11a60e6272531a807ad1a954</f>
        <v/>
      </c>
    </row>
    <row r="1484">
      <c r="A1484">
        <f>=1008670	 | Macro.Office.Generic.CO	 | d19c041f380d327109be68ac8f984b25</f>
        <v/>
      </c>
    </row>
    <row r="1485">
      <c r="A1485">
        <f>=1008677	 | Macro.Office.Loader.A	 | 854cfe7edbea012daa51b60fd57173f1</f>
        <v/>
      </c>
    </row>
    <row r="1486">
      <c r="A1486">
        <f>=100868	 | Backdoor.Win32.DDOS.D	 | </f>
        <v/>
      </c>
    </row>
    <row r="1487">
      <c r="A1487">
        <f>=100869	 | Backdoor.Win32.Gh0st.JP	 | </f>
        <v/>
      </c>
    </row>
    <row r="1488">
      <c r="A1488">
        <f>=100870	 | Backdoor.Win32.Agent.SJ	 | </f>
        <v/>
      </c>
    </row>
    <row r="1489">
      <c r="A1489">
        <f>=1008708	 | Macro.Office.Downloader.DG	 | 0f348bc4e9fcd1b0b9c01d7440f7bc10</f>
        <v/>
      </c>
    </row>
    <row r="1490">
      <c r="A1490">
        <f>=100871	 | Backdoor.Win32.Agent.SK	 | </f>
        <v/>
      </c>
    </row>
    <row r="1491">
      <c r="A1491">
        <f>=1008710	 | Macro.Office.Downloader.DH	 | 4dad700bee9467db3c94d6d4db648502</f>
        <v/>
      </c>
    </row>
    <row r="1492">
      <c r="A1492">
        <f>=1008715	 | Macro.Office.Downloader.DI	 | e8d9eb977ec98e7616ac0a358d1a44b3</f>
        <v/>
      </c>
    </row>
    <row r="1493">
      <c r="A1493">
        <f>=100872	 | Trojan.Win32.VB.F	 | 1b1ce12234cb39100d4c386a64173328</f>
        <v/>
      </c>
    </row>
    <row r="1494">
      <c r="A1494">
        <f>=1008722	 | Macro.Office.Downloader.DJ	 | b7f385dc3ee44fea9c2c31ad147db71c</f>
        <v/>
      </c>
    </row>
    <row r="1495">
      <c r="A1495">
        <f>=1008723	 | Macro.Office.Downloader.DK	 | c689a3e49a7594cd94d8339f6784a09f</f>
        <v/>
      </c>
    </row>
    <row r="1496">
      <c r="A1496">
        <f>=1008724	 | Macro.Office.Downloader.DL	 | f845af4e100d15e3f1d788189f99c29e</f>
        <v/>
      </c>
    </row>
    <row r="1497">
      <c r="A1497">
        <f>=1008725	 | Macro.Office.Downloader.DM	 | 16c01b13998e96f27bd9e3aa795da875</f>
        <v/>
      </c>
    </row>
    <row r="1498">
      <c r="A1498">
        <f>=1008729	 | Macro.Office.Generic.CP	 | 5c42bcccaffd526f4c990ec8bc3d7a99</f>
        <v/>
      </c>
    </row>
    <row r="1499">
      <c r="A1499">
        <f>=100873	 | Trojan.Win32.Agent.EF	 | </f>
        <v/>
      </c>
    </row>
    <row r="1500">
      <c r="A1500">
        <f>=1008732	 | Macro.Office.Downloader.DN	 | 644436aa57ae570f82600c53cee76b0b</f>
        <v/>
      </c>
    </row>
    <row r="1501">
      <c r="A1501">
        <f>=100874	 | Worm.Win32.VB.O	 | 7951d712b49e0e7f05cb99208d6e385b</f>
        <v/>
      </c>
    </row>
    <row r="1502">
      <c r="A1502">
        <f>=100875	 | Backdoor.Win32.Buterat.A	 | 19831de613a0ed24b298c008b3ac00cd</f>
        <v/>
      </c>
    </row>
    <row r="1503">
      <c r="A1503">
        <f>=100876	 | Worm.Win32.Vobfus.C	 | 557a9d01550f64f357195db9982e6318</f>
        <v/>
      </c>
    </row>
    <row r="1504">
      <c r="A1504">
        <f>=100877	 | Worm.Win32.VobfusEx.A	 | c281b6637eea4181929b0bb5611817e5</f>
        <v/>
      </c>
    </row>
    <row r="1505">
      <c r="A1505">
        <f>=1008773	 | Macro.Office.Downloader.DP	 | 41b70737fa8dda75d5e95c82699c2e9b</f>
        <v/>
      </c>
    </row>
    <row r="1506">
      <c r="A1506">
        <f>=100878	 | Worm.Win32.VB.P	 | e23de043eee8d839123d484e51b26b5e</f>
        <v/>
      </c>
    </row>
    <row r="1507">
      <c r="A1507">
        <f>=100879	 | Worm.Win32.VB.R	 | 9c9326e597038bbec8aa3f2cc068b1a9</f>
        <v/>
      </c>
    </row>
    <row r="1508">
      <c r="A1508">
        <f>=100880	 | Backdoor.Win32.Agent.SP	 | 6469c2f052c4dd712d7da09446b72df0</f>
        <v/>
      </c>
    </row>
    <row r="1509">
      <c r="A1509">
        <f>=100881	 | Trojan.Win32.Small.D	 | 619ec19754345bb3fe6bc9ec93fcb796</f>
        <v/>
      </c>
    </row>
    <row r="1510">
      <c r="A1510">
        <f>=100882	 | Backdoor.Win32.Agent.SS	 | </f>
        <v/>
      </c>
    </row>
    <row r="1511">
      <c r="A1511">
        <f>=100883	 | Trojan.Win32.Small.E	 | 103ede26ed513bc5edbf75ba5cc24771</f>
        <v/>
      </c>
    </row>
    <row r="1512">
      <c r="A1512">
        <f>=1008833	 | Macro.Office.Downloader.DQ	 | f209e5499fc1987b84952a8d11ed751a</f>
        <v/>
      </c>
    </row>
    <row r="1513">
      <c r="A1513">
        <f>=1008835	 | Macro.Office.Downloader.DR	 | c689a3e49a7594cd94d8339f6784a09f</f>
        <v/>
      </c>
    </row>
    <row r="1514">
      <c r="A1514">
        <f>=1008836	 | Macro.Office.Downloader.DS	 | b82fcd203946bb4c82e769070cda1005</f>
        <v/>
      </c>
    </row>
    <row r="1515">
      <c r="A1515">
        <f>=100884	 | Trojan.Win32.Small.F	 | e65df00da1e404c3cab194a625ffb726</f>
        <v/>
      </c>
    </row>
    <row r="1516">
      <c r="A1516">
        <f>=1008842	 | Macro.Office.Generic.CQ	 | ca6cd1b1f0b5a0b6734b593fe02d9d86</f>
        <v/>
      </c>
    </row>
    <row r="1517">
      <c r="A1517">
        <f>=1008846	 | Macro.Office.Downloader.DU	 | d573534ada8cac2165e6d20ba0e20245</f>
        <v/>
      </c>
    </row>
    <row r="1518">
      <c r="A1518">
        <f>=100885	 | Backdoor.Win32.Gh0st.JQ	 | ccabf9068e52b47c9d0670bb96a79d8a</f>
        <v/>
      </c>
    </row>
    <row r="1519">
      <c r="A1519">
        <f>=1008858	 | Macro.Office.Downloader.DW	 | 5a055d79469fdc7d6966d4f8834a7bf3</f>
        <v/>
      </c>
    </row>
    <row r="1520">
      <c r="A1520">
        <f>=100886	 | Backdoor.Win32.Gh0st.JR	 | a51fba50d7d78e0ee22c47015bcde641</f>
        <v/>
      </c>
    </row>
    <row r="1521">
      <c r="A1521">
        <f>=100887	 | Worm.Win32.VB.T	 | 22e7f0cb877705a0a950367f1f0eb85a</f>
        <v/>
      </c>
    </row>
    <row r="1522">
      <c r="A1522">
        <f>=100888	 | Trojan.Win32.VB.X	 | 0d4aa733c71d8ed268ce4792491a5cbb</f>
        <v/>
      </c>
    </row>
    <row r="1523">
      <c r="A1523">
        <f>=100889	 | Trojan.Win32.Extortioner.M	 | </f>
        <v/>
      </c>
    </row>
    <row r="1524">
      <c r="A1524">
        <f>=100890	 | Trojan.Win32.Agent.CF	 | 829183a9a3ee2e2d75eca217ff5e3103</f>
        <v/>
      </c>
    </row>
    <row r="1525">
      <c r="A1525">
        <f>=100891	 | Backdoor.Win32.Agent.SW	 | </f>
        <v/>
      </c>
    </row>
    <row r="1526">
      <c r="A1526">
        <f>=100892	 | Trojan.Win32.Agent.CH	 | </f>
        <v/>
      </c>
    </row>
    <row r="1527">
      <c r="A1527">
        <f>=100893	 | Backdoor.Win32.Gh0st.JS	 | </f>
        <v/>
      </c>
    </row>
    <row r="1528">
      <c r="A1528">
        <f>=100894	 | Trojan.Win32.Extortioner.P	 | 3f8c9c1640ddaf43cbda36fbeff9e247</f>
        <v/>
      </c>
    </row>
    <row r="1529">
      <c r="A1529">
        <f>=100895	 | Backdoor.Win32.Gh0st.JU	 | </f>
        <v/>
      </c>
    </row>
    <row r="1530">
      <c r="A1530">
        <f>=100896	 | Backdoor.Win32.xiaoqi.P	 | a36affb48bb591b5f71d5923016bb1ca</f>
        <v/>
      </c>
    </row>
    <row r="1531">
      <c r="A1531">
        <f>=100897	 | Backdoor.Win32.Agent.SZ	 | 9fd76db5057334cbc646ddfa02c45f78</f>
        <v/>
      </c>
    </row>
    <row r="1532">
      <c r="A1532">
        <f>=100898	 | Trojan.Win32.Agent.CL	 | a90ca6827c06d45fbb4e781287b98262</f>
        <v/>
      </c>
    </row>
    <row r="1533">
      <c r="A1533">
        <f>=100899	 | Backdoor.Win32.Agent.TA	 | </f>
        <v/>
      </c>
    </row>
    <row r="1534">
      <c r="A1534">
        <f>=100900	 | Backdoor.Win32.Agent.TC	 | 3485c36dffb7bc77c11df6c920896bf0</f>
        <v/>
      </c>
    </row>
    <row r="1535">
      <c r="A1535">
        <f>=100901	 | Backdoor.Win32.DDOS.E	 | </f>
        <v/>
      </c>
    </row>
    <row r="1536">
      <c r="A1536">
        <f>=100902	 | Worm.Win32.Agent.F	 | 1bf02fea30c3a3569d3392741925d9ce</f>
        <v/>
      </c>
    </row>
    <row r="1537">
      <c r="A1537">
        <f>=100903	 | Backdoor.Win32.Agent.TF	 | db2742fc93abfcea750f5c7bba2cef95</f>
        <v/>
      </c>
    </row>
    <row r="1538">
      <c r="A1538">
        <f>=100904	 | Backdoor.Win32.Agent.TI	 | </f>
        <v/>
      </c>
    </row>
    <row r="1539">
      <c r="A1539">
        <f>=100905	 | Backdoor.Win32.Agent.TJ	 | 445be5e2f413ac392259dfa9d18aa861</f>
        <v/>
      </c>
    </row>
    <row r="1540">
      <c r="A1540">
        <f>=100906	 | Backdoor.Win32.xiaoqi.Q	 | </f>
        <v/>
      </c>
    </row>
    <row r="1541">
      <c r="A1541">
        <f>=100907	 | Backdoor.Win32.Agent.TM	 | </f>
        <v/>
      </c>
    </row>
    <row r="1542">
      <c r="A1542">
        <f>=100908	 | Backdoor.Win32.Xtreme.A	 | 382bda237d838a8cd77b2994c28123cb</f>
        <v/>
      </c>
    </row>
    <row r="1543">
      <c r="A1543">
        <f>=100909	 | Backdoor.Win32.Agent.TQ	 | b049db961caf4be4b28cd0a8c65101a4</f>
        <v/>
      </c>
    </row>
    <row r="1544">
      <c r="A1544">
        <f>=100910	 | Dropper.Win32.FakeLPK.F	 | 9be94919dea1513e6644d33214b48be4</f>
        <v/>
      </c>
    </row>
    <row r="1545">
      <c r="A1545">
        <f>=100911	 | Backdoor.Win32.Agent.TT	 | e331e6363b9e46e49f75cb03c9a42c9a</f>
        <v/>
      </c>
    </row>
    <row r="1546">
      <c r="A1546">
        <f>=100912	 | Backdoor.Win32.Agent.TY	 | 500e3ba8ff7c615bfebc48792a0c2132</f>
        <v/>
      </c>
    </row>
    <row r="1547">
      <c r="A1547">
        <f>=100913	 | Backdoor.Win32.Agent.TZ	 | 3ed188dcd2a34083deb2167e1af1dbea</f>
        <v/>
      </c>
    </row>
    <row r="1548">
      <c r="A1548">
        <f>=100914	 | Backdoor.Win32.Agent.UA	 | </f>
        <v/>
      </c>
    </row>
    <row r="1549">
      <c r="A1549">
        <f>=100915	 | Backdoor.Win32.Agent.UB	 | 77b83145008c10422a7ceb5459e80fac</f>
        <v/>
      </c>
    </row>
    <row r="1550">
      <c r="A1550">
        <f>=100916	 | Backdoor.Win32.Zeus.A	 | 6c3d0a118139452d3b4fbe24426a5e7c</f>
        <v/>
      </c>
    </row>
    <row r="1551">
      <c r="A1551">
        <f>=100917	 | Trojan.Win32.KillAV.AK	 | </f>
        <v/>
      </c>
    </row>
    <row r="1552">
      <c r="A1552">
        <f>=100918	 | Worm.Win32.Sytro.A	 | </f>
        <v/>
      </c>
    </row>
    <row r="1553">
      <c r="A1553">
        <f>=100919	 | Backdoor.Win32.Agent.UJ	 | 2c1cf6c6860f223dc4505e042ef2ad1a</f>
        <v/>
      </c>
    </row>
    <row r="1554">
      <c r="A1554">
        <f>=100920	 | Trojan.Win32.ChangeBootFile.A	 | 3538c1ecf1036fa152845fb62828e595</f>
        <v/>
      </c>
    </row>
    <row r="1555">
      <c r="A1555">
        <f>=100921	 | Backdoor.Win32.xiaoqi.S	 | 894e84ab29166e0dd3234cac9e7e609f</f>
        <v/>
      </c>
    </row>
    <row r="1556">
      <c r="A1556">
        <f>=100922	 | Trojan.Win32.Agent.EG	 | </f>
        <v/>
      </c>
    </row>
    <row r="1557">
      <c r="A1557">
        <f>=100923	 | Trojan.Win32.Agent.EH	 | 1ff4acd25504d98caf6132243519cc6a</f>
        <v/>
      </c>
    </row>
    <row r="1558">
      <c r="A1558">
        <f>=100924	 | Trojan.Win32.Sality.A	 | aff7d45d85680766a4f98a652cbd1ae0</f>
        <v/>
      </c>
    </row>
    <row r="1559">
      <c r="A1559">
        <f>=100925	 | Worm.Win32.Conficker.I	 | f3ef4f7e9255c98aeece142fbf88fe56</f>
        <v/>
      </c>
    </row>
    <row r="1560">
      <c r="A1560">
        <f>=100926	 | Backdoor.Win32.Agent.UV	 | 68e1365f2828b6533151bc1c39174dd8</f>
        <v/>
      </c>
    </row>
    <row r="1561">
      <c r="A1561">
        <f>=100927	 | Backdoor.Win32.Agent.VF	 | </f>
        <v/>
      </c>
    </row>
    <row r="1562">
      <c r="A1562">
        <f>=100928	 | Trojan.Win32.Fifm.B	 | </f>
        <v/>
      </c>
    </row>
    <row r="1563">
      <c r="A1563">
        <f>=100929	 | Trojan.Win32.Loader.X	 | 505c98238e944f96b4bfabc679ccf7db</f>
        <v/>
      </c>
    </row>
    <row r="1564">
      <c r="A1564">
        <f>=100930	 | Trojan.Win32.QQPass.DL	 | </f>
        <v/>
      </c>
    </row>
    <row r="1565">
      <c r="A1565">
        <f>=100931	 | Trojan.Win32.QQPass.DM	 | </f>
        <v/>
      </c>
    </row>
    <row r="1566">
      <c r="A1566">
        <f>=100932	 | Trojan.Win32.QQPass.DN	 | </f>
        <v/>
      </c>
    </row>
    <row r="1567">
      <c r="A1567">
        <f>=100933	 | Trojan.Win32.QQPass.DP	 | </f>
        <v/>
      </c>
    </row>
    <row r="1568">
      <c r="A1568">
        <f>=100934	 | RootKit.Win32.ZeroAccess.C	 | 825fd6a8529c2db6a41a3b0945745699</f>
        <v/>
      </c>
    </row>
    <row r="1569">
      <c r="A1569">
        <f>=100935	 | Backdoor.Win32.PCRat.A	 | </f>
        <v/>
      </c>
    </row>
    <row r="1570">
      <c r="A1570">
        <f>=100936	 | Worm.Win32.Gamarue.Q	 | f11078a9b96058556a0afdd17060e1b4</f>
        <v/>
      </c>
    </row>
    <row r="1571">
      <c r="A1571">
        <f>=100937	 | Trojan.Win32.WebCraker.A	 | 1445aeba787273aa6d7bd6a04e26d1b8</f>
        <v/>
      </c>
    </row>
    <row r="1572">
      <c r="A1572">
        <f>=100938	 | Trojan.Win32.GameOnline.FN	 | </f>
        <v/>
      </c>
    </row>
    <row r="1573">
      <c r="A1573">
        <f>=100939	 | Trojan.Win32.Agent.EU	 | </f>
        <v/>
      </c>
    </row>
    <row r="1574">
      <c r="A1574">
        <f>=100940	 | RootKit.Win64.Agent.D	 | ee952e67d0c41a15b42ab983213311e2</f>
        <v/>
      </c>
    </row>
    <row r="1575">
      <c r="A1575">
        <f>=100941	 | Trojan.Win32.Ecode.C	 | </f>
        <v/>
      </c>
    </row>
    <row r="1576">
      <c r="A1576">
        <f>=100942	 | Backdoor.Win32.Agent.VZ	 | e431c064e4e371926a083a27f9a81338</f>
        <v/>
      </c>
    </row>
    <row r="1577">
      <c r="A1577">
        <f>=100943	 | Trojan.Win32.SalityStub.B	 | 43262f70e2cdd91cb5ad9853c320fe35</f>
        <v/>
      </c>
    </row>
    <row r="1578">
      <c r="A1578">
        <f>=100944	 | Trojan.Win32.Agent.EZ	 | </f>
        <v/>
      </c>
    </row>
    <row r="1579">
      <c r="A1579">
        <f>=100945	 | Backdoor.Win32.Androm.B	 | </f>
        <v/>
      </c>
    </row>
    <row r="1580">
      <c r="A1580">
        <f>=100946	 | Backdoor.Win32.Agent.WD	 | e599d43035d3281029e04109bc305266</f>
        <v/>
      </c>
    </row>
    <row r="1581">
      <c r="A1581">
        <f>=100947	 | Trojan.Win32.Hkwin.A	 | f41f65a7b1814c25d0e28cf5bfa99113</f>
        <v/>
      </c>
    </row>
    <row r="1582">
      <c r="A1582">
        <f>=100948	 | Trojan.Win32.Made.B	 | 74b28c6b8fcba3a96fea0ac9b347940c</f>
        <v/>
      </c>
    </row>
    <row r="1583">
      <c r="A1583">
        <f>=100949	 | Trojan.Win32.Misc.F	 | 2e4f68f22890242c088c4c8e9d6e0d17</f>
        <v/>
      </c>
    </row>
    <row r="1584">
      <c r="A1584">
        <f>=100950	 | Backdoor.Win32.Pushdo.J	 | 31700c1b97e221ac28a28910e1ec4a60</f>
        <v/>
      </c>
    </row>
    <row r="1585">
      <c r="A1585">
        <f>=100951	 | Backdoor.Win32.Pushdo.I	 | d8fcce31ef672abfbbee7322f718ac95</f>
        <v/>
      </c>
    </row>
    <row r="1586">
      <c r="A1586">
        <f>=100952	 | Backdoor.Win32.Pushdo.G	 | 8e202981c8de5baa849d72ccb267d545</f>
        <v/>
      </c>
    </row>
    <row r="1587">
      <c r="A1587">
        <f>=100953	 | Backdoor.Win32.Pushdo.F	 | a61afc03c322887833700eb919ee166c</f>
        <v/>
      </c>
    </row>
    <row r="1588">
      <c r="A1588">
        <f>=100954	 | Backdoor.Win32.Pushdo.E	 | 61d5bc30efc4f31a312b79d79381193c</f>
        <v/>
      </c>
    </row>
    <row r="1589">
      <c r="A1589">
        <f>=100955	 | Backdoor.Win32.Pushdo.C	 | 050a117fd44b185e892b038a87ac93b6</f>
        <v/>
      </c>
    </row>
    <row r="1590">
      <c r="A1590">
        <f>=100956	 | Trojan.Win32.Agent.FA	 | 3a487094ef663168a35780c43bd189d9</f>
        <v/>
      </c>
    </row>
    <row r="1591">
      <c r="A1591">
        <f>=100957	 | Backdoor.Win32.Pushdo.B	 | 84e6d5e3c3a0a297780cd46e2318c80c</f>
        <v/>
      </c>
    </row>
    <row r="1592">
      <c r="A1592">
        <f>=100958	 | Trojan.Win32.GameOnline.K	 | 979f81bf6bfd94751670bee8e098a77e</f>
        <v/>
      </c>
    </row>
    <row r="1593">
      <c r="A1593">
        <f>=100959	 | RootKit.Win32.Agent.AQ	 | 0d92b2bbf2aa6561c93d6c5a0537eea0</f>
        <v/>
      </c>
    </row>
    <row r="1594">
      <c r="A1594">
        <f>=100960	 | RootKit.Win32.NtHook.AT	 | a157abd5f13c99d35ad1b4d73b0203d2</f>
        <v/>
      </c>
    </row>
    <row r="1595">
      <c r="A1595">
        <f>=100961	 | RootKit.Win32.Sality.A	 | </f>
        <v/>
      </c>
    </row>
    <row r="1596">
      <c r="A1596">
        <f>=100962	 | RootKit.Win32.Siglow.Q	 | </f>
        <v/>
      </c>
    </row>
    <row r="1597">
      <c r="A1597">
        <f>=100963	 | RootKit.Win32.Agent.P	 | </f>
        <v/>
      </c>
    </row>
    <row r="1598">
      <c r="A1598">
        <f>=100964	 | RootKit.Win32.NtHook.K	 | </f>
        <v/>
      </c>
    </row>
    <row r="1599">
      <c r="A1599">
        <f>=100965	 | RootKit.Win32.NtHook.E	 | 54d16e927f3710fca0d6e73410360c87</f>
        <v/>
      </c>
    </row>
    <row r="1600">
      <c r="A1600">
        <f>=100966	 | RootKit.Win32.NtHook.A	 | </f>
        <v/>
      </c>
    </row>
    <row r="1601">
      <c r="A1601">
        <f>=100967	 | Trojan.Win32.GameOnline.DE	 | 99537cb32e3335cdbf9ce012c889ea86</f>
        <v/>
      </c>
    </row>
    <row r="1602">
      <c r="A1602">
        <f>=1009673	 | Macro.Office.Downloader.EA	 | cd0f35b213590c5e86aeca539718cf9c</f>
        <v/>
      </c>
    </row>
    <row r="1603">
      <c r="A1603">
        <f>=1009675	 | Macro.Office.Downloader.EC	 | 1a8ca1e1ff1a7df304cb4bd80351356d</f>
        <v/>
      </c>
    </row>
    <row r="1604">
      <c r="A1604">
        <f>=1009676	 | Macro.Office.Generic.CS	 | f8bef26191e2d388fe396f2fd8e806f6</f>
        <v/>
      </c>
    </row>
    <row r="1605">
      <c r="A1605">
        <f>=1009677	 | Macro.Office.Downloader.ED	 | 024e72d1c8c6a483f47e2fff28791356</f>
        <v/>
      </c>
    </row>
    <row r="1606">
      <c r="A1606">
        <f>=1009678	 | Macro.Office.Downloader.EE	 | 4e1edaf8940a0d47bd6967053d2457d0</f>
        <v/>
      </c>
    </row>
    <row r="1607">
      <c r="A1607">
        <f>=1009679	 | Macro.Office.Downloader.EF	 | 00bc507d0b18ced94c3ace043439f0c7</f>
        <v/>
      </c>
    </row>
    <row r="1608">
      <c r="A1608">
        <f>=100968	 | Trojan.Win32.GameOnline.DD	 | acedf417d7b7ed3566ac2f4b2647bea9</f>
        <v/>
      </c>
    </row>
    <row r="1609">
      <c r="A1609">
        <f>=1009680	 | Macro.Office.Downloader.EG	 | 003bb77c1b84cf8e8c9681e75f20b844</f>
        <v/>
      </c>
    </row>
    <row r="1610">
      <c r="A1610">
        <f>=1009681	 | Macro.Office.Downloader.EH	 | 025f5cfe0a096b03f6a9c4173b5e532a</f>
        <v/>
      </c>
    </row>
    <row r="1611">
      <c r="A1611">
        <f>=1009682	 | Macro.Office.Downloader.EI	 | b82fcd203946bb4c82e769070cda1005</f>
        <v/>
      </c>
    </row>
    <row r="1612">
      <c r="A1612">
        <f>=1009683	 | Macro.Office.Generic.CT	 | 08c1c648f69db8dc16d00076b8c45b49</f>
        <v/>
      </c>
    </row>
    <row r="1613">
      <c r="A1613">
        <f>=1009684	 | Macro.Office.Generic.CU	 | 4d0f8297062ef4d625f0b1263114e095</f>
        <v/>
      </c>
    </row>
    <row r="1614">
      <c r="A1614">
        <f>=1009685	 | Macro.Office.Generic.CV	 | 05d56971906f4a56e1fca244e9f1c869</f>
        <v/>
      </c>
    </row>
    <row r="1615">
      <c r="A1615">
        <f>=1009686	 | Macro.Office.Generic.CW	 | 655a8a63f6f29aeb2f635951f4d725e7</f>
        <v/>
      </c>
    </row>
    <row r="1616">
      <c r="A1616">
        <f>=1009687	 | Macro.Office.Generic.CX	 | 6fb796b7a63e0e952664aa4bd67691b0</f>
        <v/>
      </c>
    </row>
    <row r="1617">
      <c r="A1617">
        <f>=100969	 | Trojan.Win32.GameOnline.BW	 | fa18446de3a614cbb02a8960c74e039a</f>
        <v/>
      </c>
    </row>
    <row r="1618">
      <c r="A1618">
        <f>=1009690	 | Macro.Office.Downloader.EL	 | 3b41c3d33589de59952989dafd18f0a7</f>
        <v/>
      </c>
    </row>
    <row r="1619">
      <c r="A1619">
        <f>=1009692	 | Macro.Office.Downloader.EN	 | 9416fddd352340ccb04e264c28b0cd61</f>
        <v/>
      </c>
    </row>
    <row r="1620">
      <c r="A1620">
        <f>=1009693	 | Macro.Office.Downloader.EO	 | c689a3e49a7594cd94d8339f6784a09f</f>
        <v/>
      </c>
    </row>
    <row r="1621">
      <c r="A1621">
        <f>=1009696	 | Macro.Office.Downloader.EP	 | 0f348bc4e9fcd1b0b9c01d7440f7bc10</f>
        <v/>
      </c>
    </row>
    <row r="1622">
      <c r="A1622">
        <f>=1009697	 | Macro.Office.Downloader.EQ	 | f9042041964774234e634e48b467526e</f>
        <v/>
      </c>
    </row>
    <row r="1623">
      <c r="A1623">
        <f>=1009698	 | Macro.Office.Downloader.ER	 | a2fd3bdd218416a9082449927ba9810a</f>
        <v/>
      </c>
    </row>
    <row r="1624">
      <c r="A1624">
        <f>=1009699	 | Macro.Office.Downloader.ES	 | 71661ec4904100765fa8173bd58cd3f8</f>
        <v/>
      </c>
    </row>
    <row r="1625">
      <c r="A1625">
        <f>=100970	 | RootKit.Win32.Agent.A	 | cca34982962b19d80f0e1b52d3f70152</f>
        <v/>
      </c>
    </row>
    <row r="1626">
      <c r="A1626">
        <f>=1009700	 | Macro.Office.Generic.CY	 | 5c78e4a9ca8178621432bec41dfe82ce</f>
        <v/>
      </c>
    </row>
    <row r="1627">
      <c r="A1627">
        <f>=1009701	 | Macro.Office.Generic.DA	 | 7facca44e3c764b946cb370de32168bd</f>
        <v/>
      </c>
    </row>
    <row r="1628">
      <c r="A1628">
        <f>=1009702	 | Macro.Office.Downloader.ET	 | 7b0f0c36f53f1c86e7957c4a752ea1b2</f>
        <v/>
      </c>
    </row>
    <row r="1629">
      <c r="A1629">
        <f>=1009703	 | Macro.Office.Downloader.EU	 | 10e1014b9962ba687db0a43efa1b46d0</f>
        <v/>
      </c>
    </row>
    <row r="1630">
      <c r="A1630">
        <f>=1009705	 | Macro.Office.Generic.DC	 | ff1ec5905d12ab3826af54fd7ff6c2d1</f>
        <v/>
      </c>
    </row>
    <row r="1631">
      <c r="A1631">
        <f>=1009706	 | Macro.Office.Generic.DD	 | 0d8d6e0f348248c30f65d05a347d73bb</f>
        <v/>
      </c>
    </row>
    <row r="1632">
      <c r="A1632">
        <f>=1009707	 | Macro.Office.Downloader.EV	 | 370b6c42ef11ad7aa9badc2955a71ecc</f>
        <v/>
      </c>
    </row>
    <row r="1633">
      <c r="A1633">
        <f>=1009709	 | Macro.Office.Downloader.EW	 | 6680b904d6e55ea0969120e71ce09b62</f>
        <v/>
      </c>
    </row>
    <row r="1634">
      <c r="A1634">
        <f>=100971	 | Trojan.Win32.StartPage.CC	 | </f>
        <v/>
      </c>
    </row>
    <row r="1635">
      <c r="A1635">
        <f>=1009710	 | Macro.Office.Downloader.EX	 | e057f629d3598d9a1d17bd32959cdd87</f>
        <v/>
      </c>
    </row>
    <row r="1636">
      <c r="A1636">
        <f>=1009711	 | Macro.Office.Downloader.EY	 | 1342bab9a9884f3ee8e3f068a8b556ad</f>
        <v/>
      </c>
    </row>
    <row r="1637">
      <c r="A1637">
        <f>=1009714	 | Macro.Office.Downloader.FA	 | e979f2a4a626eda0521ed5e63195d7bf</f>
        <v/>
      </c>
    </row>
    <row r="1638">
      <c r="A1638">
        <f>=1009715	 | Macro.Office.Downloader.FB	 | 25f8d256895690c4cd673f36f3782a45</f>
        <v/>
      </c>
    </row>
    <row r="1639">
      <c r="A1639">
        <f>=1009716	 | Macro.Office.Downloader.FC	 | 65ec18ca70efc83cdbfc3c13787b87ac</f>
        <v/>
      </c>
    </row>
    <row r="1640">
      <c r="A1640">
        <f>=100972	 | Trojan.Win32.Patched.A	 | 0ba38bba0f5fbfad4c6196eb44123956</f>
        <v/>
      </c>
    </row>
    <row r="1641">
      <c r="A1641">
        <f>=1009721	 | Macro.Office.Downloader.FD	 | 3c49936efacd22fa5e09422be35d972e</f>
        <v/>
      </c>
    </row>
    <row r="1642">
      <c r="A1642">
        <f>=1009727	 | Macro.Office.Poppy.C	 | 7b268cd96ac9d8bf2a6d6b40cc8b902f</f>
        <v/>
      </c>
    </row>
    <row r="1643">
      <c r="A1643">
        <f>=100973	 | Trojan.Win32.AntiAV.A	 | 372582f3b15edf7be76deb61f453fa56</f>
        <v/>
      </c>
    </row>
    <row r="1644">
      <c r="A1644">
        <f>=1009733	 | Macro.Office.Downloader.FF	 | 001df579b6df2f23b14d8414efa139ab</f>
        <v/>
      </c>
    </row>
    <row r="1645">
      <c r="A1645">
        <f>=1009734	 | Macro.Office.Downloader.FG	 | 1067d53a11b3309c16a9a00b5df04623</f>
        <v/>
      </c>
    </row>
    <row r="1646">
      <c r="A1646">
        <f>=1009735	 | Macro.Office.Stratos.D	 | 2a277757588ab84b73b015f0097b1653</f>
        <v/>
      </c>
    </row>
    <row r="1647">
      <c r="A1647">
        <f>=100974	 | Trojan.Win32.AutoIt.E	 | 13befcac60f8d206e6b4bf0b1deb7896</f>
        <v/>
      </c>
    </row>
    <row r="1648">
      <c r="A1648">
        <f>=100975	 | Worm.Win32.FakeFolder.AV	 | a668389c6aa1fd75cb62c84202eee113</f>
        <v/>
      </c>
    </row>
    <row r="1649">
      <c r="A1649">
        <f>=100976	 | Trojan.Win32.Agent.DJ	 | </f>
        <v/>
      </c>
    </row>
    <row r="1650">
      <c r="A1650">
        <f>=1009768	 | Macro.Office.Downloader.FH	 | f2ea1ffec6b3fee4c07fe2c7b206c524</f>
        <v/>
      </c>
    </row>
    <row r="1651">
      <c r="A1651">
        <f>=100977	 | Worm.Win32.futurax.A	 | ab718f00f340a1bf39afe6c2a9cae360</f>
        <v/>
      </c>
    </row>
    <row r="1652">
      <c r="A1652">
        <f>=100978	 | Worm.Win32.delf.C	 | 35acc2a92ea65da4ce2fa6eba2ebb9e8</f>
        <v/>
      </c>
    </row>
    <row r="1653">
      <c r="A1653">
        <f>=100979	 | Trojan.Win32.qqbass.A	 | 3335810eeec92e15d457ecf578a9e36d</f>
        <v/>
      </c>
    </row>
    <row r="1654">
      <c r="A1654">
        <f>=100980	 | Trojan.Win32.Formbook.A	 | 16242d74de418beabbeaef001423565d</f>
        <v/>
      </c>
    </row>
    <row r="1655">
      <c r="A1655">
        <f>=1009802	 | Macro.Office.Downloader.FI	 | f67b3bb9248f75b973c9a89b26b39045</f>
        <v/>
      </c>
    </row>
    <row r="1656">
      <c r="A1656">
        <f>=100981	 | Ransom.Win32.Gandcrab.A	 | c133eac5627f6928b2a3e4f2e2925802</f>
        <v/>
      </c>
    </row>
    <row r="1657">
      <c r="A1657">
        <f>=100982	 | Ransom.Win32.Gandcrab.D	 | abb88b33126f8e6fc1ab6fce9b9d892f</f>
        <v/>
      </c>
    </row>
    <row r="1658">
      <c r="A1658">
        <f>=100983	 | Ransom.Win32.Gandcrab.C	 | 3a06f88693dd78aa3e6541702b324a14</f>
        <v/>
      </c>
    </row>
    <row r="1659">
      <c r="A1659">
        <f>=100984	 | Ransom.Win32.Gandcrab.B	 | acbfdc3bf2117b0884141c4a8405a7aa</f>
        <v/>
      </c>
    </row>
    <row r="1660">
      <c r="A1660">
        <f>=100985	 | Trojan.Win32.Maener.A	 | 0498639cb1dba8a8fb53a7f90efd58e6</f>
        <v/>
      </c>
    </row>
    <row r="1661">
      <c r="A1661">
        <f>=100986	 | Adware.Win32.Installmonstr.A	 | 9b99d8ae783cd0e7fb7591794133835f</f>
        <v/>
      </c>
    </row>
    <row r="1662">
      <c r="A1662">
        <f>=100987	 | Trojan.Win32.vbcode.B	 | 06afa8da8598d4792f79a9e81dd96409</f>
        <v/>
      </c>
    </row>
    <row r="1663">
      <c r="A1663">
        <f>=100988	 | Trojan.Win32.Upatre.A	 | 0a414bc69f5beb6b00626f4dc9f8943c</f>
        <v/>
      </c>
    </row>
    <row r="1664">
      <c r="A1664">
        <f>=100989	 | Adware.Win32.DownloadGuide.B	 | 185e235bc3d9816b85006e51f8979b7c</f>
        <v/>
      </c>
    </row>
    <row r="1665">
      <c r="A1665">
        <f>=100990	 | Adware.Win32.DownloadGuide.A	 | 0096c9c417a86baaf10a66de56f17534</f>
        <v/>
      </c>
    </row>
    <row r="1666">
      <c r="A1666">
        <f>=100991	 | Trojan.Win32.Keylogger.C	 | </f>
        <v/>
      </c>
    </row>
    <row r="1667">
      <c r="A1667">
        <f>=1009916	 | Macro.Office.Generic.DE	 | 1fdf681581f2506ae5f549319a461dff</f>
        <v/>
      </c>
    </row>
    <row r="1668">
      <c r="A1668">
        <f>=100992	 | Trojan.Win32.Unruy.A	 | 0d3b9466ecafc330ba6d5762d2e16ff0</f>
        <v/>
      </c>
    </row>
    <row r="1669">
      <c r="A1669">
        <f>=100993	 | Trojan.Win32.Upatre.B	 | 3864764197f1e4f8abfcfc232fcd4b4e</f>
        <v/>
      </c>
    </row>
    <row r="1670">
      <c r="A1670">
        <f>=100994	 | Worm.Win32.Picsys.B	 | 00d268f65aac556965e575cc13315714</f>
        <v/>
      </c>
    </row>
    <row r="1671">
      <c r="A1671">
        <f>=100995	 | Worm.Win32.Picsys.C	 | </f>
        <v/>
      </c>
    </row>
    <row r="1672">
      <c r="A1672">
        <f>=100996	 | Trojan.Win32.qqpass.A	 | 00c8bd46c3e0e19f8db772a3453644db</f>
        <v/>
      </c>
    </row>
    <row r="1673">
      <c r="A1673">
        <f>=100997	 | Trojan.Win32.AdLoad.A	 | </f>
        <v/>
      </c>
    </row>
    <row r="1674">
      <c r="A1674">
        <f>=100998	 | Adware.Win32.Bundlore.A	 | c5c54363a014456afdb67b1d2719e682</f>
        <v/>
      </c>
    </row>
    <row r="1675">
      <c r="A1675">
        <f>=100999	 | Adware.Win32.Imali.A	 | 357363844e8a6595b8789a2ec5889b72</f>
        <v/>
      </c>
    </row>
    <row r="1676">
      <c r="A1676">
        <f>=101000	 | Worm.Win32.delf.B	 | 84afea7e84c73b07ccd44784d09b8eeb</f>
        <v/>
      </c>
    </row>
    <row r="1677">
      <c r="A1677">
        <f>=101001	 | Worm.Win32.delf.D	 | 87c06cb86b15a389eab332cf70b1c3e8</f>
        <v/>
      </c>
    </row>
    <row r="1678">
      <c r="A1678">
        <f>=101002	 | Trojan.Win32.Vbcode.X	 | 059cc2f3a00a3c82d625d2abb66cc857</f>
        <v/>
      </c>
    </row>
    <row r="1679">
      <c r="A1679">
        <f>=101003	 | Trojan.Win32.Unruy.B	 | 03fe14ef4cd0b7b042dc9a3b54d48961</f>
        <v/>
      </c>
    </row>
    <row r="1680">
      <c r="A1680">
        <f>=101004	 | Trojan.Win32.Gepys.J	 | 04b6129efbba287d7aa867715355af43</f>
        <v/>
      </c>
    </row>
    <row r="1681">
      <c r="A1681">
        <f>=101005	 | Adware.Win32.Downloadguide.D	 | 7fd606f5350ff2e8c668128dcaa805ea</f>
        <v/>
      </c>
    </row>
    <row r="1682">
      <c r="A1682">
        <f>=101006	 | Trojan.Win32.Gepys.I	 | 12a0d02d988561ddaaf231af07988037</f>
        <v/>
      </c>
    </row>
    <row r="1683">
      <c r="A1683">
        <f>=101007	 | Trojan.Win32.Gepys.H	 | 031ce04bb2edef92818e550853f9ea69</f>
        <v/>
      </c>
    </row>
    <row r="1684">
      <c r="A1684">
        <f>=101008	 | Trojan.Win32.Adposhel.B	 | 9fdae9f496a9bb611582d27754fd1e5f</f>
        <v/>
      </c>
    </row>
    <row r="1685">
      <c r="A1685">
        <f>=101009	 | Trojan.Win32.Beebone.A	 | bc3fe885d502c2eccc137de1d5d366c0</f>
        <v/>
      </c>
    </row>
    <row r="1686">
      <c r="A1686">
        <f>=101011	 | Trojan.Win32.Gameteaspy.B	 | 00f409304f883ee64e5ebc42fa62ef8d</f>
        <v/>
      </c>
    </row>
    <row r="1687">
      <c r="A1687">
        <f>=101012	 | Trojan.Win32.Gameteaspy.A	 | 0003d84c31439fab83ad43817b979d77</f>
        <v/>
      </c>
    </row>
    <row r="1688">
      <c r="A1688">
        <f>=101013	 | Backdoor.Win32.Simbot.C	 | dcd41c4d6eb8a2bf6f8eea0d7a7fd0b6</f>
        <v/>
      </c>
    </row>
    <row r="1689">
      <c r="A1689">
        <f>=101014	 | Backdoor.Win32.Simbot.B	 | 02281862e337de92dbd916fc703ad9f7</f>
        <v/>
      </c>
    </row>
    <row r="1690">
      <c r="A1690">
        <f>=101015	 | Backdoor.Win32.Tofsee.B	 | 9b8be3fda013bfa5da4582d464c9031b</f>
        <v/>
      </c>
    </row>
    <row r="1691">
      <c r="A1691">
        <f>=101016	 | Worm.Win32.Fasong.A	 | 8472601a6204ba39da13d7cd682fdf52</f>
        <v/>
      </c>
    </row>
    <row r="1692">
      <c r="A1692">
        <f>=101017	 | Adware.Win32.Syncopate.A	 | </f>
        <v/>
      </c>
    </row>
    <row r="1693">
      <c r="A1693">
        <f>=101018	 | Trojan.Win32.Sisbot.C	 | 6889079e686a7054b6a8ef629eec58b5</f>
        <v/>
      </c>
    </row>
    <row r="1694">
      <c r="A1694">
        <f>=101019	 | Trojan.Win32.Malex.F	 | 0ccb886dd681cdf53004110c709f3a33</f>
        <v/>
      </c>
    </row>
    <row r="1695">
      <c r="A1695">
        <f>=101020	 | Worm.Win32.Socks.C	 | e8ff8afd15c3dd3547f97f2ecfc99d26</f>
        <v/>
      </c>
    </row>
    <row r="1696">
      <c r="A1696">
        <f>=101021	 | Worm.Win32.Socks.D	 | </f>
        <v/>
      </c>
    </row>
    <row r="1697">
      <c r="A1697">
        <f>=101022	 | Adware.Win32.Imali.B	 | 5a7bcf77451b620c7d007d2c693f2849</f>
        <v/>
      </c>
    </row>
    <row r="1698">
      <c r="A1698">
        <f>=101023	 | Trojan.Win32.Malex.E	 | 0b08a0ed63e6f3ae553dc705f0f3ed22</f>
        <v/>
      </c>
    </row>
    <row r="1699">
      <c r="A1699">
        <f>=1010232	 | Script.Office.Agent.A	 | 0edcaaddfff89fe4df9c41ca5fc1d790</f>
        <v/>
      </c>
    </row>
    <row r="1700">
      <c r="A1700">
        <f>=1010233	 | Script.Office.Agent.B	 | 0f0c300e01b13a25f3c5dcdbf7af0df0</f>
        <v/>
      </c>
    </row>
    <row r="1701">
      <c r="A1701">
        <f>=1010234	 | Script.Office.Agent.C	 | 1e35156777f498663f05a328abcfba80</f>
        <v/>
      </c>
    </row>
    <row r="1702">
      <c r="A1702">
        <f>=1010235	 | Script.Office.Agent.D	 | 1fa3aa775df9e75d035fb45720856f30</f>
        <v/>
      </c>
    </row>
    <row r="1703">
      <c r="A1703">
        <f>=1010236	 | Script.Office.Agent.E	 | 3eda1cc04df1cf0e219d614cff675130</f>
        <v/>
      </c>
    </row>
    <row r="1704">
      <c r="A1704">
        <f>=1010237	 | Script.Office.Agent.F	 | 04c3bf088cedfedfe9946384428f6950</f>
        <v/>
      </c>
    </row>
    <row r="1705">
      <c r="A1705">
        <f>=1010238	 | Script.Office.Agent.G	 | 4ab4db0a4627fd560043dc3a6ca40820</f>
        <v/>
      </c>
    </row>
    <row r="1706">
      <c r="A1706">
        <f>=1010239	 | Script.Office.Agent.H	 | 4b1d79fa719c4e658253db4cd3a17120</f>
        <v/>
      </c>
    </row>
    <row r="1707">
      <c r="A1707">
        <f>=101024	 | Trojan.Win32.Maener.B	 | </f>
        <v/>
      </c>
    </row>
    <row r="1708">
      <c r="A1708">
        <f>=1010240	 | Script.Office.Agent.I	 | 4c7cd3d764dea121fad8cbd1f74e81d0</f>
        <v/>
      </c>
    </row>
    <row r="1709">
      <c r="A1709">
        <f>=1010241	 | Script.Office.Agent.J	 | 4e39976b4b3a846d435c08119b69e4f0</f>
        <v/>
      </c>
    </row>
    <row r="1710">
      <c r="A1710">
        <f>=1010242	 | Script.Office.Agent.K	 | 4ed6536cc686553f21e7583d5257e590</f>
        <v/>
      </c>
    </row>
    <row r="1711">
      <c r="A1711">
        <f>=1010243	 | Script.Office.Agent.L	 | 4f346979364d1aee5d2b3c25b8c8c6c0</f>
        <v/>
      </c>
    </row>
    <row r="1712">
      <c r="A1712">
        <f>=1010244	 | Script.Office.Agent.M	 | 4fc03c433a9fc6913bdcc42af94487c0</f>
        <v/>
      </c>
    </row>
    <row r="1713">
      <c r="A1713">
        <f>=1010245	 | Script.Office.Agent.N	 | 05d1a3b3f9172ca3d3c24b24803d66c0</f>
        <v/>
      </c>
    </row>
    <row r="1714">
      <c r="A1714">
        <f>=1010246	 | Script.Office.Agent.O	 | 5fa4506f4d7849a05168b198d191f440</f>
        <v/>
      </c>
    </row>
    <row r="1715">
      <c r="A1715">
        <f>=1010247	 | Script.Office.Agent.P	 | 6dd1d229912b106b2f3ec755b6caedd0</f>
        <v/>
      </c>
    </row>
    <row r="1716">
      <c r="A1716">
        <f>=1010248	 | Script.Office.Agent.Q	 | 8c84e139c0e0a77bbdb1a226ca20b3a0</f>
        <v/>
      </c>
    </row>
    <row r="1717">
      <c r="A1717">
        <f>=1010249	 | Script.Office.Agent.R	 | 8c96852c0c2f50c92e37603957897ea0</f>
        <v/>
      </c>
    </row>
    <row r="1718">
      <c r="A1718">
        <f>=101025	 | Trojan.Win32.Maener.C	 | </f>
        <v/>
      </c>
    </row>
    <row r="1719">
      <c r="A1719">
        <f>=1010250	 | Script.Office.Agent.S	 | 8de3154184b6a94fc3ad1ee8dc75a620</f>
        <v/>
      </c>
    </row>
    <row r="1720">
      <c r="A1720">
        <f>=1010251	 | Script.Office.Agent.T	 | 9ae2e0fc0f6a8f1154f823359c1156a0</f>
        <v/>
      </c>
    </row>
    <row r="1721">
      <c r="A1721">
        <f>=1010252	 | Script.Office.Agent.U	 | 9bc3b35a4b553d4bef19a56ecfe11bf0</f>
        <v/>
      </c>
    </row>
    <row r="1722">
      <c r="A1722">
        <f>=1010253	 | Script.Office.Agent.V	 | 9c0daaee6c7d41f7027379700f925320</f>
        <v/>
      </c>
    </row>
    <row r="1723">
      <c r="A1723">
        <f>=1010254	 | Script.Office.Agent.W	 | 9c26c771a849040c9e40ff81875867c0</f>
        <v/>
      </c>
    </row>
    <row r="1724">
      <c r="A1724">
        <f>=1010255	 | Script.Office.Agent.X	 | 12fdd41f02b0494a4f32333412c8cc80</f>
        <v/>
      </c>
    </row>
    <row r="1725">
      <c r="A1725">
        <f>=1010256	 | Script.Office.Agent.Y	 | 13a08d07bf9168fd0cda074234f02330</f>
        <v/>
      </c>
    </row>
    <row r="1726">
      <c r="A1726">
        <f>=1010257	 | Script.Office.Agent.AA	 | 17d0a5b1f3ffb25b10456763f0ba45d0</f>
        <v/>
      </c>
    </row>
    <row r="1727">
      <c r="A1727">
        <f>=1010258	 | Script.Office.Agent.AB	 | 18d417094102f1a84fbf36e529fa2740</f>
        <v/>
      </c>
    </row>
    <row r="1728">
      <c r="A1728">
        <f>=1010259	 | Script.Office.Agent.AC	 | 22e0ff7be9668c8b6818d6749bd21040</f>
        <v/>
      </c>
    </row>
    <row r="1729">
      <c r="A1729">
        <f>=101026	 | Adware.Win32.Addrop.A	 | 38a0e9318fd817fcac7760cb11fb897d</f>
        <v/>
      </c>
    </row>
    <row r="1730">
      <c r="A1730">
        <f>=1010260	 | Script.Office.Agent.AD	 | 25f1b9d30ed407144e032c6fe662f650</f>
        <v/>
      </c>
    </row>
    <row r="1731">
      <c r="A1731">
        <f>=1010261	 | Script.Office.Agent.AE	 | 30e84d9e9166e7b17653880746f5e750</f>
        <v/>
      </c>
    </row>
    <row r="1732">
      <c r="A1732">
        <f>=1010262	 | Script.Office.Agent.AF	 | 33a2c70dc35ed7d7126de266e346a6e0</f>
        <v/>
      </c>
    </row>
    <row r="1733">
      <c r="A1733">
        <f>=1010263	 | Script.Office.Agent.AG	 | 38be38490800235f44d2da575555fd60</f>
        <v/>
      </c>
    </row>
    <row r="1734">
      <c r="A1734">
        <f>=1010264	 | Script.Office.Agent.AH	 | 42aa7646bc23b6cdc3f4d4bede4f6f90</f>
        <v/>
      </c>
    </row>
    <row r="1735">
      <c r="A1735">
        <f>=1010265	 | Script.Office.Agent.AI	 | 42c91369f24c5597b7510d15e18d6c50</f>
        <v/>
      </c>
    </row>
    <row r="1736">
      <c r="A1736">
        <f>=1010266	 | Script.Office.Agent.AJ	 | 50f0eadada57737b88fc00bb2cb0a3b0</f>
        <v/>
      </c>
    </row>
    <row r="1737">
      <c r="A1737">
        <f>=1010267	 | Script.Office.Agent.AK	 | 66a4b62bfa193a285941ffe3e7cc6d40</f>
        <v/>
      </c>
    </row>
    <row r="1738">
      <c r="A1738">
        <f>=1010268	 | Script.Office.Agent.AL	 | 76e37cc73e8dddae180164ea16536410</f>
        <v/>
      </c>
    </row>
    <row r="1739">
      <c r="A1739">
        <f>=1010269	 | Script.Office.Agent.AM	 | 77b22b62930f548215c1c31f32f93ee0</f>
        <v/>
      </c>
    </row>
    <row r="1740">
      <c r="A1740">
        <f>=101027	 | Adware.Win32.Bundlore.B	 | 2e3cf873bd90d5e88825211e750c591e</f>
        <v/>
      </c>
    </row>
    <row r="1741">
      <c r="A1741">
        <f>=1010270	 | Script.Office.Agent.AN	 | 104e07a98cff22873b0402644e3c4200</f>
        <v/>
      </c>
    </row>
    <row r="1742">
      <c r="A1742">
        <f>=1010271	 | Script.Office.Agent.AO	 | 108fb415c33c2c97af4181869e474bf0</f>
        <v/>
      </c>
    </row>
    <row r="1743">
      <c r="A1743">
        <f>=1010272	 | Script.Office.Agent.AP	 | 119e667bfc148a5e0a84060589db5e70</f>
        <v/>
      </c>
    </row>
    <row r="1744">
      <c r="A1744">
        <f>=1010273	 | Script.Office.Agent.AQ	 | 179b2d686099c04d788f9cf305b84300</f>
        <v/>
      </c>
    </row>
    <row r="1745">
      <c r="A1745">
        <f>=1010274	 | Script.Office.Agent.AR	 | 198be6932627f137bdde928e299d3760</f>
        <v/>
      </c>
    </row>
    <row r="1746">
      <c r="A1746">
        <f>=1010275	 | Script.Office.Agent.AS	 | 253ca794afa8d30ef35c6dd013fb3920</f>
        <v/>
      </c>
    </row>
    <row r="1747">
      <c r="A1747">
        <f>=1010276	 | Script.Office.Agent.AT	 | 264c8e9ef83336c89c7816f9e01f82a0</f>
        <v/>
      </c>
    </row>
    <row r="1748">
      <c r="A1748">
        <f>=1010277	 | Script.Office.Agent.AU	 | 366fb3aea93df8cbfdee88158e69cc70</f>
        <v/>
      </c>
    </row>
    <row r="1749">
      <c r="A1749">
        <f>=1010278	 | Script.Office.Agent.AV	 | 387d1a2c3f87385f59fd4bc41650fa30</f>
        <v/>
      </c>
    </row>
    <row r="1750">
      <c r="A1750">
        <f>=101028	 | Trojan.Win32.Golf.E	 | </f>
        <v/>
      </c>
    </row>
    <row r="1751">
      <c r="A1751">
        <f>=1010280	 | Script.Office.Agent.AX	 | 629ab3b11069abfac65c8a6dd2b12660</f>
        <v/>
      </c>
    </row>
    <row r="1752">
      <c r="A1752">
        <f>=1010281	 | Script.Office.Agent.AY	 | 659f175cbd422379fe3a6a63c5b1f640</f>
        <v/>
      </c>
    </row>
    <row r="1753">
      <c r="A1753">
        <f>=1010282	 | Script.Office.Agent.BA	 | 661a3de41589857907dfdeb1caf671d0</f>
        <v/>
      </c>
    </row>
    <row r="1754">
      <c r="A1754">
        <f>=1010283	 | Script.Office.Agent.BB	 | 672f645b1f0e8a6a003644eaf440a9c0</f>
        <v/>
      </c>
    </row>
    <row r="1755">
      <c r="A1755">
        <f>=1010284	 | Script.Office.Agent.BC	 | 725b84ff7d73495b6ebe139b0da92450</f>
        <v/>
      </c>
    </row>
    <row r="1756">
      <c r="A1756">
        <f>=1010285	 | Script.Office.Agent.BD	 | 748d5debaa81e6a8f01d452f17242410</f>
        <v/>
      </c>
    </row>
    <row r="1757">
      <c r="A1757">
        <f>=1010286	 | Script.Office.Agent.BE	 | 811b17ea275fd10d069ac5081d646a40</f>
        <v/>
      </c>
    </row>
    <row r="1758">
      <c r="A1758">
        <f>=1010287	 | Script.Office.Agent.BF	 | 1882ab197b4c2abcd8d9d0a117485910</f>
        <v/>
      </c>
    </row>
    <row r="1759">
      <c r="A1759">
        <f>=1010288	 | Script.Office.Agent.BG	 | 6981b260b91471f05bb0fcef02f6fae0</f>
        <v/>
      </c>
    </row>
    <row r="1760">
      <c r="A1760">
        <f>=1010289	 | Script.Office.Agent.BH	 | 36843ccecb7f7afbe95b16e4b6666840</f>
        <v/>
      </c>
    </row>
    <row r="1761">
      <c r="A1761">
        <f>=101029	 | Worm.Win32.Klez.B	 | </f>
        <v/>
      </c>
    </row>
    <row r="1762">
      <c r="A1762">
        <f>=1010290	 | Script.Office.Agent.BI	 | 040823fc0a407fa1aeb80624949df3a0</f>
        <v/>
      </c>
    </row>
    <row r="1763">
      <c r="A1763">
        <f>=1010291	 | Script.Office.Agent.BJ	 | 49565faf6be83fbca32f7274538242c0</f>
        <v/>
      </c>
    </row>
    <row r="1764">
      <c r="A1764">
        <f>=1010292	 | Script.Office.Agent.BK	 | 61636e5450849c0ee051bc8ce6548a80</f>
        <v/>
      </c>
    </row>
    <row r="1765">
      <c r="A1765">
        <f>=1010293	 | Script.Office.Agent.BL	 | 61927ce9a5de42dac772e825bdca6320</f>
        <v/>
      </c>
    </row>
    <row r="1766">
      <c r="A1766">
        <f>=1010294	 | Script.Office.Agent.BM	 | 82271eeb97dff21f98cb81d4b163f6f0</f>
        <v/>
      </c>
    </row>
    <row r="1767">
      <c r="A1767">
        <f>=1010295	 | Script.Office.Agent.BN	 | 130105eca5c616446b060fbb4e02c4a0</f>
        <v/>
      </c>
    </row>
    <row r="1768">
      <c r="A1768">
        <f>=1010296	 | Script.Office.Agent.BO	 | 305014fe5c39230a633b7badbb557860</f>
        <v/>
      </c>
    </row>
    <row r="1769">
      <c r="A1769">
        <f>=1010297	 | Script.Office.Agent.BP	 | 509560dee851b84b7f6045fd7b4a90e0</f>
        <v/>
      </c>
    </row>
    <row r="1770">
      <c r="A1770">
        <f>=1010298	 | Script.Office.Agent.BQ	 | 513379ba16ce3e4e95755dfad1f41630</f>
        <v/>
      </c>
    </row>
    <row r="1771">
      <c r="A1771">
        <f>=1010299	 | Script.Office.Agent.BR	 | 531568d47439ac3aa636786e3b000e50</f>
        <v/>
      </c>
    </row>
    <row r="1772">
      <c r="A1772">
        <f>=101030	 | Worm.Win32.Klez.A	 | </f>
        <v/>
      </c>
    </row>
    <row r="1773">
      <c r="A1773">
        <f>=1010300	 | Script.Office.Agent.BS	 | 554485c964cc890dd84ede789015db40</f>
        <v/>
      </c>
    </row>
    <row r="1774">
      <c r="A1774">
        <f>=1010301	 | Script.Office.Agent.BT	 | 5360094a9bf985f62661f8aa8ef25c20</f>
        <v/>
      </c>
    </row>
    <row r="1775">
      <c r="A1775">
        <f>=1010302	 | Script.Office.Agent.BU	 | 5576647ad332534b5d894e0193f51910</f>
        <v/>
      </c>
    </row>
    <row r="1776">
      <c r="A1776">
        <f>=1010303	 | Script.Office.Agent.BV	 | 6375310b1327f143524c299b78e14170</f>
        <v/>
      </c>
    </row>
    <row r="1777">
      <c r="A1777">
        <f>=1010304	 | Script.Office.Agent.BW	 | 0491199596fec95f256cdf779e7b60e0</f>
        <v/>
      </c>
    </row>
    <row r="1778">
      <c r="A1778">
        <f>=1010305	 | Script.Office.Agent.BX	 | 842457897f2c2280ba306016eda6b0f0</f>
        <v/>
      </c>
    </row>
    <row r="1779">
      <c r="A1779">
        <f>=1010307	 | Script.Office.Agent.CA	 | a4e22e8c826f44bb8d7cab39b3797a30</f>
        <v/>
      </c>
    </row>
    <row r="1780">
      <c r="A1780">
        <f>=1010308	 | Script.Office.Agent.CB	 | a598b9a13b3729960dda34fb7aa144c0</f>
        <v/>
      </c>
    </row>
    <row r="1781">
      <c r="A1781">
        <f>=1010309	 | Script.Office.Agent.CC	 | afc69a9499b07fed25f9718f2b13e540</f>
        <v/>
      </c>
    </row>
    <row r="1782">
      <c r="A1782">
        <f>=101031	 | Ransom.Win32.Gandcrab.E	 | 630a28a26c08effdbb12872015190071</f>
        <v/>
      </c>
    </row>
    <row r="1783">
      <c r="A1783">
        <f>=1010310	 | Script.Office.Agent.CD	 | b7a838b896126583ceb8543eed5e2780</f>
        <v/>
      </c>
    </row>
    <row r="1784">
      <c r="A1784">
        <f>=1010311	 | Script.Office.Agent.CE	 | b9caf93f3aff947d1a8a79bd51ee2630</f>
        <v/>
      </c>
    </row>
    <row r="1785">
      <c r="A1785">
        <f>=1010312	 | Script.Office.Agent.CF	 | b9d5eb5bbcd50c2a68ef1e66094f92d0</f>
        <v/>
      </c>
    </row>
    <row r="1786">
      <c r="A1786">
        <f>=1010313	 | Script.Office.Agent.CG	 | bb59a9213f7288a167292f22655ef4e0</f>
        <v/>
      </c>
    </row>
    <row r="1787">
      <c r="A1787">
        <f>=1010314	 | Script.Office.Agent.CH	 | bb4821f8d213d2fc6efd56071c8abea0</f>
        <v/>
      </c>
    </row>
    <row r="1788">
      <c r="A1788">
        <f>=1010315	 | Script.Office.Agent.CI	 | bc506bd1475b0daf69b09a31d73a4310</f>
        <v/>
      </c>
    </row>
    <row r="1789">
      <c r="A1789">
        <f>=1010316	 | Script.Office.Agent.CJ	 | bcfc69219c706a6ee11d843d5a8a1870</f>
        <v/>
      </c>
    </row>
    <row r="1790">
      <c r="A1790">
        <f>=1010317	 | Script.Office.Agent.CK	 | bde5f3762f0c6d52754cc87edc2594f0</f>
        <v/>
      </c>
    </row>
    <row r="1791">
      <c r="A1791">
        <f>=1010318	 | Script.Office.Agent.CL	 | c1fea3428acd235dc90f58309cfd7050</f>
        <v/>
      </c>
    </row>
    <row r="1792">
      <c r="A1792">
        <f>=1010319	 | Script.Office.Agent.CM	 | c6a25b2fd51ba3a91ab81932c757d9f0</f>
        <v/>
      </c>
    </row>
    <row r="1793">
      <c r="A1793">
        <f>=101032	 | Ransom.Win32.Gandcrab.F	 | </f>
        <v/>
      </c>
    </row>
    <row r="1794">
      <c r="A1794">
        <f>=1010320	 | Script.Office.Agent.CN	 | c51001ee58b01a5d503953bee84dfe70</f>
        <v/>
      </c>
    </row>
    <row r="1795">
      <c r="A1795">
        <f>=1010321	 | Script.Office.Agent.CO	 | cc269f8ed0bd7f59c16078f0aee2aae0</f>
        <v/>
      </c>
    </row>
    <row r="1796">
      <c r="A1796">
        <f>=1010322	 | Script.Office.Agent.CP	 | d02e784ccc669b5d02358b52f378bbd0</f>
        <v/>
      </c>
    </row>
    <row r="1797">
      <c r="A1797">
        <f>=1010323	 | Script.Office.Agent.CQ	 | d2ae89c69758eac396f88b1805134e10</f>
        <v/>
      </c>
    </row>
    <row r="1798">
      <c r="A1798">
        <f>=1010324	 | Script.Office.Agent.CR	 | d03e050348166aa742d1762b779beb50</f>
        <v/>
      </c>
    </row>
    <row r="1799">
      <c r="A1799">
        <f>=1010325	 | Script.Office.Agent.CS	 | d43f0c422e926c9081764f8d128f2020</f>
        <v/>
      </c>
    </row>
    <row r="1800">
      <c r="A1800">
        <f>=1010326	 | Script.Office.Agent.CT	 | dd6cf8ab3b5890240556e439377e66b0</f>
        <v/>
      </c>
    </row>
    <row r="1801">
      <c r="A1801">
        <f>=1010327	 | Script.Office.Agent.CU	 | ddcc1c1004b9fc70c5bff3aee5d8c2c0</f>
        <v/>
      </c>
    </row>
    <row r="1802">
      <c r="A1802">
        <f>=1010328	 | Script.Office.Agent.CV	 | dea13677dab408124ea216aaf5756730</f>
        <v/>
      </c>
    </row>
    <row r="1803">
      <c r="A1803">
        <f>=1010329	 | Script.Office.Agent.CW	 | e9866fafabecf4d671e957e847604bc0</f>
        <v/>
      </c>
    </row>
    <row r="1804">
      <c r="A1804">
        <f>=101033	 | Ransom.Win32.Gandcrab.G	 | </f>
        <v/>
      </c>
    </row>
    <row r="1805">
      <c r="A1805">
        <f>=1010331	 | Script.Office.Agent.CY	 | ed2b0aa602da76e3fd727bc39ea98990</f>
        <v/>
      </c>
    </row>
    <row r="1806">
      <c r="A1806">
        <f>=1010332	 | Script.Office.Agent.DA	 | eff2594549be777c1a3d31c5e138d150</f>
        <v/>
      </c>
    </row>
    <row r="1807">
      <c r="A1807">
        <f>=1010333	 | Script.Office.Agent.DB	 | f001c6b3ea0517adc9444812444b75a0</f>
        <v/>
      </c>
    </row>
    <row r="1808">
      <c r="A1808">
        <f>=1010334	 | Script.Office.Agent.DC	 | f4c852fa86c31d8726e950daa3a84aa0</f>
        <v/>
      </c>
    </row>
    <row r="1809">
      <c r="A1809">
        <f>=1010335	 | Script.Office.Agent.DD	 | f4e978f43571b88aa2ff9078f318eb80</f>
        <v/>
      </c>
    </row>
    <row r="1810">
      <c r="A1810">
        <f>=1010336	 | Script.Office.Agent.DE	 | f91bbc31554364a6c5a4349b6c73a520</f>
        <v/>
      </c>
    </row>
    <row r="1811">
      <c r="A1811">
        <f>=1010337	 | Script.Office.Agent.DF	 | f444b147af72104086935816cc42fba0</f>
        <v/>
      </c>
    </row>
    <row r="1812">
      <c r="A1812">
        <f>=1010338	 | Script.Office.Agent.DG	 | f4472ee930c158be9b8a38f17cb1e470</f>
        <v/>
      </c>
    </row>
    <row r="1813">
      <c r="A1813">
        <f>=1010339	 | Script.Office.Agent.DH	 | f92204f55f34d81a6e2a2b643d80b490</f>
        <v/>
      </c>
    </row>
    <row r="1814">
      <c r="A1814">
        <f>=101034	 | Trojan.Win32.Golf.D	 | 7da827d104fed248acc6194e9c5b5de9</f>
        <v/>
      </c>
    </row>
    <row r="1815">
      <c r="A1815">
        <f>=1010340	 | Script.Office.Agent.DI	 | fa635e9e4121e7d1c386d811e78c5e00</f>
        <v/>
      </c>
    </row>
    <row r="1816">
      <c r="A1816">
        <f>=1010341	 | Script.Office.Agent.DJ	 | fe4703435c3953c8ef2936ee63842e50</f>
        <v/>
      </c>
    </row>
    <row r="1817">
      <c r="A1817">
        <f>=1010342	 | Script.Office.Agent.DK	 | ff246db4e4120f5ca05a8378cf565af0</f>
        <v/>
      </c>
    </row>
    <row r="1818">
      <c r="A1818">
        <f>=1010343	 | Script.Office.Agent.DL	 | ffbdc3188cf2778f238fd561aee2c8d0</f>
        <v/>
      </c>
    </row>
    <row r="1819">
      <c r="A1819">
        <f>=1010348	 | Macro.Office.Downloader.FJ	 | 02c7f503865be012238638a04932b18b</f>
        <v/>
      </c>
    </row>
    <row r="1820">
      <c r="A1820">
        <f>=1010349	 | Macro.Office.Generic.DF	 | f8d58c46dfaa2103615b86f1a271f400</f>
        <v/>
      </c>
    </row>
    <row r="1821">
      <c r="A1821">
        <f>=101036	 | Adware.Win32.Downloadguide.E	 | e03abdac676bfd562426447435466124</f>
        <v/>
      </c>
    </row>
    <row r="1822">
      <c r="A1822">
        <f>=1010361	 | Macro.Office.Downloader.FK	 | b47aee0152ff92eb1227f7f562a8f0a3</f>
        <v/>
      </c>
    </row>
    <row r="1823">
      <c r="A1823">
        <f>=1010362	 | Macro.Office.Downloader.FL	 | c9ba267baaea470db928a62778b29db8</f>
        <v/>
      </c>
    </row>
    <row r="1824">
      <c r="A1824">
        <f>=1010363	 | Macro.Office.Downloader.FM	 | 62b282a075fbae65edc408524db7659a</f>
        <v/>
      </c>
    </row>
    <row r="1825">
      <c r="A1825">
        <f>=1010364	 | Macro.Office.Downloader.FN	 | bab5dedf13dfd64771382f66181e8766</f>
        <v/>
      </c>
    </row>
    <row r="1826">
      <c r="A1826">
        <f>=1010365	 | Macro.Office.Agent.GV	 | 8336e1904c693a546f4b7903e08e492a</f>
        <v/>
      </c>
    </row>
    <row r="1827">
      <c r="A1827">
        <f>=1010366	 | Macro.Office.Downloader.FO	 | 64148677d2bb09ef112df82d40ded4f9</f>
        <v/>
      </c>
    </row>
    <row r="1828">
      <c r="A1828">
        <f>=1010367	 | Macro.Office.Downloader.FP	 | 08ab822ee689b83edb7d734e9eee7632</f>
        <v/>
      </c>
    </row>
    <row r="1829">
      <c r="A1829">
        <f>=1010368	 | Macro.Office.Downloader.FQ	 | 08ab822ee689b83edb7d734e9eee7632</f>
        <v/>
      </c>
    </row>
    <row r="1830">
      <c r="A1830">
        <f>=101037	 | Trojan.Win32.Sventore.G	 | </f>
        <v/>
      </c>
    </row>
    <row r="1831">
      <c r="A1831">
        <f>=1010373	 | Macro.Office.Downloader.FR	 | 50367b81a60ad6a29f6b115b9eb72130</f>
        <v/>
      </c>
    </row>
    <row r="1832">
      <c r="A1832">
        <f>=1010374	 | Macro.Office.Downloader.FS	 | af2363dbe821e5504bbfef9848eaee22</f>
        <v/>
      </c>
    </row>
    <row r="1833">
      <c r="A1833">
        <f>=1010375	 | Macro.Office.Downloader.FT	 | deaf0b354f9532203c5104e828c1ec1a</f>
        <v/>
      </c>
    </row>
    <row r="1834">
      <c r="A1834">
        <f>=1010378	 | Macro.Office.Downloader.FU	 | e853eb45e6e8ba9d747a19a0d1d4d491</f>
        <v/>
      </c>
    </row>
    <row r="1835">
      <c r="A1835">
        <f>=1010379	 | Macro.Office.Downloader.FV	 | 7f51a01ebcb62927bbcacc82ab89a28f</f>
        <v/>
      </c>
    </row>
    <row r="1836">
      <c r="A1836">
        <f>=101038	 | Trojan.Win32.Golf.C	 | 2d5000624f00a9c064f59f8bd155ac0b</f>
        <v/>
      </c>
    </row>
    <row r="1837">
      <c r="A1837">
        <f>=1010380	 | Macro.Office.Downloader.FW	 | 826c1a3a672fef18f6373e73e32b72c5</f>
        <v/>
      </c>
    </row>
    <row r="1838">
      <c r="A1838">
        <f>=1010381	 | Macro.Office.Downloader.FX	 | b84317423978af5ee5fea2e78c2c37f3</f>
        <v/>
      </c>
    </row>
    <row r="1839">
      <c r="A1839">
        <f>=1010383	 | Macro.Office.Generic.DG	 | 05c163f15f3d9683b308cf538abeebea</f>
        <v/>
      </c>
    </row>
    <row r="1840">
      <c r="A1840">
        <f>=1010385	 | Macro.Office.Downloader.FY	 | 05c163f15f3d9683b308cf538abeebea</f>
        <v/>
      </c>
    </row>
    <row r="1841">
      <c r="A1841">
        <f>=101039	 | Trojan.Win32.Sventore.E	 | </f>
        <v/>
      </c>
    </row>
    <row r="1842">
      <c r="A1842">
        <f>=1010394	 | Macro.Office.Downloader.GA	 | 358d7bcf60ee9236ee1b2782792e1c02</f>
        <v/>
      </c>
    </row>
    <row r="1843">
      <c r="A1843">
        <f>=1010395	 | Macro.Office.Downloader.GB	 | 2eb212b57e32938f2680beb3d9ba0a87</f>
        <v/>
      </c>
    </row>
    <row r="1844">
      <c r="A1844">
        <f>=1010396	 | Macro.Office.Downloader.GC	 | 3f2a7b6ae609b5ce5acff6f21c85af29</f>
        <v/>
      </c>
    </row>
    <row r="1845">
      <c r="A1845">
        <f>=1010397	 | Macro.Office.Downloader.GD	 | 4310ece19953d97fece2e41482503fca</f>
        <v/>
      </c>
    </row>
    <row r="1846">
      <c r="A1846">
        <f>=1010399	 | Macro.Office.Downloader.GE	 | 1f47acec6f285e07e3dc600f5732e327</f>
        <v/>
      </c>
    </row>
    <row r="1847">
      <c r="A1847">
        <f>=101040	 | Trojan.Win32.Sventore.D	 | f73231d3b0a7327e1cde2cfdbe01c341</f>
        <v/>
      </c>
    </row>
    <row r="1848">
      <c r="A1848">
        <f>=1010400	 | Macro.Office.Generic.DH	 | 1f47acec6f285e07e3dc600f5732e327</f>
        <v/>
      </c>
    </row>
    <row r="1849">
      <c r="A1849">
        <f>=1010401	 | Macro.Office.Generic.DI	 | 04dd1c454631c7b5033159b79bdbc3fb</f>
        <v/>
      </c>
    </row>
    <row r="1850">
      <c r="A1850">
        <f>=1010405	 | Script.Office.Agent.DM	 | 0ba4088928dad0402c1704fcd0a2b240</f>
        <v/>
      </c>
    </row>
    <row r="1851">
      <c r="A1851">
        <f>=1010406	 | Script.Office.Agent.DN	 | 1d6f0e7e30c1d9e3f64b0d36e602da50</f>
        <v/>
      </c>
    </row>
    <row r="1852">
      <c r="A1852">
        <f>=1010407	 | Script.Office.Agent.DO	 | 1f92a0fdff816c1f66ce065096eb9970</f>
        <v/>
      </c>
    </row>
    <row r="1853">
      <c r="A1853">
        <f>=1010408	 | Script.Office.Agent.DP	 | 2bff094fd26e973223f0351a24e13870</f>
        <v/>
      </c>
    </row>
    <row r="1854">
      <c r="A1854">
        <f>=1010409	 | Script.Office.Agent.DQ	 | 2c92a877b6c3180df36195533e035b50</f>
        <v/>
      </c>
    </row>
    <row r="1855">
      <c r="A1855">
        <f>=101041	 | Trojan.Win32.Sventore.H	 | 7e53f433915b5af69232201dd4be7af6</f>
        <v/>
      </c>
    </row>
    <row r="1856">
      <c r="A1856">
        <f>=1010410	 | Script.Office.Agent.DR	 | 2fdd52e1a9c82f19a81bca6a91b0b800</f>
        <v/>
      </c>
    </row>
    <row r="1857">
      <c r="A1857">
        <f>=1010411	 | Script.Office.Agent.DS	 | 3afaef9c60f1b5337f9e6831658c6210</f>
        <v/>
      </c>
    </row>
    <row r="1858">
      <c r="A1858">
        <f>=1010412	 | Script.Office.Agent.DT	 | 3df6469a6515f1b92083757312194b20</f>
        <v/>
      </c>
    </row>
    <row r="1859">
      <c r="A1859">
        <f>=1010413	 | Script.Office.Agent.DU	 | 3fa8d618815dcb0922a190c728ae9610</f>
        <v/>
      </c>
    </row>
    <row r="1860">
      <c r="A1860">
        <f>=1010414	 | Script.Office.Agent.DV	 | 4af8453654b23ed06014c3f84abfdf90</f>
        <v/>
      </c>
    </row>
    <row r="1861">
      <c r="A1861">
        <f>=1010415	 | Script.Office.Agent.DW	 | 4d19f32aa6f8e9c947410943eccd7ea0</f>
        <v/>
      </c>
    </row>
    <row r="1862">
      <c r="A1862">
        <f>=1010416	 | Script.Office.Agent.DX	 | 5afbeab426b2c7224e11e4d6ae8a8e30</f>
        <v/>
      </c>
    </row>
    <row r="1863">
      <c r="A1863">
        <f>=1010417	 | Script.Office.Agent.DY	 | 5b9505e024c32360ec166a08a5646e50</f>
        <v/>
      </c>
    </row>
    <row r="1864">
      <c r="A1864">
        <f>=1010418	 | Script.Office.Agent.EA	 | 5b8350941fa59fe6a07ce55df1063f30</f>
        <v/>
      </c>
    </row>
    <row r="1865">
      <c r="A1865">
        <f>=1010419	 | Script.Office.Agent.EB	 | 6adb3fe7a04b226545c483ade4c0e720</f>
        <v/>
      </c>
    </row>
    <row r="1866">
      <c r="A1866">
        <f>=101042	 | Trojan.Win32.Sventore.C	 | a392981c969f30615c1bf41f93cb09f0</f>
        <v/>
      </c>
    </row>
    <row r="1867">
      <c r="A1867">
        <f>=1010420	 | Script.Office.Agent.EC	 | 7c66f621441f230a649f002d4526ec50</f>
        <v/>
      </c>
    </row>
    <row r="1868">
      <c r="A1868">
        <f>=1010421	 | Script.Office.Agent.ED	 | 7c667d0ca5879c12efd2839e373f50b0</f>
        <v/>
      </c>
    </row>
    <row r="1869">
      <c r="A1869">
        <f>=1010422	 | Script.Office.Agent.EE	 | 7fa806b02620d6e75362092f7b0a5bc0</f>
        <v/>
      </c>
    </row>
    <row r="1870">
      <c r="A1870">
        <f>=1010423	 | Script.Office.Agent.EF	 | 8a8a455b31d6b753f2369b50bbba0fb0</f>
        <v/>
      </c>
    </row>
    <row r="1871">
      <c r="A1871">
        <f>=1010424	 | Script.Office.Agent.EG	 | 8adde913a74a7961b5b525332aa582d0</f>
        <v/>
      </c>
    </row>
    <row r="1872">
      <c r="A1872">
        <f>=1010425	 | Script.Office.Agent.EH	 | 8d96958f339b56ac4183de228e065af0</f>
        <v/>
      </c>
    </row>
    <row r="1873">
      <c r="A1873">
        <f>=1010426	 | Script.Office.Agent.EI	 | 8fb364987bbf1330fd69ff9affcf9c30</f>
        <v/>
      </c>
    </row>
    <row r="1874">
      <c r="A1874">
        <f>=1010427	 | Script.Office.Agent.EJ	 | 9cf7f707e810cad35b59e887c66d4500</f>
        <v/>
      </c>
    </row>
    <row r="1875">
      <c r="A1875">
        <f>=1010428	 | Script.Office.Agent.EK	 | 10b7a5c4cdf44eabbc84edce82a48d70</f>
        <v/>
      </c>
    </row>
    <row r="1876">
      <c r="A1876">
        <f>=1010429	 | Script.Office.Agent.EL	 | 13c3de244a7863f8178eaf37a81e9f40</f>
        <v/>
      </c>
    </row>
    <row r="1877">
      <c r="A1877">
        <f>=101043	 | Trojan.Win32.Golf.B	 | 0e9ddbecddfda5b6e76cb9b6d1dca7a4</f>
        <v/>
      </c>
    </row>
    <row r="1878">
      <c r="A1878">
        <f>=1010430	 | Script.Office.Agent.EM	 | 13f6b1897ea0f05d23cf1a1837b81890</f>
        <v/>
      </c>
    </row>
    <row r="1879">
      <c r="A1879">
        <f>=1010431	 | Script.Office.Agent.EN	 | 0015ae8cb76e37fc18bc612c710c79c3</f>
        <v/>
      </c>
    </row>
    <row r="1880">
      <c r="A1880">
        <f>=1010432	 | Script.Office.Agent.EO	 | 15e821459660dc79d18fd9e105692ec0</f>
        <v/>
      </c>
    </row>
    <row r="1881">
      <c r="A1881">
        <f>=1010433	 | Script.Office.Agent.EP	 | 22c53376c5881eda9193091877bef3c0</f>
        <v/>
      </c>
    </row>
    <row r="1882">
      <c r="A1882">
        <f>=1010434	 | Script.Office.Agent.EQ	 | 23bf810cc15771973b506ec3bc287710</f>
        <v/>
      </c>
    </row>
    <row r="1883">
      <c r="A1883">
        <f>=1010435	 | Script.Office.Agent.ER	 | 28e5e06ed4a6211971877012eafee830</f>
        <v/>
      </c>
    </row>
    <row r="1884">
      <c r="A1884">
        <f>=1010436	 | Script.Office.Agent.ES	 | 32da9eb8343ceb2b736297b2ad39a070</f>
        <v/>
      </c>
    </row>
    <row r="1885">
      <c r="A1885">
        <f>=1010437	 | Script.Office.Agent.ET	 | 33e2df7dfd910ebcbe4b35bdb29c66a0</f>
        <v/>
      </c>
    </row>
    <row r="1886">
      <c r="A1886">
        <f>=1010438	 | Script.Office.Agent.EU	 | 36c3fae2119142091d9d9a22fabf8770</f>
        <v/>
      </c>
    </row>
    <row r="1887">
      <c r="A1887">
        <f>=1010439	 | Script.Office.Agent.EV	 | 41d007e8dcb31aaa5ac687871717c7c0</f>
        <v/>
      </c>
    </row>
    <row r="1888">
      <c r="A1888">
        <f>=101044	 | Trojan.Win32.Sventore.I	 | 5aa075a8baa0f1e3301310960399aa9a</f>
        <v/>
      </c>
    </row>
    <row r="1889">
      <c r="A1889">
        <f>=1010440	 | Script.Office.Agent.EW	 | 42a97ec498e6bba10e9809dd738a9460</f>
        <v/>
      </c>
    </row>
    <row r="1890">
      <c r="A1890">
        <f>=1010441	 | Script.Office.Agent.EX	 | 42f92f520faaeb0ddebd1fdddd949ac0</f>
        <v/>
      </c>
    </row>
    <row r="1891">
      <c r="A1891">
        <f>=1010442	 | Script.Office.Agent.EY	 | 42f191c7384d4e73ba2f4bfd48688e20</f>
        <v/>
      </c>
    </row>
    <row r="1892">
      <c r="A1892">
        <f>=1010443	 | Script.Office.Agent.FA	 | 45eaf1bbb6abce5ae07cdffcee7052d0</f>
        <v/>
      </c>
    </row>
    <row r="1893">
      <c r="A1893">
        <f>=1010444	 | Script.Office.Agent.FB	 | 49e102db50744e57a9e0c3b0b7499750</f>
        <v/>
      </c>
    </row>
    <row r="1894">
      <c r="A1894">
        <f>=1010445	 | Script.Office.Agent.FC	 | 53c1cda1919ee720946b1600779b0080</f>
        <v/>
      </c>
    </row>
    <row r="1895">
      <c r="A1895">
        <f>=1010446	 | Script.Office.Agent.FD	 | 64b42cdbb2593c09369db454beeae140</f>
        <v/>
      </c>
    </row>
    <row r="1896">
      <c r="A1896">
        <f>=1010447	 | Script.Office.Agent.FE	 | 70d9a81b8a9031682f555e2fe64d2a80</f>
        <v/>
      </c>
    </row>
    <row r="1897">
      <c r="A1897">
        <f>=1010448	 | Script.Office.Agent.FF	 | 82db6c6a8f5a06f9748bed7ed2c389a0</f>
        <v/>
      </c>
    </row>
    <row r="1898">
      <c r="A1898">
        <f>=1010449	 | Script.Office.Agent.FG	 | 83e139bb86449b3075f1f22ad7c10d90</f>
        <v/>
      </c>
    </row>
    <row r="1899">
      <c r="A1899">
        <f>=101045	 | Trojan.Win32.Malex.H	 | 4d30f90e623bb1d75aec0718859643d0</f>
        <v/>
      </c>
    </row>
    <row r="1900">
      <c r="A1900">
        <f>=1010450	 | Script.Office.Agent.FH	 | 00111d1754775ffd69a9f6a43cb4d337</f>
        <v/>
      </c>
    </row>
    <row r="1901">
      <c r="A1901">
        <f>=1010451	 | Script.Office.Agent.FI	 | 349d7192fe3ea18441d9fee8d80614c0</f>
        <v/>
      </c>
    </row>
    <row r="1902">
      <c r="A1902">
        <f>=1010452	 | Script.Office.Agent.FJ	 | 381e2ffa224fec40d1faacc951260700</f>
        <v/>
      </c>
    </row>
    <row r="1903">
      <c r="A1903">
        <f>=1010453	 | Script.Office.Agent.FK	 | 675ca8e9d49a89153fec5c9452e503c0</f>
        <v/>
      </c>
    </row>
    <row r="1904">
      <c r="A1904">
        <f>=1010454	 | Script.Office.Agent.FL	 | 000961b43295e8c9f80c491df92742d1</f>
        <v/>
      </c>
    </row>
    <row r="1905">
      <c r="A1905">
        <f>=1010455	 | Script.Office.Agent.FM	 | 4788c7e30894ef73858ad7afd22b4aa0</f>
        <v/>
      </c>
    </row>
    <row r="1906">
      <c r="A1906">
        <f>=1010456	 | Script.Office.Agent.FN	 | 6791e0885eaed5b7221becd2911e4940</f>
        <v/>
      </c>
    </row>
    <row r="1907">
      <c r="A1907">
        <f>=1010457	 | Script.Office.Agent.FO	 | 8283a21fe850ae476b88cfe54bc95130</f>
        <v/>
      </c>
    </row>
    <row r="1908">
      <c r="A1908">
        <f>=1010458	 | Script.Office.Agent.FP	 | 70028a9a468b357ccc488397f21c7ee0</f>
        <v/>
      </c>
    </row>
    <row r="1909">
      <c r="A1909">
        <f>=1010459	 | Script.Office.Agent.FQ	 | 402114c5b4cf2a1a3006022d9879ac60</f>
        <v/>
      </c>
    </row>
    <row r="1910">
      <c r="A1910">
        <f>=101046	 | Adware.Win32.Trickler.B	 | 03f1968a70f162b9068e044f9e1f2ee4</f>
        <v/>
      </c>
    </row>
    <row r="1911">
      <c r="A1911">
        <f>=1010460	 | Script.Office.Agent.FR	 | 505698b0f529be6979d59a73cc8ced10</f>
        <v/>
      </c>
    </row>
    <row r="1912">
      <c r="A1912">
        <f>=1010461	 | Script.Office.Agent.FS	 | 856869ab4bc50aad80dce9dc0ef8dc10</f>
        <v/>
      </c>
    </row>
    <row r="1913">
      <c r="A1913">
        <f>=1010462	 | Script.Office.Agent.FT	 | 0917599f8107869aef40e53a33e03ae0</f>
        <v/>
      </c>
    </row>
    <row r="1914">
      <c r="A1914">
        <f>=1010463	 | Script.Office.Agent.FU	 | 967731dd920112d4effd08c3a0039450</f>
        <v/>
      </c>
    </row>
    <row r="1915">
      <c r="A1915">
        <f>=1010464	 | Script.Office.Agent.FV	 | 4269955bdfda42ffdccadaf100e9f590</f>
        <v/>
      </c>
    </row>
    <row r="1916">
      <c r="A1916">
        <f>=1010465	 | Script.Office.Agent.FW	 | 8475343e8a619a4fa47676f8face3ce0</f>
        <v/>
      </c>
    </row>
    <row r="1917">
      <c r="A1917">
        <f>=1010466	 | Script.Office.Agent.FX	 | 762289278ffc3d31f42329d651c886f0</f>
        <v/>
      </c>
    </row>
    <row r="1918">
      <c r="A1918">
        <f>=1010467	 | Script.Office.Agent.FY	 | 9875361979f2d01f27b254d4bfa5e2b0</f>
        <v/>
      </c>
    </row>
    <row r="1919">
      <c r="A1919">
        <f>=1010468	 | Script.Office.Agent.GA	 | 38671161098351de07eb6d338055dea0</f>
        <v/>
      </c>
    </row>
    <row r="1920">
      <c r="A1920">
        <f>=1010469	 | Script.Office.Agent.GB	 | a80f74bf5cc6f4a7ee41873ce4aee030</f>
        <v/>
      </c>
    </row>
    <row r="1921">
      <c r="A1921">
        <f>=101047	 | Trojan.Win32.Malex.G	 | 20cd95ebf982e3bc31dd416ec26d2e3f</f>
        <v/>
      </c>
    </row>
    <row r="1922">
      <c r="A1922">
        <f>=1010470	 | Script.Office.Agent.GC	 | ab0fa28c24add20ecae88ed05e0fb620</f>
        <v/>
      </c>
    </row>
    <row r="1923">
      <c r="A1923">
        <f>=1010471	 | Script.Office.Agent.GD	 | ab67a51e36d4d5873cceed95ef9a0320</f>
        <v/>
      </c>
    </row>
    <row r="1924">
      <c r="A1924">
        <f>=1010472	 | Script.Office.Agent.GE	 | ab689c62a3b87b5e11f4e624ce1b98e0</f>
        <v/>
      </c>
    </row>
    <row r="1925">
      <c r="A1925">
        <f>=1010473	 | Script.Office.Agent.GF	 | acb04e6112fa823f78f7bc21fb0ea980</f>
        <v/>
      </c>
    </row>
    <row r="1926">
      <c r="A1926">
        <f>=1010474	 | Script.Office.Agent.GG	 | af8cfd6f701002ceb75726d52cf85ef0</f>
        <v/>
      </c>
    </row>
    <row r="1927">
      <c r="A1927">
        <f>=1010475	 | Script.Office.Agent.GH	 | b2c98d26af067dfd1fe5641e37b95a70</f>
        <v/>
      </c>
    </row>
    <row r="1928">
      <c r="A1928">
        <f>=1010476	 | Script.Office.Agent.GI	 | b4d8ba1a28cbdf7ea4362ebea4dc0910</f>
        <v/>
      </c>
    </row>
    <row r="1929">
      <c r="A1929">
        <f>=1010477	 | Script.Office.Agent.GJ	 | b5aa893d22e283ef698b03469174ae20</f>
        <v/>
      </c>
    </row>
    <row r="1930">
      <c r="A1930">
        <f>=1010478	 | Script.Office.Agent.GK	 | b95e7cc5f38c20e6a531da9472f91770</f>
        <v/>
      </c>
    </row>
    <row r="1931">
      <c r="A1931">
        <f>=1010479	 | Script.Office.Agent.GL	 | b3327c5448b197dd2e5bcde64092c740</f>
        <v/>
      </c>
    </row>
    <row r="1932">
      <c r="A1932">
        <f>=101048	 | Trojan.Win32.Vflooder.B	 | </f>
        <v/>
      </c>
    </row>
    <row r="1933">
      <c r="A1933">
        <f>=1010480	 | Script.Office.Agent.GM	 | b78115a9a529a0c38e38c8b086b02f00</f>
        <v/>
      </c>
    </row>
    <row r="1934">
      <c r="A1934">
        <f>=1010481	 | Script.Office.Agent.GN	 | b634280cdc63275852d47e7db4b1f370</f>
        <v/>
      </c>
    </row>
    <row r="1935">
      <c r="A1935">
        <f>=1010482	 | Script.Office.Agent.GO	 | b05906592263f8c66970b14e86b7aa80</f>
        <v/>
      </c>
    </row>
    <row r="1936">
      <c r="A1936">
        <f>=1010483	 | Script.Office.Agent.GP	 | bf299ae1cdebbfc8a624a44a1b24ccd0</f>
        <v/>
      </c>
    </row>
    <row r="1937">
      <c r="A1937">
        <f>=1010484	 | Script.Office.Agent.GQ	 | c0a9b500e74dd195751322943346b1c0</f>
        <v/>
      </c>
    </row>
    <row r="1938">
      <c r="A1938">
        <f>=1010485	 | Script.Office.Agent.GR	 | c7dcaffbd5d4c9b95f887591ffa74cc0</f>
        <v/>
      </c>
    </row>
    <row r="1939">
      <c r="A1939">
        <f>=1010486	 | Script.Office.Agent.GS	 | c9cdb1da1d6b73b1550bfdc624447150</f>
        <v/>
      </c>
    </row>
    <row r="1940">
      <c r="A1940">
        <f>=1010487	 | Script.Office.Agent.GT	 | c33d52da0a9abb61beae1bc0951e6d70</f>
        <v/>
      </c>
    </row>
    <row r="1941">
      <c r="A1941">
        <f>=1010488	 | Script.Office.Agent.GU	 | c508c8491a0e14c8401928eb2d6fd600</f>
        <v/>
      </c>
    </row>
    <row r="1942">
      <c r="A1942">
        <f>=1010489	 | Script.Office.Agent.GV	 | cac923a4e2c77e4ec19cce95b5121c90</f>
        <v/>
      </c>
    </row>
    <row r="1943">
      <c r="A1943">
        <f>=1010490	 | Script.Office.Agent.GW	 | cbb9b43c201c84b0d74a124e190d3bb0</f>
        <v/>
      </c>
    </row>
    <row r="1944">
      <c r="A1944">
        <f>=1010491	 | Script.Office.Agent.GX	 | cf462f5941b69ec0b856b7ec3ab12a50</f>
        <v/>
      </c>
    </row>
    <row r="1945">
      <c r="A1945">
        <f>=1010492	 | Script.Office.Agent.GY	 | d4be3cc7acf9493827e337e4d930f620</f>
        <v/>
      </c>
    </row>
    <row r="1946">
      <c r="A1946">
        <f>=1010493	 | Script.Office.Agent.HA	 | d5ad5df5ff17cd905da376e3b108a4e0</f>
        <v/>
      </c>
    </row>
    <row r="1947">
      <c r="A1947">
        <f>=1010494	 | Script.Office.Agent.HB	 | d6ba02325364645c771421799b6be2f0</f>
        <v/>
      </c>
    </row>
    <row r="1948">
      <c r="A1948">
        <f>=1010495	 | Script.Office.Agent.HC	 | d7d0e73029f8f8d9b6886f6f6e603dd0</f>
        <v/>
      </c>
    </row>
    <row r="1949">
      <c r="A1949">
        <f>=1010496	 | Script.Office.Agent.HD	 | d57fc08ccc21052f77d9ff3106e6e480</f>
        <v/>
      </c>
    </row>
    <row r="1950">
      <c r="A1950">
        <f>=1010497	 | Script.Office.Agent.HE	 | da260f0bf45e96dd2993a46e819d4a60</f>
        <v/>
      </c>
    </row>
    <row r="1951">
      <c r="A1951">
        <f>=1010498	 | Script.Office.Agent.HF	 | da729f6babb893f0555d5d7150f96470</f>
        <v/>
      </c>
    </row>
    <row r="1952">
      <c r="A1952">
        <f>=1010499	 | Script.Office.Agent.HG	 | de78d762934894d5e15dec97d2daeda0</f>
        <v/>
      </c>
    </row>
    <row r="1953">
      <c r="A1953">
        <f>=101050	 | Trojan.Win32.Gepys.G	 | 0174540e90f7a391ad02d38c2e0f5f66</f>
        <v/>
      </c>
    </row>
    <row r="1954">
      <c r="A1954">
        <f>=1010500	 | Script.Office.Agent.HH	 | df6f446a9151e557069b6da53694b0f0</f>
        <v/>
      </c>
    </row>
    <row r="1955">
      <c r="A1955">
        <f>=1010501	 | Script.Office.Agent.HI	 | df42c5a67f13ea495405583ba5fdd840</f>
        <v/>
      </c>
    </row>
    <row r="1956">
      <c r="A1956">
        <f>=1010502	 | Script.Office.Agent.HJ	 | dfbfde3bc3b6bac987c7a4f90f7a68b0</f>
        <v/>
      </c>
    </row>
    <row r="1957">
      <c r="A1957">
        <f>=1010503	 | Script.Office.Agent.HK	 | e0b2c777eefc5c50a4ccda5888b658a0</f>
        <v/>
      </c>
    </row>
    <row r="1958">
      <c r="A1958">
        <f>=1010504	 | Script.Office.Agent.HL	 | e4cef2b2da643510452e02abb5257120</f>
        <v/>
      </c>
    </row>
    <row r="1959">
      <c r="A1959">
        <f>=1010505	 | Script.Office.Agent.HM	 | e27f00beaa69bdce9f99d0329643f650</f>
        <v/>
      </c>
    </row>
    <row r="1960">
      <c r="A1960">
        <f>=1010506	 | Script.Office.Agent.HN	 | e138a900f69e28b75b2fe100ca4c8bd0</f>
        <v/>
      </c>
    </row>
    <row r="1961">
      <c r="A1961">
        <f>=1010507	 | Script.Office.Agent.HO	 | e273d20969983ab8584716f495c29300</f>
        <v/>
      </c>
    </row>
    <row r="1962">
      <c r="A1962">
        <f>=1010508	 | Script.Office.Agent.HP	 | eb3e5cafaf78a9d483970c761f78a4b0</f>
        <v/>
      </c>
    </row>
    <row r="1963">
      <c r="A1963">
        <f>=1010509	 | Script.Office.Agent.HQ	 | eb4debcc0a2c594ab21c7ba80c721b00</f>
        <v/>
      </c>
    </row>
    <row r="1964">
      <c r="A1964">
        <f>=101051	 | Adware.Win32.Downloadguide.C	 | </f>
        <v/>
      </c>
    </row>
    <row r="1965">
      <c r="A1965">
        <f>=1010510	 | Script.Office.Agent.HR	 | ece723ed68ccae7b3af7dd9fa7094f80</f>
        <v/>
      </c>
    </row>
    <row r="1966">
      <c r="A1966">
        <f>=1010511	 | Script.Office.Agent.HS	 | f6c8b6025a37393cf3773c4ac20f9b10</f>
        <v/>
      </c>
    </row>
    <row r="1967">
      <c r="A1967">
        <f>=1010512	 | Script.Office.Agent.HT	 | f595e9af752c4d526c263459a1489d10</f>
        <v/>
      </c>
    </row>
    <row r="1968">
      <c r="A1968">
        <f>=1010513	 | Script.Office.Agent.HU	 | fe9e48232c0835f32ebb67b69402d7d0</f>
        <v/>
      </c>
    </row>
    <row r="1969">
      <c r="A1969">
        <f>=1010514	 | Macro.Office.Generic.DK	 | 2cb920eb9086041d4c68f99253140b24</f>
        <v/>
      </c>
    </row>
    <row r="1970">
      <c r="A1970">
        <f>=101052	 | Trojan.Win32.Adposhel.D	 | 7f5c64d0322e3c012988dbd28f6f32d4</f>
        <v/>
      </c>
    </row>
    <row r="1971">
      <c r="A1971">
        <f>=101053	 | Adware.Win32.Pirrit.A	 | 3e496d4bea22056488d18385b52a1869</f>
        <v/>
      </c>
    </row>
    <row r="1972">
      <c r="A1972">
        <f>=101054	 | Trojan.Win32.Sventore.B	 | 0e3de02a62b867ef6c183f708ee6c65e</f>
        <v/>
      </c>
    </row>
    <row r="1973">
      <c r="A1973">
        <f>=101055	 | Ransom.Win32.Gandcrab.L	 | 59059b70459fcc113a9761b9372b85a2</f>
        <v/>
      </c>
    </row>
    <row r="1974">
      <c r="A1974">
        <f>=101056	 | Ransom.Win32.Gandcrab.K	 | 22475d1c284102d857858d91077aed85</f>
        <v/>
      </c>
    </row>
    <row r="1975">
      <c r="A1975">
        <f>=101057	 | Ransom.Win32.Gandcrab.H	 | </f>
        <v/>
      </c>
    </row>
    <row r="1976">
      <c r="A1976">
        <f>=101058	 | Trojan.Win32.Sventore.A	 | 610af33268bb5efd57880fd3401254c6</f>
        <v/>
      </c>
    </row>
    <row r="1977">
      <c r="A1977">
        <f>=101059	 | Ransom.Win32.Gandcrab.J	 | b16f4a4c72d1f3e7f9e96e83e0747124</f>
        <v/>
      </c>
    </row>
    <row r="1978">
      <c r="A1978">
        <f>=101060	 | Ransom.Win32.Gandcrab.I	 | c6e10c2c161757fb7c0fa8a5553ab361</f>
        <v/>
      </c>
    </row>
    <row r="1979">
      <c r="A1979">
        <f>=101061	 | Trojan.Win32.Golf.A	 | 6ee37cc37907cbf90e8665bfd6ec7110</f>
        <v/>
      </c>
    </row>
    <row r="1980">
      <c r="A1980">
        <f>=101062	 | Ransom.Win32.Gandcrab.M	 | 0a27422a5577b0fe636881efc41cc78e</f>
        <v/>
      </c>
    </row>
    <row r="1981">
      <c r="A1981">
        <f>=101063	 | Ransom.Win32.Gandcrab.N	 | de4078d7fe1a817214d3983f09f6f0fd</f>
        <v/>
      </c>
    </row>
    <row r="1982">
      <c r="A1982">
        <f>=1010631	 | Script.Office.Agent.HV	 | eb49ee744d8a05c877681c68da251720</f>
        <v/>
      </c>
    </row>
    <row r="1983">
      <c r="A1983">
        <f>=1010632	 | Script.Office.Agent.HW	 | 415fa56a01def76ed2d032464f19af70</f>
        <v/>
      </c>
    </row>
    <row r="1984">
      <c r="A1984">
        <f>=1010633	 | Script.Office.Agent.HX	 | 1219328726c34253df54bec47f6fb7d0</f>
        <v/>
      </c>
    </row>
    <row r="1985">
      <c r="A1985">
        <f>=1010639	 | Macro.Office.Netsnak.B	 | 003f61a3d050c6fe8160b6a61cbfdab7</f>
        <v/>
      </c>
    </row>
    <row r="1986">
      <c r="A1986">
        <f>=101064	 | Ransom.Win32.Gandcrab.O	 | 11dda9b1c243511584692dd583271a7a</f>
        <v/>
      </c>
    </row>
    <row r="1987">
      <c r="A1987">
        <f>=1010640	 | Macro.Office.Downloader.GG	 | 0f348bc4e9fcd1b0b9c01d7440f7bc10</f>
        <v/>
      </c>
    </row>
    <row r="1988">
      <c r="A1988">
        <f>=101065	 | Ransom.Win32.Gandcrab.P	 | b45f18e21aee615b71be9162e91b70cf</f>
        <v/>
      </c>
    </row>
    <row r="1989">
      <c r="A1989">
        <f>=1010657	 | Macro.Office.Laroux.N	 | 516d44f8d1ed26ceb3bc3276accb73f6</f>
        <v/>
      </c>
    </row>
    <row r="1990">
      <c r="A1990">
        <f>=101066	 | Hackertool.Win32.Coininer.A	 | 59b662c1420bcd54299c45cc83f4ce18</f>
        <v/>
      </c>
    </row>
    <row r="1991">
      <c r="A1991">
        <f>=1010660	 | Macro.Office.King.A	 | 0ab64131b24323d86f02009cd363c979</f>
        <v/>
      </c>
    </row>
    <row r="1992">
      <c r="A1992">
        <f>=101067	 | Trojan.Win32.Malex.D	 | 252d8dd41b668153542086d3baa43094</f>
        <v/>
      </c>
    </row>
    <row r="1993">
      <c r="A1993">
        <f>=101068	 | Trojan.Win32.Dialsnif.A	 | 66055d662458f675f8f5a070ba1c245c</f>
        <v/>
      </c>
    </row>
    <row r="1994">
      <c r="A1994">
        <f>=101069	 | Trojan.Win32.Adposhel.A	 | </f>
        <v/>
      </c>
    </row>
    <row r="1995">
      <c r="A1995">
        <f>=101070	 | Trojan.Win32.Adposhel.E	 | </f>
        <v/>
      </c>
    </row>
    <row r="1996">
      <c r="A1996">
        <f>=101071	 | Trojan.Win32.Startpage.E	 | 9794bed8a394b5e9f2d714abf73f246a</f>
        <v/>
      </c>
    </row>
    <row r="1997">
      <c r="A1997">
        <f>=101072	 | Trojan.Win32.Startpage.D	 | d816e9ca28de6a871ef876c92019223b</f>
        <v/>
      </c>
    </row>
    <row r="1998">
      <c r="A1998">
        <f>=101073	 | Trojan.Win32.Startpage.C	 | 0598cb8441389f13136812b0a2ca3687</f>
        <v/>
      </c>
    </row>
    <row r="1999">
      <c r="A1999">
        <f>=101074	 | Trojan.Win32.Bulehero.C	 | a7e9c1306491d547bfdc4a5fd090a4c2</f>
        <v/>
      </c>
    </row>
    <row r="2000">
      <c r="A2000">
        <f>=101075	 | Trojan.Win32.Bulehero.B	 | </f>
        <v/>
      </c>
    </row>
    <row r="2001">
      <c r="A2001">
        <f>=101076	 | Trojan.Win32.Startpage.CD	 | 1b57e3c2d8993cc429a77fa7633839ab</f>
        <v/>
      </c>
    </row>
    <row r="2002">
      <c r="A2002">
        <f>=101077	 | Trojan.Win32.Startpage.CE	 | 9db8364f39b307635d4e53ba1d6b77b4</f>
        <v/>
      </c>
    </row>
    <row r="2003">
      <c r="A2003">
        <f>=101078	 | Adware.Win64.Runbooster.A	 | 3cb920b6ac6769d962d0c46cfab0c214</f>
        <v/>
      </c>
    </row>
    <row r="2004">
      <c r="A2004">
        <f>=101079	 | Trojan.Win32.Sisbot.B	 | a8c1d35754f1a005ac512be9721062f7</f>
        <v/>
      </c>
    </row>
    <row r="2005">
      <c r="A2005">
        <f>=101080	 | Trojan.Win32.Sisbot.A	 | 8fe040d0864d34e0b4a98bd6bcd8078f</f>
        <v/>
      </c>
    </row>
    <row r="2006">
      <c r="A2006">
        <f>=101081	 | Trojan.Win32.Bulehero.A	 | 55c1cc7de5daa41c765acdcbe90182d0</f>
        <v/>
      </c>
    </row>
    <row r="2007">
      <c r="A2007">
        <f>=101084	 | Trojan.Win32.Injector.A	 | bb6ef5d82576b64c6371fd21b9ea213c</f>
        <v/>
      </c>
    </row>
    <row r="2008">
      <c r="A2008">
        <f>=101086	 | Adware.Win32.Mailru.A	 | 029b6097f3831a9d507fb8ea5db0998d</f>
        <v/>
      </c>
    </row>
    <row r="2009">
      <c r="A2009">
        <f>=101087	 | Adware.Win32.Downloadguide.F	 | e37b1ce9337cf98d8928c80f77141243</f>
        <v/>
      </c>
    </row>
    <row r="2010">
      <c r="A2010">
        <f>=101088	 | Trojan.Win32.Gepys.F	 | e297d01eb0a2c7820f090b3a5b365823</f>
        <v/>
      </c>
    </row>
    <row r="2011">
      <c r="A2011">
        <f>=101089	 | Trojan.Win32.Killfiles.B	 | 456280dc27c61e9cbe947497fa7e4987</f>
        <v/>
      </c>
    </row>
    <row r="2012">
      <c r="A2012">
        <f>=101090	 | Trojan.Win32.Killfiles.A	 | a792ceba1839c4fe69f7332e67d00c87</f>
        <v/>
      </c>
    </row>
    <row r="2013">
      <c r="A2013">
        <f>=101091	 | Trojan.Win32.Gepys.D	 | </f>
        <v/>
      </c>
    </row>
    <row r="2014">
      <c r="A2014">
        <f>=101092	 | Backdoor.Win32.Tofsee.A	 | a4137a4263e2a4b517a180df9b3138f5</f>
        <v/>
      </c>
    </row>
    <row r="2015">
      <c r="A2015">
        <f>=101093	 | Adware.Win32.Trickler.A	 | 028f52b078a11769cf5f286613d5ef31</f>
        <v/>
      </c>
    </row>
    <row r="2016">
      <c r="A2016">
        <f>=101095	 | Trojan.Win32.Malex.C	 | </f>
        <v/>
      </c>
    </row>
    <row r="2017">
      <c r="A2017">
        <f>=101096	 | Trojan.Win32.Diofopi.C	 | 4331f11933bf1807a393c547ae85ed25</f>
        <v/>
      </c>
    </row>
    <row r="2018">
      <c r="A2018">
        <f>=101097	 | Trojan.Win32.Diofopi.B	 | c80c310c8e97d564a9b696fe64bb6d5a</f>
        <v/>
      </c>
    </row>
    <row r="2019">
      <c r="A2019">
        <f>=101098	 | Trojan.Win32.Malex.A	 | </f>
        <v/>
      </c>
    </row>
    <row r="2020">
      <c r="A2020">
        <f>=101099	 | Trojan.Win32.Malex.I	 | 90529f4a9b5757ab1a04775a67c59582</f>
        <v/>
      </c>
    </row>
    <row r="2021">
      <c r="A2021">
        <f>=101100	 | Trojan.Win32.ExternBro.A	 | ef98b9342350747a5a41ba0235ccc711</f>
        <v/>
      </c>
    </row>
    <row r="2022">
      <c r="A2022">
        <f>=101101	 | Trojan.Win32.Orbus.A	 | e56c1b2c1305326511ceb7b99de5d78f</f>
        <v/>
      </c>
    </row>
    <row r="2023">
      <c r="A2023">
        <f>=101102	 | Trojan.Win32.Ruledor.A	 | f98fcb5db50512408ae5b28efa80927c</f>
        <v/>
      </c>
    </row>
    <row r="2024">
      <c r="A2024">
        <f>=101103	 | Trojan.Win32.Tugspay.A	 | cbffbc873ea18cfa052dc066b0f114af</f>
        <v/>
      </c>
    </row>
    <row r="2025">
      <c r="A2025">
        <f>=101104	 | Trojan.Win32.Tugspay.B	 | 2d406fcff9754b3b9ac2e2dd4d6dc4d7</f>
        <v/>
      </c>
    </row>
    <row r="2026">
      <c r="A2026">
        <f>=101105	 | Trojan.Win32.C2lop.A	 | a359a39335a0df524e456b5a2e92898f</f>
        <v/>
      </c>
    </row>
    <row r="2027">
      <c r="A2027">
        <f>=101106	 | Trojan.Win32.Fake.A	 | 5f0677e25dd738d6f7d0781dc0daec21</f>
        <v/>
      </c>
    </row>
    <row r="2028">
      <c r="A2028">
        <f>=101108	 | Trojan.Win32.Gepys.B	 | 3448f516d3cd48e3c8ea19bc1ad313b9</f>
        <v/>
      </c>
    </row>
    <row r="2029">
      <c r="A2029">
        <f>=101109	 | Trojan.Win32.Gepys.A	 | </f>
        <v/>
      </c>
    </row>
    <row r="2030">
      <c r="A2030">
        <f>=101110	 | Trojan.Win32.Farfli.A	 | bf0131b195df6aa7d138e28aa244f20d</f>
        <v/>
      </c>
    </row>
    <row r="2031">
      <c r="A2031">
        <f>=101112	 | Trojan.Win32.Agent.FC	 | 5f4ebfa733523080b1a87c27269a0084</f>
        <v/>
      </c>
    </row>
    <row r="2032">
      <c r="A2032">
        <f>=101113	 | Trojan.Win32.Agent.FD	 | 2df844057381fd00cd28c04541c90ab5</f>
        <v/>
      </c>
    </row>
    <row r="2033">
      <c r="A2033">
        <f>=101114	 | Trojan.Win32.Upatre.C	 | c4b36a04d50d8c1b91adba716e11a55e</f>
        <v/>
      </c>
    </row>
    <row r="2034">
      <c r="A2034">
        <f>=101115	 | Trojan.Win32.Upatre.D	 | </f>
        <v/>
      </c>
    </row>
    <row r="2035">
      <c r="A2035">
        <f>=101116	 | Trojan.Win32.Upatre.E	 | 0b237af384271beca76e84b5f23757d5</f>
        <v/>
      </c>
    </row>
    <row r="2036">
      <c r="A2036">
        <f>=101117	 | Trojan.Win32.Upatre.F	 | 201323db5b15940dfcce20ae3dd9434f</f>
        <v/>
      </c>
    </row>
    <row r="2037">
      <c r="A2037">
        <f>=101118	 | Trojan.Win32.Upatre.G	 | 185eb1b16ad876ad801bc3883c6c612b</f>
        <v/>
      </c>
    </row>
    <row r="2038">
      <c r="A2038">
        <f>=101119	 | Trojan.Win32.Upatre.H	 | afe81b08b179ec6490b787a4097b08da</f>
        <v/>
      </c>
    </row>
    <row r="2039">
      <c r="A2039">
        <f>=101120	 | Trojan.Win32.Upatre.I	 | 9f20e90fca81287a51196acf0a666917</f>
        <v/>
      </c>
    </row>
    <row r="2040">
      <c r="A2040">
        <f>=101121	 | Trojan.Win32.Upatre.J	 | 2e849d0f20cd2d8f66fc04d5d9cc60ad</f>
        <v/>
      </c>
    </row>
    <row r="2041">
      <c r="A2041">
        <f>=101122	 | Ransom.Win32.Ruyk.A	 | </f>
        <v/>
      </c>
    </row>
    <row r="2042">
      <c r="A2042">
        <f>=101123	 | Trojan.Win32.Vundo.U	 | 349493f8a19027123b77c4625fff6c40</f>
        <v/>
      </c>
    </row>
    <row r="2043">
      <c r="A2043">
        <f>=101124	 | Trojan.Win32.Small.A	 | 081aef7391314a3e0d2a3fe482e6d8a6</f>
        <v/>
      </c>
    </row>
    <row r="2044">
      <c r="A2044">
        <f>=101125	 | Trojan.Win32.Tugspay.D	 | 448d57106157cd54d760b2bbfb9a70f0</f>
        <v/>
      </c>
    </row>
    <row r="2045">
      <c r="A2045">
        <f>=101126	 | Trojan.Win32.Vflooder.A	 | 5cfbd03bf4897d7cd3f52d14e1370bd3</f>
        <v/>
      </c>
    </row>
    <row r="2046">
      <c r="A2046">
        <f>=101127	 | Ransom.Win32.Lyposit.A	 | d62d47fffe995f87f9edfcb6d9d62b3e</f>
        <v/>
      </c>
    </row>
    <row r="2047">
      <c r="A2047">
        <f>=101128	 | Trojan.Win32.Tugspay.C	 | a155582f3cda3f58731f53247a989beb</f>
        <v/>
      </c>
    </row>
    <row r="2048">
      <c r="A2048">
        <f>=101129	 | Trojan.Win32.Krakasit.A	 | 5d3306aa241a77b748b8674d46303125</f>
        <v/>
      </c>
    </row>
    <row r="2049">
      <c r="A2049">
        <f>=101130	 | Trojan.Win32.Botgor.A	 | 16eaa2497ec4d3f45b84e3b680bf39b7</f>
        <v/>
      </c>
    </row>
    <row r="2050">
      <c r="A2050">
        <f>=101131	 | Trojan.Win32.Simda.A	 | </f>
        <v/>
      </c>
    </row>
    <row r="2051">
      <c r="A2051">
        <f>=101132	 | Trojan.Win32.Softonic.A	 | 700f38bf383fa8e67ddd882fc7c1a364</f>
        <v/>
      </c>
    </row>
    <row r="2052">
      <c r="A2052">
        <f>=101133	 | Ransom.Win64.Ryuk.B	 | </f>
        <v/>
      </c>
    </row>
    <row r="2053">
      <c r="A2053">
        <f>=101134	 | Ransom.Win64.Ryuk.A	 | 0d194b223e038d4c652484549f613763</f>
        <v/>
      </c>
    </row>
    <row r="2054">
      <c r="A2054">
        <f>=101135	 | Ransom.Win32.Ryuk.A	 | </f>
        <v/>
      </c>
    </row>
    <row r="2055">
      <c r="A2055">
        <f>=101136	 | Ransom.Win32.Globelmposter.A	 | cb7508aa29ab62847f3800058500e23d</f>
        <v/>
      </c>
    </row>
    <row r="2056">
      <c r="A2056">
        <f>=101137	 | Trojan.Win32.PhotMinner.A	 | </f>
        <v/>
      </c>
    </row>
    <row r="2057">
      <c r="A2057">
        <f>=101138	 | Trojan.Win32.Upature.BCG	 | ac408e900f5eed008e95f4730b902ef6</f>
        <v/>
      </c>
    </row>
    <row r="2058">
      <c r="A2058">
        <f>=101139	 | Trojan.Win32.Upatre.BCH	 | 1f1dc1e5968f6e040a98007b9dd15306</f>
        <v/>
      </c>
    </row>
    <row r="2059">
      <c r="A2059">
        <f>=101140	 | Trojan.Win32.Upatre.BCE	 | a71ae6be613b1caa6f94ba28ea99d4af</f>
        <v/>
      </c>
    </row>
    <row r="2060">
      <c r="A2060">
        <f>=101141	 | Trojan.Win32.Upatre.BCD	 | 0347f3a072283051774d36313554f23b</f>
        <v/>
      </c>
    </row>
    <row r="2061">
      <c r="A2061">
        <f>=101142	 | Trojan.Win32.Diofopi.A	 | dc7988ab1eeb7a2c806bcd8fc30067a2</f>
        <v/>
      </c>
    </row>
    <row r="2062">
      <c r="A2062">
        <f>=101143	 | Trojan.Win32.Tugspay.BCD	 | a13667541d8a89b8e60ab740c61ea401</f>
        <v/>
      </c>
    </row>
    <row r="2063">
      <c r="A2063">
        <f>=101144	 | Trojan.Win32.Sodinokibi.A	 | </f>
        <v/>
      </c>
    </row>
    <row r="2064">
      <c r="A2064">
        <f>=101145	 | Trojan.Win32.Sodinokibi.C	 | </f>
        <v/>
      </c>
    </row>
    <row r="2065">
      <c r="A2065">
        <f>=101146	 | Trojan.Win32.Sodinokibi.B	 | c3a5ecb331c7efbc121761a13a108250</f>
        <v/>
      </c>
    </row>
    <row r="2066">
      <c r="A2066">
        <f>=101147	 | Trojan.Win32.Injector.BCD	 | 287c6fa30cd83a86e1b9517b3fc002a7</f>
        <v/>
      </c>
    </row>
    <row r="2067">
      <c r="A2067">
        <f>=101148	 | Trojan.Win32.Futurax.A	 | c51cb9b0d880625c24540e15ed3461f3</f>
        <v/>
      </c>
    </row>
    <row r="2068">
      <c r="A2068">
        <f>=101149	 | Trojan.Win32.Maener.D	 | 812252e0968f77aaec7fde98680a19ba</f>
        <v/>
      </c>
    </row>
    <row r="2069">
      <c r="A2069">
        <f>=101150	 | Trojan.Win32.Maener.E	 | 4009082e11af8708e08068dc2051b4ab</f>
        <v/>
      </c>
    </row>
    <row r="2070">
      <c r="A2070">
        <f>=101151	 | Trojan.Win32.Tugspay.BCE	 | d61415b0229420974eac0e598efd3320</f>
        <v/>
      </c>
    </row>
    <row r="2071">
      <c r="A2071">
        <f>=101152	 | Ransom.Win32.Gandcrab.Q	 | 74177cbf8e993b5bcd557cb507f43485</f>
        <v/>
      </c>
    </row>
    <row r="2072">
      <c r="A2072">
        <f>=101153	 | Ransom.Win32.Gandcrab.R	 | 790770231e9957d8b06459cc50a944c1</f>
        <v/>
      </c>
    </row>
    <row r="2073">
      <c r="A2073">
        <f>=101154	 | Ransom.Win32.Gandcrab.S	 | 9f1feb9a569c9311c344ad0d8a27d2c7</f>
        <v/>
      </c>
    </row>
    <row r="2074">
      <c r="A2074">
        <f>=101155	 | Ransom.Win32.Gandcrab.T	 | </f>
        <v/>
      </c>
    </row>
    <row r="2075">
      <c r="A2075">
        <f>=101156	 | Ransom.Win32.Gandcrab.U	 | 693a524c8d0db212ede30aac5b772331</f>
        <v/>
      </c>
    </row>
    <row r="2076">
      <c r="A2076">
        <f>=101157	 | Ransom.Win32.Gandcrab.V	 | 465b72d6134e6de3ccf6df3448477928</f>
        <v/>
      </c>
    </row>
    <row r="2077">
      <c r="A2077">
        <f>=101158	 | Ransom.Win32.Gandcrab.W	 | </f>
        <v/>
      </c>
    </row>
    <row r="2078">
      <c r="A2078">
        <f>=101159	 | Backdoor.Win32.Warer.B	 | </f>
        <v/>
      </c>
    </row>
    <row r="2079">
      <c r="A2079">
        <f>=101160	 | Ransom.Win32.Gandcrab.X	 | </f>
        <v/>
      </c>
    </row>
    <row r="2080">
      <c r="A2080">
        <f>=101161	 | Trojan.Win32.Agent.FE	 | 2221282c3c29fea780f890c4da37a9b6</f>
        <v/>
      </c>
    </row>
    <row r="2081">
      <c r="A2081">
        <f>=1011618	 | Macro.Office.CobaltStrike.A	 | e6f025f951df340046624656b82870d7</f>
        <v/>
      </c>
    </row>
    <row r="2082">
      <c r="A2082">
        <f>=101162	 | Trojan.Win32.Agent.FF	 | </f>
        <v/>
      </c>
    </row>
    <row r="2083">
      <c r="A2083">
        <f>=1011627	 | Macro.Office.CobaltStrike.B	 | 33ed8e5c5b94a4c3becaa9cd19f7a45b</f>
        <v/>
      </c>
    </row>
    <row r="2084">
      <c r="A2084">
        <f>=101163	 | Hackertool.Win64.Coinminer.A	 | </f>
        <v/>
      </c>
    </row>
    <row r="2085">
      <c r="A2085">
        <f>=1011630	 | Macro.Office.CobaltStrike.C	 | b0fe25f9d60fa28ee9b4cf973e249112</f>
        <v/>
      </c>
    </row>
    <row r="2086">
      <c r="A2086">
        <f>=101164	 | Worm.Win32.Ibashade.A	 | a3a386a523af17d459b76e271bb26c46</f>
        <v/>
      </c>
    </row>
    <row r="2087">
      <c r="A2087">
        <f>=101166	 | Adware.Win32.Multiplug.A	 | f5275baaec882483b687ff5fc78288ba</f>
        <v/>
      </c>
    </row>
    <row r="2088">
      <c r="A2088">
        <f>=1011661	 | Macro.Office.Downloader.GH	 | bee2316fe772d52b4b09e095aa08a26c</f>
        <v/>
      </c>
    </row>
    <row r="2089">
      <c r="A2089">
        <f>=1011662	 | Macro.Office.Downloader.GI	 | c499b2e5eb162db6733c0f92e43ef62d</f>
        <v/>
      </c>
    </row>
    <row r="2090">
      <c r="A2090">
        <f>=1011663	 | Macro.Office.Downloader.GJ	 | 8b73117e141745f62e13337a9d0b75ae</f>
        <v/>
      </c>
    </row>
    <row r="2091">
      <c r="A2091">
        <f>=1011664	 | Macro.Office.Downloader.GK	 | dca055a2f05a8596f346c6ac50affdab</f>
        <v/>
      </c>
    </row>
    <row r="2092">
      <c r="A2092">
        <f>=1011665	 | Macro.Office.Downloader.GL	 | 63d050a0b73b0ffc079150296c073cab</f>
        <v/>
      </c>
    </row>
    <row r="2093">
      <c r="A2093">
        <f>=101167	 | Trojan.Win32.Small.G	 | 0c7a0d8a15089a97472a77eabb11793d</f>
        <v/>
      </c>
    </row>
    <row r="2094">
      <c r="A2094">
        <f>=1011672	 | Macro.Office.Downloader.GM	 | 00829243b4ecb41b52c23e8e756cdc65</f>
        <v/>
      </c>
    </row>
    <row r="2095">
      <c r="A2095">
        <f>=1011673	 | Macro.Office.Downloader.GN	 | 1d735dc288c7afd805b8b1842ce38190</f>
        <v/>
      </c>
    </row>
    <row r="2096">
      <c r="A2096">
        <f>=1011676	 | Macro.Office.Downloader.GO	 | d0d9a317963e7676ab141a4a7811567a</f>
        <v/>
      </c>
    </row>
    <row r="2097">
      <c r="A2097">
        <f>=1011678	 | Macro.Office.Downloader.GP	 | cd7d4543958945e3fab4f0631e3494f3</f>
        <v/>
      </c>
    </row>
    <row r="2098">
      <c r="A2098">
        <f>=1011679	 | Macro.Office.Downloader.GQ	 | 9a59fc2435737333486d786264c40542</f>
        <v/>
      </c>
    </row>
    <row r="2099">
      <c r="A2099">
        <f>=101168	 | Trojan.Win32.qqpass.B	 | 841b905a22fa87dc157e83812850ce06</f>
        <v/>
      </c>
    </row>
    <row r="2100">
      <c r="A2100">
        <f>=1011681	 | Macro.Office.Downloader.GR	 | d65ddb3ade34504d44e72ba9db953916</f>
        <v/>
      </c>
    </row>
    <row r="2101">
      <c r="A2101">
        <f>=1011682	 | Macro.Office.Downloader.GS	 | fe07354d68e85a995ba2ec8691162020</f>
        <v/>
      </c>
    </row>
    <row r="2102">
      <c r="A2102">
        <f>=1011684	 | Macro.Office.Downloader.GT	 | 4d935c7d5068ae9e03d90e4b71bf610a</f>
        <v/>
      </c>
    </row>
    <row r="2103">
      <c r="A2103">
        <f>=101169	 | Trojan.Win32.qqpass.DQ	 | 0549beeecccd0a82772a32500b8109e0</f>
        <v/>
      </c>
    </row>
    <row r="2104">
      <c r="A2104">
        <f>=1011690	 | Macro.Office.Downloader.GU	 | 0ee0e091659e19944970ffec47390f5c</f>
        <v/>
      </c>
    </row>
    <row r="2105">
      <c r="A2105">
        <f>=1011691	 | Macro.Office.Downloader.GV	 | ba448d1ac0aac4a3558157e3e0d14268</f>
        <v/>
      </c>
    </row>
    <row r="2106">
      <c r="A2106">
        <f>=1011692	 | Macro.Office.Downloader.GW	 | d1922fb0576a35685056100529409ba5</f>
        <v/>
      </c>
    </row>
    <row r="2107">
      <c r="A2107">
        <f>=101170	 | Trojan.Win32.Agent.FG	 | eb3f318b150fe98ed8b7c184888c81b9</f>
        <v/>
      </c>
    </row>
    <row r="2108">
      <c r="A2108">
        <f>=1011704	 | Macro.Office.Downloader.GX	 | 7af2418704988ad587d559b22f3168d7</f>
        <v/>
      </c>
    </row>
    <row r="2109">
      <c r="A2109">
        <f>=1011705	 | Macro.Office.Downloader.GY	 | 7ad5e41d03b2dfe72af417fa5b0cc164</f>
        <v/>
      </c>
    </row>
    <row r="2110">
      <c r="A2110">
        <f>=101171	 | Trojan.Win32.Vbclone.A	 | 015eaf9de376c9cbc282396da0e54fa7</f>
        <v/>
      </c>
    </row>
    <row r="2111">
      <c r="A2111">
        <f>=101172	 | Trojan.Win32.Dinwod.A	 | 00a3d1d82c6e329cefe82edd42ae8f59</f>
        <v/>
      </c>
    </row>
    <row r="2112">
      <c r="A2112">
        <f>=101173	 | Backdoor.Win32.Warer.A	 | 02217e7444eba04ae8928205543bd45b</f>
        <v/>
      </c>
    </row>
    <row r="2113">
      <c r="A2113">
        <f>=101174	 | Backdoor.Win32.Ircbot.B	 | 001034ec93c9cc90341c78eb6d379738</f>
        <v/>
      </c>
    </row>
    <row r="2114">
      <c r="A2114">
        <f>=101175	 | Trojan.Win32.Lakaboy.A	 | 526bb9e05ba6919a404748aa9d083cd2</f>
        <v/>
      </c>
    </row>
    <row r="2115">
      <c r="A2115">
        <f>=101176	 | Trojan.Win32.Agent.FH	 | 05690a450fea902744c9f7560a999267</f>
        <v/>
      </c>
    </row>
    <row r="2116">
      <c r="A2116">
        <f>=101177	 | Trojan.Win32.Agent.FI	 | c3933fbdc287e8cfe1190564c576497e</f>
        <v/>
      </c>
    </row>
    <row r="2117">
      <c r="A2117">
        <f>=1011772	 | Macro.Office.CobaltStrike.D	 | 9a0b07f5e9ce3d9f3b9f69fac4545bdc</f>
        <v/>
      </c>
    </row>
    <row r="2118">
      <c r="A2118">
        <f>=101178	 | Worm.Win32.Fbound.A	 | </f>
        <v/>
      </c>
    </row>
    <row r="2119">
      <c r="A2119">
        <f>=1011783	 | Macro.Office.Downloader.HA	 | 290319c40ba0909e7509aebc519cff47</f>
        <v/>
      </c>
    </row>
    <row r="2120">
      <c r="A2120">
        <f>=1011788	 | Macro.Office.Donoff.P	 | 6fbdb7574d04fee49f015ae304c72b61</f>
        <v/>
      </c>
    </row>
    <row r="2121">
      <c r="A2121">
        <f>=101179	 | Worm.Win32.Klez.C	 | </f>
        <v/>
      </c>
    </row>
    <row r="2122">
      <c r="A2122">
        <f>=1011808	 | Macro.Office.Downloader.HB	 | 7b48a9c4df9d8ec5bcf1fb5f45e30852</f>
        <v/>
      </c>
    </row>
    <row r="2123">
      <c r="A2123">
        <f>=1011809	 | Macro.Office.Downloader.HC	 | 0d36f4f5a1f7bc7d89fbda02be7c2336</f>
        <v/>
      </c>
    </row>
    <row r="2124">
      <c r="A2124">
        <f>=101181	 | Virtool.Win32.Upatre.A	 | 0ef317cd63d70feafca6a76a2a232db3</f>
        <v/>
      </c>
    </row>
    <row r="2125">
      <c r="A2125">
        <f>=1011812	 | Macro.Office.Downloader.HD	 | a4eca52478e587fa2b23ca9021212469</f>
        <v/>
      </c>
    </row>
    <row r="2126">
      <c r="A2126">
        <f>=1011814	 | Trojan.Win32.Dridex.D	 | a47b6adc87b8000c91a706d3c5ed540f</f>
        <v/>
      </c>
    </row>
    <row r="2127">
      <c r="A2127">
        <f>=101182	 | Trojan.Win32.Upatre.BCI	 | 4fc648d80610a2dbcffc9a77d3e9c44e</f>
        <v/>
      </c>
    </row>
    <row r="2128">
      <c r="A2128">
        <f>=101183	 | Trojan.Win32.Urelas.C	 | </f>
        <v/>
      </c>
    </row>
    <row r="2129">
      <c r="A2129">
        <f>=101184	 | Trojan.Win32.Urelas.D	 | 564fbf8870bf3293889dd1f5e0776b66</f>
        <v/>
      </c>
    </row>
    <row r="2130">
      <c r="A2130">
        <f>=101185	 | Trojan.Win32.Urelas.E	 | 4c9fec6cb336424fcd6afbe45e3ea332</f>
        <v/>
      </c>
    </row>
    <row r="2131">
      <c r="A2131">
        <f>=1011854	 | Macro.Office.Downloader.HE	 | caf32427ed8b4558c25adbf5c3701594</f>
        <v/>
      </c>
    </row>
    <row r="2132">
      <c r="A2132">
        <f>=1011855	 | Macro.Office.Downloader.HF	 | c8d276c37cb8aec3c5dd3d6b7553fdcc</f>
        <v/>
      </c>
    </row>
    <row r="2133">
      <c r="A2133">
        <f>=101186	 | Trojan.Win32.Agent.I	 | d52e29861b1f02dfd541bf1b89ff7cca</f>
        <v/>
      </c>
    </row>
    <row r="2134">
      <c r="A2134">
        <f>=1011863	 | Macro.Office.Downloader.HG	 | 7a7c6e1570086ce123efa4fcfcfa17f1</f>
        <v/>
      </c>
    </row>
    <row r="2135">
      <c r="A2135">
        <f>=101187	 | Trojan.Win32.Agent.FJ	 | 0f364fc46e9e9cef249b6ac3cce245a4</f>
        <v/>
      </c>
    </row>
    <row r="2136">
      <c r="A2136">
        <f>=101188	 | Trojan.Win32.Agent.H	 | daa9b932bd4bf5551f3786f9b120169f</f>
        <v/>
      </c>
    </row>
    <row r="2137">
      <c r="A2137">
        <f>=101189	 | Trojan.Win32.Agent.FK	 | 0803ef0f3f2d683896ef0e82c245fba5</f>
        <v/>
      </c>
    </row>
    <row r="2138">
      <c r="A2138">
        <f>=101190	 | Backdoor.Win32.Wabot.A	 | f5b3049dce90ed7b8084e3383b344137</f>
        <v/>
      </c>
    </row>
    <row r="2139">
      <c r="A2139">
        <f>=101191	 | Backdoor.Win32.Botnet.A	 | </f>
        <v/>
      </c>
    </row>
    <row r="2140">
      <c r="A2140">
        <f>=101192	 | Worm.Win32.Sfone.A	 | </f>
        <v/>
      </c>
    </row>
    <row r="2141">
      <c r="A2141">
        <f>=1011925	 | Macro.Office.Downloader.HH	 | a334b165d74af38b1d1359767b0aadd7</f>
        <v/>
      </c>
    </row>
    <row r="2142">
      <c r="A2142">
        <f>=1011927	 | Macro.Office.Agent.GW	 | 3ac153b4a772ef66735fe952da12728d</f>
        <v/>
      </c>
    </row>
    <row r="2143">
      <c r="A2143">
        <f>=101193	 | Worm.Win32.Sfone.B	 | </f>
        <v/>
      </c>
    </row>
    <row r="2144">
      <c r="A2144">
        <f>=101194	 | Worm.Win32.Scar.A	 | </f>
        <v/>
      </c>
    </row>
    <row r="2145">
      <c r="A2145">
        <f>=1011949	 | Macro.Office.Downloader.HI	 | 9bb0af2d993e4bbed30070b86d126e71</f>
        <v/>
      </c>
    </row>
    <row r="2146">
      <c r="A2146">
        <f>=101195	 | Backdoor.Win32.Storm.A	 | 0d77fbc0b2f8a7a92d6c0b690752db9e</f>
        <v/>
      </c>
    </row>
    <row r="2147">
      <c r="A2147">
        <f>=1011950	 | Macro.Office.Downloader.HJ	 | 10472cea3eddfefa8471639eacdf5573</f>
        <v/>
      </c>
    </row>
    <row r="2148">
      <c r="A2148">
        <f>=1011951	 | Macro.Office.Downloader.HK	 | d96fc74b09a71eee68373613f67da85b</f>
        <v/>
      </c>
    </row>
    <row r="2149">
      <c r="A2149">
        <f>=1011952	 | Macro.Office.Downloader.HL	 | f5e0c760bc44fa4a982410bfec69c5e3</f>
        <v/>
      </c>
    </row>
    <row r="2150">
      <c r="A2150">
        <f>=1011953	 | Macro.Office.Downloader.HM	 | 062d8e8c3de4faeb07f686514dbb8f9d</f>
        <v/>
      </c>
    </row>
    <row r="2151">
      <c r="A2151">
        <f>=1011955	 | Macro.Office.Downloader.HN	 | f4870c1a4b171f002dc8ea28a974353c</f>
        <v/>
      </c>
    </row>
    <row r="2152">
      <c r="A2152">
        <f>=101196	 | Backdoor.Win32.Nitol.A	 | 2757d22871e1518d7808018941c953b4</f>
        <v/>
      </c>
    </row>
    <row r="2153">
      <c r="A2153">
        <f>=1011961	 | Macro.Office.Downloader.HQ	 | 05ceefe9c1c538ad7bfc5e56f76d90e6</f>
        <v/>
      </c>
    </row>
    <row r="2154">
      <c r="A2154">
        <f>=1011963	 | Macro.Office.Downloader.HR	 | 087ab72bddf5ddc2b92322833a478dd7</f>
        <v/>
      </c>
    </row>
    <row r="2155">
      <c r="A2155">
        <f>=1011966	 | Macro.Office.Downloader.HS	 | 11e81aff6fc1c14e69587f91b23fd99e</f>
        <v/>
      </c>
    </row>
    <row r="2156">
      <c r="A2156">
        <f>=1011967	 | Macro.Office.Downloader.HT	 | 1c8de53b45aaa2f873a924a0265c7f98</f>
        <v/>
      </c>
    </row>
    <row r="2157">
      <c r="A2157">
        <f>=1011968	 | Macro.Office.Downloader.HU	 | dd00a7066ac1cdb931a4a82ddc94aafe</f>
        <v/>
      </c>
    </row>
    <row r="2158">
      <c r="A2158">
        <f>=101197	 | Worm.Win32.Benjamin.A	 | 02dd4884a294152b71016222b42fb9b5</f>
        <v/>
      </c>
    </row>
    <row r="2159">
      <c r="A2159">
        <f>=101198	 | Trojan.Win32.Yolox.A	 | cddf25a9940486940cd60ad04f49c390</f>
        <v/>
      </c>
    </row>
    <row r="2160">
      <c r="A2160">
        <f>=101199	 | Worm.Win32.Sytro.B	 | 012c2f4a97592a64b3eac75738ec30b6</f>
        <v/>
      </c>
    </row>
    <row r="2161">
      <c r="A2161">
        <f>=101200	 | Worm.Win32.Juched.A	 | 0b352014b3101f8386510841994fcea8</f>
        <v/>
      </c>
    </row>
    <row r="2162">
      <c r="A2162">
        <f>=101201	 | Trojan.Win32.Carberp.A	 | 158704223fa2e5df1352567282523dd3</f>
        <v/>
      </c>
    </row>
    <row r="2163">
      <c r="A2163">
        <f>=101202	 | Trojan.Win32.Shifu.A	 | 421c4fcb128ae42bbc2560fa44e48805</f>
        <v/>
      </c>
    </row>
    <row r="2164">
      <c r="A2164">
        <f>=101203	 | Worm.Win32.Sytro.C	 | </f>
        <v/>
      </c>
    </row>
    <row r="2165">
      <c r="A2165">
        <f>=101205	 | Worm.Win32.Vbna.A	 | </f>
        <v/>
      </c>
    </row>
    <row r="2166">
      <c r="A2166">
        <f>=101206	 | trojan.Win32.vbclone.B	 | </f>
        <v/>
      </c>
    </row>
    <row r="2167">
      <c r="A2167">
        <f>=101207	 | Worm.Win32.ardurk.A	 | a9299953880d33a41a8b87ac55460f75</f>
        <v/>
      </c>
    </row>
    <row r="2168">
      <c r="A2168">
        <f>=101208	 | Worm.Win32.autorun.P	 | 002a76907ddf96acc3652b1f0b6affb7</f>
        <v/>
      </c>
    </row>
    <row r="2169">
      <c r="A2169">
        <f>=101209	 | Worm.Win32.mira.C	 | 0019a6768b2d35c330bdaeb76d346769</f>
        <v/>
      </c>
    </row>
    <row r="2170">
      <c r="A2170">
        <f>=101210	 | Worm.Win32.fakefolder.KB	 | 09ff41bdab41773f4d722fd335c97e28</f>
        <v/>
      </c>
    </row>
    <row r="2171">
      <c r="A2171">
        <f>=101211	 | Worm.Win32.fakefolder.KC	 | 120c74c69a0895677ba4b862bda8bdb5</f>
        <v/>
      </c>
    </row>
    <row r="2172">
      <c r="A2172">
        <f>=101213	 | Trojan.Win32.Cosmu.B	 | 01456dab3be3b302f158040ecf0084a7</f>
        <v/>
      </c>
    </row>
    <row r="2173">
      <c r="A2173">
        <f>=101214	 | Trojan.Win32.Eaeer.A	 | a10fc5eacdf86e59e25a0f46098140d5</f>
        <v/>
      </c>
    </row>
    <row r="2174">
      <c r="A2174">
        <f>=101215	 | Backdoor.Win32.Jklmno.A	 | 0013aef0030b94b07790a3c1d48109d4</f>
        <v/>
      </c>
    </row>
    <row r="2175">
      <c r="A2175">
        <f>=101216	 | Worm.Win32.Cracksware.A	 | 00e1f3ee4ff4a6101914d0d8cccb66f8</f>
        <v/>
      </c>
    </row>
    <row r="2176">
      <c r="A2176">
        <f>=101217	 | Trojan.Win32.Shipup.A	 | 05dbfe674892157aa9dc133321b5ca3c</f>
        <v/>
      </c>
    </row>
    <row r="2177">
      <c r="A2177">
        <f>=101218	 | Trojan.Win32.Waski.A	 | 4991c80425918551e10c31f51f44549f</f>
        <v/>
      </c>
    </row>
    <row r="2178">
      <c r="A2178">
        <f>=101219	 | Trojan.Win32.Upatre.BCJ	 | c3fffeb83a48495d90ea6550a4b64f95</f>
        <v/>
      </c>
    </row>
    <row r="2179">
      <c r="A2179">
        <f>=101220	 | Trojan.Win32.Fakepdf.A	 | 2958e96d04caf77fb842b3b87a1ad2b8</f>
        <v/>
      </c>
    </row>
    <row r="2180">
      <c r="A2180">
        <f>=1012201	 | Macro.Office.Downloader.HV	 | e9dbdcfb6439bd0d888e907a71509937</f>
        <v/>
      </c>
    </row>
    <row r="2181">
      <c r="A2181">
        <f>=1012202	 | Macro.Office.Downloader.HW	 | 1E5AFF0BB593872B0E948B4ED13A6A49</f>
        <v/>
      </c>
    </row>
    <row r="2182">
      <c r="A2182">
        <f>=101221	 | Worm.Win32.Juched.B	 | 7d93f3ef1209d4adfe573def1214bfbb</f>
        <v/>
      </c>
    </row>
    <row r="2183">
      <c r="A2183">
        <f>=1012215	 | Macro.Office.Downloader.HX	 | 0FD73A54F1D06B70B2E678D1FB060CC8</f>
        <v/>
      </c>
    </row>
    <row r="2184">
      <c r="A2184">
        <f>=101222	 | Trojan.Win32.Cosmu.C	 | 242ee6cbe9fe1543519f0ef98b61e562</f>
        <v/>
      </c>
    </row>
    <row r="2185">
      <c r="A2185">
        <f>=101223	 | Worm.Win32.Fasong.B	 | 095db9f12d410e1caf6124af3e14949a</f>
        <v/>
      </c>
    </row>
    <row r="2186">
      <c r="A2186">
        <f>=101224	 | Worm.Win32.Mira.A	 | </f>
        <v/>
      </c>
    </row>
    <row r="2187">
      <c r="A2187">
        <f>=101225	 | Worm.Win32.Warezov.A	 | 568e2c2335572aa2ef4206a662832091</f>
        <v/>
      </c>
    </row>
    <row r="2188">
      <c r="A2188">
        <f>=101226	 | Worm.Win32.Mira.B	 | 0a373418aacda1777cc20d289ba3090f</f>
        <v/>
      </c>
    </row>
    <row r="2189">
      <c r="A2189">
        <f>=101227	 | Trojan.Win32.Gameonline.FO	 | 1c76b509f81d7e5fb07026853a769cc8</f>
        <v/>
      </c>
    </row>
    <row r="2190">
      <c r="A2190">
        <f>=1012279	 | Macro.Office.Downloader.HY	 | 0ff3ba2b54f5cae7507b9a34a427d982</f>
        <v/>
      </c>
    </row>
    <row r="2191">
      <c r="A2191">
        <f>=101228	 | Trojan.Win32.Agent.FL	 | a39226625610013ca726bee74331a78a</f>
        <v/>
      </c>
    </row>
    <row r="2192">
      <c r="A2192">
        <f>=1012280	 | Macro.Office.Downloader.IA	 | d71eaf0ad33a749b8fe3fb8dff56a474</f>
        <v/>
      </c>
    </row>
    <row r="2193">
      <c r="A2193">
        <f>=1012293	 | Macro.Office.Qbot.A	 | d87ade91a4f283707625ae5c6ad1b40d</f>
        <v/>
      </c>
    </row>
    <row r="2194">
      <c r="A2194">
        <f>=1012296	 | Macro.Office.Downloader.IB	 | 070572672b2eef0be14c3ea79d07a668</f>
        <v/>
      </c>
    </row>
    <row r="2195">
      <c r="A2195">
        <f>=101231	 | Backdoor.Win32.Agent.A	 | 4ed48e5184e8ce8ec80dee43ba1cb415</f>
        <v/>
      </c>
    </row>
    <row r="2196">
      <c r="A2196">
        <f>=101232	 | Harm.Win32.Vb.A	 | 965bfea7ea6d6587f7d834253b86c445</f>
        <v/>
      </c>
    </row>
    <row r="2197">
      <c r="A2197">
        <f>=101233	 | Backdoor.Win32.Plite.A	 | d69efcfc27dfecf33f2c8f17ebe2502f</f>
        <v/>
      </c>
    </row>
    <row r="2198">
      <c r="A2198">
        <f>=101234	 | Backdoor.Win32.Dartkomet.A	 | d3c6a2195e0537ad5576da272bca4d12</f>
        <v/>
      </c>
    </row>
    <row r="2199">
      <c r="A2199">
        <f>=101235	 | Dropper.Win32.Dapato.A	 | c241ea8eab1b50c4f1646ec1a950e923</f>
        <v/>
      </c>
    </row>
    <row r="2200">
      <c r="A2200">
        <f>=1012361	 | Macro.Office.Downloader.IC	 | aad4ae62dfc3fde2f1edaebdaa672f3e</f>
        <v/>
      </c>
    </row>
    <row r="2201">
      <c r="A2201">
        <f>=101237	 | Backdoor.Win32.Uinsey.A	 | ad90a7d8dbc82a4f781af88a698c521c</f>
        <v/>
      </c>
    </row>
    <row r="2202">
      <c r="A2202">
        <f>=1012373	 | Macro.Office.Dropper.O	 | 765aed0baa868fba8b7576ba0a1bf7b1</f>
        <v/>
      </c>
    </row>
    <row r="2203">
      <c r="A2203">
        <f>=101238	 | Backdoor.Win32.Uinsey.B	 | 12cc7f078da3a02d5d8bbbb5e991366f</f>
        <v/>
      </c>
    </row>
    <row r="2204">
      <c r="A2204">
        <f>=101239	 | Worm.Win32.Mydoom.B	 | </f>
        <v/>
      </c>
    </row>
    <row r="2205">
      <c r="A2205">
        <f>=101240	 | Backdoor.Win32.Eggnog.A	 | 822b58f0bd287765a9aa2468115e68a4</f>
        <v/>
      </c>
    </row>
    <row r="2206">
      <c r="A2206">
        <f>=101241	 | Trojan.Win32.Shipup.B	 | 1f688aa32a354343e180737d4edf88a8</f>
        <v/>
      </c>
    </row>
    <row r="2207">
      <c r="A2207">
        <f>=101242	 | Trojan.Win32.Shipup.C	 | 12b137f2c62a6716e373188049c11653</f>
        <v/>
      </c>
    </row>
    <row r="2208">
      <c r="A2208">
        <f>=101243	 | Worm.Win32.Eggnog.A	 | f8bcc98e813698d09d291e1e5007de97</f>
        <v/>
      </c>
    </row>
    <row r="2209">
      <c r="A2209">
        <f>=101244	 | Trojan.Win32.Agent.FN	 | 66616d5a4cf73df712b0f747a5676acf</f>
        <v/>
      </c>
    </row>
    <row r="2210">
      <c r="A2210">
        <f>=101245	 | Trojan.Win32.Urelas.F	 | </f>
        <v/>
      </c>
    </row>
    <row r="2211">
      <c r="A2211">
        <f>=101246	 | Trojan.Win32.Upatre.BCK	 | c69fd0b4c240f8f3089457082c7c7e36</f>
        <v/>
      </c>
    </row>
    <row r="2212">
      <c r="A2212">
        <f>=101247	 | Trojan.Win32.Urelas.G	 | </f>
        <v/>
      </c>
    </row>
    <row r="2213">
      <c r="A2213">
        <f>=101248	 | Worm.Win32.Sytro.E	 | 026f05223720a736a4941b59a79b244a</f>
        <v/>
      </c>
    </row>
    <row r="2214">
      <c r="A2214">
        <f>=101249	 | Trojan.Win32.Pdflocker.E	 | 0963a96f8bc01dd19ac32027318db673</f>
        <v/>
      </c>
    </row>
    <row r="2215">
      <c r="A2215">
        <f>=101250	 | Trojan.Win32.Fakepdf.B	 | 6a94f797250b080db685503915e05c1a</f>
        <v/>
      </c>
    </row>
    <row r="2216">
      <c r="A2216">
        <f>=101251	 | Trojan.Win32.Fakepdf.C	 | fdc1554c14f929c8bdf6ab5b8efbae1d</f>
        <v/>
      </c>
    </row>
    <row r="2217">
      <c r="A2217">
        <f>=101252	 | Trojan.Win32.Small.H	 | 419d7d9a718f702486f4971f0d9ecad6</f>
        <v/>
      </c>
    </row>
    <row r="2218">
      <c r="A2218">
        <f>=101253	 | Trojan.Win32.Shipup.D	 | </f>
        <v/>
      </c>
    </row>
    <row r="2219">
      <c r="A2219">
        <f>=101254	 | Trojan.Win32.Fakepdf.D	 | 93bb3bc61a10c8496aee1a305c1692a7</f>
        <v/>
      </c>
    </row>
    <row r="2220">
      <c r="A2220">
        <f>=101255	 | Trojan.Win32.Killfiles.C	 | b69f3ddb6f2643a72710a4071304cbc2</f>
        <v/>
      </c>
    </row>
    <row r="2221">
      <c r="A2221">
        <f>=101256	 | Trojan.Win32.Startpage.CF	 | 4619ae77f1c02c09ecbb1f809e64e0c0</f>
        <v/>
      </c>
    </row>
    <row r="2222">
      <c r="A2222">
        <f>=101257	 | Trojan.Win32.Rubin.A	 | 11c03426b4e402333d53bcfdd4f6e47b</f>
        <v/>
      </c>
    </row>
    <row r="2223">
      <c r="A2223">
        <f>=101258	 | Backdoor.Win32.Zbot.C	 | b8010922fc99b6833ae0284ccfc3dd6c</f>
        <v/>
      </c>
    </row>
    <row r="2224">
      <c r="A2224">
        <f>=101259	 | Trojan.Win32.Sakurel.A	 | b88a9f819819d6732f2ab345ea09e592</f>
        <v/>
      </c>
    </row>
    <row r="2225">
      <c r="A2225">
        <f>=101260	 | Worm.Win32.Wannacrypt.A	 | 34ade576e7213a662c7c3fbdfbf9ee2d</f>
        <v/>
      </c>
    </row>
    <row r="2226">
      <c r="A2226">
        <f>=101261	 | Worm.Win32.Fakefolder.A	 | 843be568098a61e0ca7621e332b2467a</f>
        <v/>
      </c>
    </row>
    <row r="2227">
      <c r="A2227">
        <f>=101262	 | Worm.Win32.Gamarue.R	 | 1307aaeace336fea4a4d4933491a0a53</f>
        <v/>
      </c>
    </row>
    <row r="2228">
      <c r="A2228">
        <f>=101263	 | Trojan.Win32.Urelas.H	 | </f>
        <v/>
      </c>
    </row>
    <row r="2229">
      <c r="A2229">
        <f>=101264	 | Trojan.Win32.Qhost.A	 | bf92796f61d74fee232d0cb354ea741d</f>
        <v/>
      </c>
    </row>
    <row r="2230">
      <c r="A2230">
        <f>=101265	 | Trojan.Win32.Startpage.CG	 | c5e6a30fd212172088d6fdc8868aff4e</f>
        <v/>
      </c>
    </row>
    <row r="2231">
      <c r="A2231">
        <f>=101266	 | Worm.Win32.Fakefolder.KE	 | </f>
        <v/>
      </c>
    </row>
    <row r="2232">
      <c r="A2232">
        <f>=101267	 | Trojan.Win32.Delfiles.A	 | b470a2c3d5848f35bcb1a748db247771</f>
        <v/>
      </c>
    </row>
    <row r="2233">
      <c r="A2233">
        <f>=101268	 | Trojan.Win32.Fakepdf.E	 | e082a3b90f581df40d135fa455055229</f>
        <v/>
      </c>
    </row>
    <row r="2234">
      <c r="A2234">
        <f>=101269	 | Trojan.Win32.Yolox.B	 | 6b9c21435bca2bad375d3f5e04fbecd7</f>
        <v/>
      </c>
    </row>
    <row r="2235">
      <c r="A2235">
        <f>=101270	 | Trojan.Win32.Fakepdf.F	 | 809d8a30e966e8dea721bc43a13ed7bd</f>
        <v/>
      </c>
    </row>
    <row r="2236">
      <c r="A2236">
        <f>=101271	 | Trojan.Win32.Plite.A	 | b525ec965d72b991c2d68062e1b43f4a</f>
        <v/>
      </c>
    </row>
    <row r="2237">
      <c r="A2237">
        <f>=101272	 | Trojan.Win32.Yolox.C	 | 401019948692c77ee48f18ecf485c05a</f>
        <v/>
      </c>
    </row>
    <row r="2238">
      <c r="A2238">
        <f>=101273	 | Trojan.Win32.Doboc.A	 | 41a57d65b3df6b1e3b054c60f6f4eb69</f>
        <v/>
      </c>
    </row>
    <row r="2239">
      <c r="A2239">
        <f>=101274	 | Trojan.Win32.Waski.B	 | b6e914dd4713a0da410675de85ecfcda</f>
        <v/>
      </c>
    </row>
    <row r="2240">
      <c r="A2240">
        <f>=101275	 | Backdoor.Win32.Darkkomet.A	 | da6376de706ce7814c5d2f6d74acdd9d</f>
        <v/>
      </c>
    </row>
    <row r="2241">
      <c r="A2241">
        <f>=101276	 | Trojan.Win32.Fakepdf.G	 | </f>
        <v/>
      </c>
    </row>
    <row r="2242">
      <c r="A2242">
        <f>=101277	 | Trojan.Win32.Fakepdf.H	 | d391d353da292c999ec790312dd6dba8</f>
        <v/>
      </c>
    </row>
    <row r="2243">
      <c r="A2243">
        <f>=101279	 | trojan.Win32.midie.b	 | </f>
        <v/>
      </c>
    </row>
    <row r="2244">
      <c r="A2244">
        <f>=101280	 | trojan.Win32.agent.io	 | 94d7865106c67102777219715aaac825</f>
        <v/>
      </c>
    </row>
    <row r="2245">
      <c r="A2245">
        <f>=101281	 | trojan.Win32.agent.it	 | d9b05f5929115a43b568c7e6e8210226</f>
        <v/>
      </c>
    </row>
    <row r="2246">
      <c r="A2246">
        <f>=101282	 | trojan.Win32.agentb.b	 | 58796bd27625d8b31f52ab516f871cd6</f>
        <v/>
      </c>
    </row>
    <row r="2247">
      <c r="A2247">
        <f>=101283	 | trojan.Win32.antavmu.a	 | 5e40a9cff8cfda2f52c84fd1fbd52b7d</f>
        <v/>
      </c>
    </row>
    <row r="2248">
      <c r="A2248">
        <f>=101284	 | trojan.Win32.autohotkey.a	 | 0b98a5a83664e13d1b49c8e35f11b14d</f>
        <v/>
      </c>
    </row>
    <row r="2249">
      <c r="A2249">
        <f>=101285	 | trojan.Win32.dapato.b	 | </f>
        <v/>
      </c>
    </row>
    <row r="2250">
      <c r="A2250">
        <f>=101286	 | trojan.Win32.dieicon.a	 | 28ebdb02e06baf59373a02fdf6dbe2eb</f>
        <v/>
      </c>
    </row>
    <row r="2251">
      <c r="A2251">
        <f>=101288	 | trojan.Win32.fakelpk.g	 | db2bb4a65dc1f50e15bb2beda1a42a8a</f>
        <v/>
      </c>
    </row>
    <row r="2252">
      <c r="A2252">
        <f>=101289	 | trojan.Win32.fakemedia.b	 | a41ec8d23e788724c225d90ce7f55b4a</f>
        <v/>
      </c>
    </row>
    <row r="2253">
      <c r="A2253">
        <f>=101290	 | trojan.Win32.fakems.a	 | 4837d8c34ac88f1cc8e52fba90cd18a9</f>
        <v/>
      </c>
    </row>
    <row r="2254">
      <c r="A2254">
        <f>=101291	 | trojan.Win32.fakems.b	 | e7ebf7d4de835cd84b8604bfe8acfec2</f>
        <v/>
      </c>
    </row>
    <row r="2255">
      <c r="A2255">
        <f>=101292	 | trojan.Win32.fakepdf.aa	 | 5c4fd880456820e0979efba6bf47b275</f>
        <v/>
      </c>
    </row>
    <row r="2256">
      <c r="A2256">
        <f>=101293	 | trojan.Win32.fakepdf.ad	 | 87244deb6f8a558badbb77bf470091b7</f>
        <v/>
      </c>
    </row>
    <row r="2257">
      <c r="A2257">
        <f>=101294	 | trojan.Win32.fakepdf.ak	 | be8fd84f083cc7376da87a970a86e8ec</f>
        <v/>
      </c>
    </row>
    <row r="2258">
      <c r="A2258">
        <f>=101299	 | trojan.Win32.gameonline.FP	 | f3355e0ac2c66f00722756f94dc98223</f>
        <v/>
      </c>
    </row>
    <row r="2259">
      <c r="A2259">
        <f>=101302	 | trojan.Win32.gandcrab4aae7b91.a	 | 561bac7ae9015491c29289dc7251916c</f>
        <v/>
      </c>
    </row>
    <row r="2260">
      <c r="A2260">
        <f>=101303	 | trojan.Win32.gandcrabc9875576.a	 | </f>
        <v/>
      </c>
    </row>
    <row r="2261">
      <c r="A2261">
        <f>=101304	 | trojan.Win32.grogon.a	 | 0118dc8be2caaa5a62e2980026812f1d</f>
        <v/>
      </c>
    </row>
    <row r="2262">
      <c r="A2262">
        <f>=101305	 | trojan.Win32.khalesi.a	 | b770f30653187d724ded8c8cd059bef4</f>
        <v/>
      </c>
    </row>
    <row r="2263">
      <c r="A2263">
        <f>=101306	 | trojan.Win32.laqma.b	 | e203364e1506a51a26e1d36d139dee9e</f>
        <v/>
      </c>
    </row>
    <row r="2264">
      <c r="A2264">
        <f>=101307	 | trojan.Win32.laqma.c	 | 945b253aff2e25306130a86a9af05786</f>
        <v/>
      </c>
    </row>
    <row r="2265">
      <c r="A2265">
        <f>=101308	 | trojan.Win32.lethic.c	 | bec52268c6bd74ea1610d40a3b260ef1</f>
        <v/>
      </c>
    </row>
    <row r="2266">
      <c r="A2266">
        <f>=101309	 | trojan.Win32.lethic.d	 | f4aeef8dd919ef97f012a4b7849f4a9a</f>
        <v/>
      </c>
    </row>
    <row r="2267">
      <c r="A2267">
        <f>=101310	 | trojan.Win32.fakepdf.AL	 | </f>
        <v/>
      </c>
    </row>
    <row r="2268">
      <c r="A2268">
        <f>=101313	 | Trojan.Win32.small.I	 | 05019ef00b6c666c7038c24cf89a1ecb</f>
        <v/>
      </c>
    </row>
    <row r="2269">
      <c r="A2269">
        <f>=101314	 | Trojan.Win32.small.J	 | </f>
        <v/>
      </c>
    </row>
    <row r="2270">
      <c r="A2270">
        <f>=101315	 | Trojan.Win32.waski.g	 | 07e73cf9cfeacab9dcb697d67ee619fe</f>
        <v/>
      </c>
    </row>
    <row r="2271">
      <c r="A2271">
        <f>=101316	 | Trojan.Win32.harm.f	 | </f>
        <v/>
      </c>
    </row>
    <row r="2272">
      <c r="A2272">
        <f>=101317	 | backdoor.Win32.pluto.a	 | 0224946db8b83b71ab85432ff409e042</f>
        <v/>
      </c>
    </row>
    <row r="2273">
      <c r="A2273">
        <f>=101318	 | trojan.Win32.qukart.a	 | 0310537c542c5aa6e329672c3d282eb7</f>
        <v/>
      </c>
    </row>
    <row r="2274">
      <c r="A2274">
        <f>=101319	 | trojan.Win32.qukart.b	 | </f>
        <v/>
      </c>
    </row>
    <row r="2275">
      <c r="A2275">
        <f>=101320	 | worm.Win32.vobfus.f	 | c402dc0f11c32a80e21104ad0cdf084b</f>
        <v/>
      </c>
    </row>
    <row r="2276">
      <c r="A2276">
        <f>=101321	 | trojan.Win32.ransomware.ca	 | 57a71da3c360d0220e1a775c0a3920ca</f>
        <v/>
      </c>
    </row>
    <row r="2277">
      <c r="A2277">
        <f>=101322	 | trojan.Win32.skypee.a	 | b1878e213730253ec1630f81dc593823</f>
        <v/>
      </c>
    </row>
    <row r="2278">
      <c r="A2278">
        <f>=101323	 | trojan.Win32.vbkryjetor.a	 | 79e952f9440864e5273b939696b699ea</f>
        <v/>
      </c>
    </row>
    <row r="2279">
      <c r="A2279">
        <f>=101324	 | trojan.Win32.padodor.a	 | </f>
        <v/>
      </c>
    </row>
    <row r="2280">
      <c r="A2280">
        <f>=101327	 | trojan.Win32.vbna.a	 | 162bcebb3d1539ab1c21bccadcb27df2</f>
        <v/>
      </c>
    </row>
    <row r="2281">
      <c r="A2281">
        <f>=101328	 | worm.Win32.vbagent.a	 | 17c25f1d1c3ce38c8a7f266140df9d3f</f>
        <v/>
      </c>
    </row>
    <row r="2282">
      <c r="A2282">
        <f>=101329	 | worm.Win32.vb.m	 | </f>
        <v/>
      </c>
    </row>
    <row r="2283">
      <c r="A2283">
        <f>=101330	 | worm.Win32.debris.k	 | a1c55691bcdf876829e3d7f9684fb298</f>
        <v/>
      </c>
    </row>
    <row r="2284">
      <c r="A2284">
        <f>=101331	 | worm.Win32.debris.d	 | 06f7c08e15d90466ca8e76f39da021af</f>
        <v/>
      </c>
    </row>
    <row r="2285">
      <c r="A2285">
        <f>=101332	 | worm.Win32.wannacrypt.b	 | ddf7c7e408f1773adad19849c7f44903</f>
        <v/>
      </c>
    </row>
    <row r="2286">
      <c r="A2286">
        <f>=101335	 | trojan.Win32.fakepdf.AM	 | </f>
        <v/>
      </c>
    </row>
    <row r="2287">
      <c r="A2287">
        <f>=101337	 | trojan.Win32.fakepdf.AN	 | a6ea02a2bda06664231bce9f8fc2d3a0</f>
        <v/>
      </c>
    </row>
    <row r="2288">
      <c r="A2288">
        <f>=101338	 | trojan.Win32.fakepdf.AO	 | d639bb0bed4d824ad05548f6d84cc403</f>
        <v/>
      </c>
    </row>
    <row r="2289">
      <c r="A2289">
        <f>=101339	 | trojan.Win32.fakepdf.AP	 | 5e159eb3feaddd3084ae54c6f195b43e</f>
        <v/>
      </c>
    </row>
    <row r="2290">
      <c r="A2290">
        <f>=101340	 | trojan.Win32.fakepdf.AQ	 | b289ff7a596ca8658a64ded79cc7312f</f>
        <v/>
      </c>
    </row>
    <row r="2291">
      <c r="A2291">
        <f>=101341	 | trojan.Win32.fakepdf.AR	 | ace67690da44e1601d99a33c077733a7</f>
        <v/>
      </c>
    </row>
    <row r="2292">
      <c r="A2292">
        <f>=101342	 | trojan.Win32.fakepdf.AS	 | 1022f186fd7823cf4036987d22fd1dd0</f>
        <v/>
      </c>
    </row>
    <row r="2293">
      <c r="A2293">
        <f>=101343	 | trojan.Win32.fakepdf.AT	 | b717894e32b40bb2acd666a6259bee9c</f>
        <v/>
      </c>
    </row>
    <row r="2294">
      <c r="A2294">
        <f>=101344	 | Trojan.Win32.autoit.A	 | 99483283888f44f08ca20cf61b3ba65e</f>
        <v/>
      </c>
    </row>
    <row r="2295">
      <c r="A2295">
        <f>=101345	 | trojan.Win32.fakefolder.ey	 | 3766738d79b8dc32941c6ea9df139dad</f>
        <v/>
      </c>
    </row>
    <row r="2296">
      <c r="A2296">
        <f>=101346	 | trojan.Win32.obfus.a	 | de191dcfa02a18c7b9792548b5248a6d</f>
        <v/>
      </c>
    </row>
    <row r="2297">
      <c r="A2297">
        <f>=101347	 | trojan.Win32.picsys.b	 | </f>
        <v/>
      </c>
    </row>
    <row r="2298">
      <c r="A2298">
        <f>=101348	 | trojan.Win32.razy.b	 | 1888ca42d341cdbaf39cdfe43b4cd4b6</f>
        <v/>
      </c>
    </row>
    <row r="2299">
      <c r="A2299">
        <f>=101349	 | trojan.Win32.skypee.b	 | 0ed912e25d5ab023be72ca73e0a95114</f>
        <v/>
      </c>
    </row>
    <row r="2300">
      <c r="A2300">
        <f>=101350	 | trojan.Win32.snojan.e	 | 3326317fb02dbd4939d1da90d943cfcf</f>
        <v/>
      </c>
    </row>
    <row r="2301">
      <c r="A2301">
        <f>=101351	 | trojan.Win32.swisyn.b	 | cb65ff7055097077ee867dbf82f40714</f>
        <v/>
      </c>
    </row>
    <row r="2302">
      <c r="A2302">
        <f>=101352	 | trojan.Win32.vbkrypt.b	 | a4d011066109e95b5fa9247c45ddf357</f>
        <v/>
      </c>
    </row>
    <row r="2303">
      <c r="A2303">
        <f>=101353	 | trojan.Win64.drlifeminer.sg	 | d20fd46722f0ff6ed1f18e30fcbec13b</f>
        <v/>
      </c>
    </row>
    <row r="2304">
      <c r="A2304">
        <f>=101354	 | trojan.Win64.wannamine.d	 | b2b814b288b2ee2f329bfdd1f0c679ce</f>
        <v/>
      </c>
    </row>
    <row r="2305">
      <c r="A2305">
        <f>=101355	 | worm.Win32.debris.l	 | 75e1cc547a83ca01ef861b8725ddffd4</f>
        <v/>
      </c>
    </row>
    <row r="2306">
      <c r="A2306">
        <f>=101357	 | worm.Win32.fakefolder.kg	 | 2455e06eab5cdfa3ae63dc641e36e7be</f>
        <v/>
      </c>
    </row>
    <row r="2307">
      <c r="A2307">
        <f>=101359	 | worm.Win32.klez.D	 | e439ff4ce0e7b2d2bc3bf510d8a3e314</f>
        <v/>
      </c>
    </row>
    <row r="2308">
      <c r="A2308">
        <f>=101361	 | worm.Win32.vobfus.e	 | ee98de71c9cddeef5d8f62c974d8bf7a</f>
        <v/>
      </c>
    </row>
    <row r="2309">
      <c r="A2309">
        <f>=101362	 | worm.Win32.vobfus.g	 | 648b36aa408a5e053b72a08e5f02ecac</f>
        <v/>
      </c>
    </row>
    <row r="2310">
      <c r="A2310">
        <f>=101363	 | worm.Win32.vobfus.i	 | 2c4f8397a8dd7745d68cba80482db6bd</f>
        <v/>
      </c>
    </row>
    <row r="2311">
      <c r="A2311">
        <f>=101364	 | worm.Win32.wannacrypt.q	 | 7dc6d15c7d594c8e0f348614ae9a4b77</f>
        <v/>
      </c>
    </row>
    <row r="2312">
      <c r="A2312">
        <f>=101365	 | Backdoor.Win32.agent.ABU	 | 7ced425722bdb0349b655229ad3e577e</f>
        <v/>
      </c>
    </row>
    <row r="2313">
      <c r="A2313">
        <f>=101366	 | Backdoor.Win32.agent.ABV	 | </f>
        <v/>
      </c>
    </row>
    <row r="2314">
      <c r="A2314">
        <f>=101367	 | Backdoor.Win32.cosmicduke.A	 | b87f04773f0267a37f0c6cc94a5c5709</f>
        <v/>
      </c>
    </row>
    <row r="2315">
      <c r="A2315">
        <f>=101368	 | Backdoor.Win32.darkkomet.B	 | f3b797ad68bc3f6b5e6e23b455681e7d</f>
        <v/>
      </c>
    </row>
    <row r="2316">
      <c r="A2316">
        <f>=101369	 | Backdoor.Win32.delf.D	 | 00557511cf5f83a7f96441c273455a85</f>
        <v/>
      </c>
    </row>
    <row r="2317">
      <c r="A2317">
        <f>=101370	 | Backdoor.Win32.oceanlotus.Q	 | bf4b3f6889e570e11e2d3536aaebb417</f>
        <v/>
      </c>
    </row>
    <row r="2318">
      <c r="A2318">
        <f>=101371	 | Backdoor.Win32.oceanlotus.X	 | d5796a29d203f70a7728de6dd01ee8c4</f>
        <v/>
      </c>
    </row>
    <row r="2319">
      <c r="A2319">
        <f>=101372	 | Backdoor.Win32.posion.B	 | 901b338e39c2c2e5e04f81de1a7b8a6b</f>
        <v/>
      </c>
    </row>
    <row r="2320">
      <c r="A2320">
        <f>=101373	 | Backdoor.Win32.urelas.E	 | 084d5fda880be30f1a1e94e5fc1133d9</f>
        <v/>
      </c>
    </row>
    <row r="2321">
      <c r="A2321">
        <f>=101374	 | Backdoor.Win32.urelas.H	 | f40f9a51c039744403d02d60ac622998</f>
        <v/>
      </c>
    </row>
    <row r="2322">
      <c r="A2322">
        <f>=101375	 | Backdoor.Win32.urelas.J	 | f129358612736b936560391d40d15dfd</f>
        <v/>
      </c>
    </row>
    <row r="2323">
      <c r="A2323">
        <f>=101376	 | Backdoor.Win32.urelas.K	 | 78ad98fa5669436aaae66580af449948</f>
        <v/>
      </c>
    </row>
    <row r="2324">
      <c r="A2324">
        <f>=101377	 | Backdoor.Win32.urelas.L	 | a3f9f617fd6d482bc90f9d1637e95f84</f>
        <v/>
      </c>
    </row>
    <row r="2325">
      <c r="A2325">
        <f>=101378	 | Backdoor.Win32.urelas.M	 | c9f8163fdf5d62b842fb8a376492d2e3</f>
        <v/>
      </c>
    </row>
    <row r="2326">
      <c r="A2326">
        <f>=101379	 | Backdoor.Win32.urelas.N	 | 35b7dd44cbb6f0f5cd532972f68362ea</f>
        <v/>
      </c>
    </row>
    <row r="2327">
      <c r="A2327">
        <f>=101380	 | Backdoor.Win32.urelas.Z	 | cdf5b62059547d3e0796a6512fce6ba5</f>
        <v/>
      </c>
    </row>
    <row r="2328">
      <c r="A2328">
        <f>=101381	 | Backdoor.Win32.urelas.O	 | 89362e80c11132309a14f8682d17beae</f>
        <v/>
      </c>
    </row>
    <row r="2329">
      <c r="A2329">
        <f>=101382	 | Backdoor.Win32.urelas.R	 | 2e4397b285f2ea623b431510f82bf106</f>
        <v/>
      </c>
    </row>
    <row r="2330">
      <c r="A2330">
        <f>=101383	 | Backdoor.Win32.zbot.F	 | 064e28dddb84b2f6724898fb4c55a2bf</f>
        <v/>
      </c>
    </row>
    <row r="2331">
      <c r="A2331">
        <f>=101384	 | Backdoor.Win32.zepfod.A	 | a1c110f1366fbd427e947f32d1f1b20e</f>
        <v/>
      </c>
    </row>
    <row r="2332">
      <c r="A2332">
        <f>=101386	 | Trojan.Win32.shipup.E	 | e983d4306e4bba7bc61271d72b03ee9a</f>
        <v/>
      </c>
    </row>
    <row r="2333">
      <c r="A2333">
        <f>=101387	 | Trojan.Win32.adware.adposhel.A	 | e26611c941665cbfdfece4ee1180a6e4</f>
        <v/>
      </c>
    </row>
    <row r="2334">
      <c r="A2334">
        <f>=101388	 | Trojan.Win32.adware.agent.BB	 | ea848bf36502832acfc5e67261de04bd</f>
        <v/>
      </c>
    </row>
    <row r="2335">
      <c r="A2335">
        <f>=101389	 | Trojan.Win32.Downloader.waski.K	 | 7f23c753a94d6bbec35f00cecadcc1a4</f>
        <v/>
      </c>
    </row>
    <row r="2336">
      <c r="A2336">
        <f>=101390	 | Trojan.Win32.gandcrab.AM	 | 676bcbfc31870ed6fa9e5194f511d293</f>
        <v/>
      </c>
    </row>
    <row r="2337">
      <c r="A2337">
        <f>=101391	 | Trojan.Win32.gandcrab.AR	 | 0d588dbf0faa8264ecfcba90253ef116</f>
        <v/>
      </c>
    </row>
    <row r="2338">
      <c r="A2338">
        <f>=101392	 | Trojan.Win32.gandcrab.AS	 | beba3ee10d7daabfb72cf670097ff296</f>
        <v/>
      </c>
    </row>
    <row r="2339">
      <c r="A2339">
        <f>=101393	 | Trojan.Win32.gandcrab.AU	 | d084451ad844a0e2be857527dba1a99c</f>
        <v/>
      </c>
    </row>
    <row r="2340">
      <c r="A2340">
        <f>=101394	 | Trojan.Win32.gandcrab.AW	 | c70c34f774ddca19201744baa3c783dc</f>
        <v/>
      </c>
    </row>
    <row r="2341">
      <c r="A2341">
        <f>=101395	 | Trojan.Win32.gandcrab.AX	 | 922e8cf77e72fde75e600483fdd8e671</f>
        <v/>
      </c>
    </row>
    <row r="2342">
      <c r="A2342">
        <f>=101396	 | Trojan.Win32.gandcrab.V	 | 88152429dde1ecd18c59218339289b60</f>
        <v/>
      </c>
    </row>
    <row r="2343">
      <c r="A2343">
        <f>=101397	 | Trojan.Win32.gandcrab.W	 | 40db449f0dba86fd2bc03a3d4caad657</f>
        <v/>
      </c>
    </row>
    <row r="2344">
      <c r="A2344">
        <f>=101398	 | Trojan.Win32.gandcrab.Y	 | a1f1f1c8df5e0c0fc9a25838db535bce</f>
        <v/>
      </c>
    </row>
    <row r="2345">
      <c r="A2345">
        <f>=101399	 | Trojan.Win32.omaneat.A	 | 02d12f30746d7f55975691151b7284b3</f>
        <v/>
      </c>
    </row>
    <row r="2346">
      <c r="A2346">
        <f>=101400	 | Trojan.Win32.agent.HR	 | 1fe827bd41de734d6363c6dc03e0eccc</f>
        <v/>
      </c>
    </row>
    <row r="2347">
      <c r="A2347">
        <f>=101401	 | Trojan.Win32.agent.HS	 | 2e139cb4ba88cd6a469a32143762df1b</f>
        <v/>
      </c>
    </row>
    <row r="2348">
      <c r="A2348">
        <f>=101402	 | Trojan.Win32.agent.IL	 | 32ed0f47a61f1f946a2c2de486d1c799</f>
        <v/>
      </c>
    </row>
    <row r="2349">
      <c r="A2349">
        <f>=101403	 | Trojan.Win32.Emote.A	 | </f>
        <v/>
      </c>
    </row>
    <row r="2350">
      <c r="A2350">
        <f>=101405	 | Backdoor.Win32.Koutodoor.CN	 | </f>
        <v/>
      </c>
    </row>
    <row r="2351">
      <c r="A2351">
        <f>=101406	 | Backdoor.Win32.Koutodoor.CO	 | </f>
        <v/>
      </c>
    </row>
    <row r="2352">
      <c r="A2352">
        <f>=101407	 | Trojan.Win32.Shipup.F	 | 506a88aa2d127cb26a9b9830b3b0c074</f>
        <v/>
      </c>
    </row>
    <row r="2353">
      <c r="A2353">
        <f>=101408	 | Trojan.Win32.Vundo.V	 | 4d1721ec97451eaaeec4cc7bdd6e6171</f>
        <v/>
      </c>
    </row>
    <row r="2354">
      <c r="A2354">
        <f>=101409	 | Trojan.Win32.Yolox.D	 | 931259777e296b70b170b35de94c408c</f>
        <v/>
      </c>
    </row>
    <row r="2355">
      <c r="A2355">
        <f>=101410	 | Trojan.Win32.Zusy.F	 | d295281b78a9e951793fdef47bca7427</f>
        <v/>
      </c>
    </row>
    <row r="2356">
      <c r="A2356">
        <f>=101411	 | Worm.Win32.Mira.D	 | 0704aaa0075825c5882eb241a031bb27</f>
        <v/>
      </c>
    </row>
    <row r="2357">
      <c r="A2357">
        <f>=101412	 | Worm.Win32.FakeFolder.B	 | 023774c7381f0d6d6d64c4a41566d725</f>
        <v/>
      </c>
    </row>
    <row r="2358">
      <c r="A2358">
        <f>=101413	 | Trojan.Win32.Injector.BCE	 | 7b18b6e30955c5bb4bfaea1597cf8e26</f>
        <v/>
      </c>
    </row>
    <row r="2359">
      <c r="A2359">
        <f>=101415	 | Trojan.Win32.QQPass.DR	 | 00499f6ca593c4080bb512107772c65c</f>
        <v/>
      </c>
    </row>
    <row r="2360">
      <c r="A2360">
        <f>=101416	 | Trojan.Win32.Agent.AQA	 | 0b8b457ebf0b04696e017a66a65e5cca</f>
        <v/>
      </c>
    </row>
    <row r="2361">
      <c r="A2361">
        <f>=101417	 | Trojan.Win32.Unruy.J	 | 6448a42cbbd3fc3e8443987723cd04c4</f>
        <v/>
      </c>
    </row>
    <row r="2362">
      <c r="A2362">
        <f>=101418	 | Trojan.Win32.Upatre.AD	 | 78afddb47484c33e58b28598152cb6c5</f>
        <v/>
      </c>
    </row>
    <row r="2363">
      <c r="A2363">
        <f>=101419	 | Trojan.Win32.Upatre.BCL	 | 07d82f5971284d6d8dc418bf3cefdf7b</f>
        <v/>
      </c>
    </row>
    <row r="2364">
      <c r="A2364">
        <f>=101420	 | Trojan.Win32.Upatre.BCM	 | 06ad74b9597dfd247dc9f91e2b8561fa</f>
        <v/>
      </c>
    </row>
    <row r="2365">
      <c r="A2365">
        <f>=101421	 | Trojan.Win32.Upatre.BCN	 | 26b0697ba76a1737899f16a686d25d0c</f>
        <v/>
      </c>
    </row>
    <row r="2366">
      <c r="A2366">
        <f>=101422	 | Trojan.Win32.Gepys.K	 | 5d37cc2ae140d3e7ecb891f41237eee4</f>
        <v/>
      </c>
    </row>
    <row r="2367">
      <c r="A2367">
        <f>=101423	 | Trojan.Win32.Gepys.L	 | 7d8740b79ed3d93f82a9d909cc7359e2</f>
        <v/>
      </c>
    </row>
    <row r="2368">
      <c r="A2368">
        <f>=101424	 | Trojan.Win32.Gepys.M	 | 026a4debe9060ae1b05e309ab1f7cbd1</f>
        <v/>
      </c>
    </row>
    <row r="2369">
      <c r="A2369">
        <f>=101425	 | Trojan.Win32.Gepys.N	 | 29f139ec160f9c1e9bd8f60fec615099</f>
        <v/>
      </c>
    </row>
    <row r="2370">
      <c r="A2370">
        <f>=101426	 | Trojan.Win32.Gepys.O	 | </f>
        <v/>
      </c>
    </row>
    <row r="2371">
      <c r="A2371">
        <f>=101427	 | Trojan.Win32.Gepys.P	 | bd93338f709cfc13060f586c4ba5f03f</f>
        <v/>
      </c>
    </row>
    <row r="2372">
      <c r="A2372">
        <f>=101428	 | Trojan.Win32.Fareit.A	 | d8bfa1856c231e70f05497b6c807d2e3</f>
        <v/>
      </c>
    </row>
    <row r="2373">
      <c r="A2373">
        <f>=101429	 | Trojan.Win32.Golf.F	 | 75c683a911d35af46be35f414e19fcf2</f>
        <v/>
      </c>
    </row>
    <row r="2374">
      <c r="A2374">
        <f>=101432	 | Trojan.Win32.Golf.H	 | 04984b841a897efc7187a31346755136</f>
        <v/>
      </c>
    </row>
    <row r="2375">
      <c r="A2375">
        <f>=101434	 | Trojan.Win32.Upatre.GEN!A	 | 983c122d9ccadb702a47d950eb5eaeb0</f>
        <v/>
      </c>
    </row>
    <row r="2376">
      <c r="A2376">
        <f>=101435	 | Trojan.Win32.Agent.X	 | e2d847a2a678a495d1279d311c4a2922</f>
        <v/>
      </c>
    </row>
    <row r="2377">
      <c r="A2377">
        <f>=101436	 | Trojan.Win32.Agent.AQB	 | c09aeea1767ff477d5ced2c4260e3567</f>
        <v/>
      </c>
    </row>
    <row r="2378">
      <c r="A2378">
        <f>=101437	 | Trojan.Win32.Agent.AQC	 | 15e526ad3493f3c252711095c0ff4f79</f>
        <v/>
      </c>
    </row>
    <row r="2379">
      <c r="A2379">
        <f>=101438	 | Trojan.Win32.Agent.AQD	 | </f>
        <v/>
      </c>
    </row>
    <row r="2380">
      <c r="A2380">
        <f>=101439	 | Trojan.Win32.Agent.AQE	 | 15714709a192f1aef79aba890c098147</f>
        <v/>
      </c>
    </row>
    <row r="2381">
      <c r="A2381">
        <f>=101440	 | Trojan.Win32.Upatre.GEN!B	 | 1de2f8758995c73c09656630e7ed04f2</f>
        <v/>
      </c>
    </row>
    <row r="2382">
      <c r="A2382">
        <f>=101441	 | Trojan.Win32.GameteaSpy.C	 | 33d34c78119daf2e390cf86f7a99aeca</f>
        <v/>
      </c>
    </row>
    <row r="2383">
      <c r="A2383">
        <f>=101442	 | Ransom.Win32.GandCrab.Y	 | c932bce82ca26017cb9a4bb219c9cc80</f>
        <v/>
      </c>
    </row>
    <row r="2384">
      <c r="A2384">
        <f>=101444	 | Trojan.Win32.Injector.GEN!A	 | b0832620f90123e865290d42c7c60760</f>
        <v/>
      </c>
    </row>
    <row r="2385">
      <c r="A2385">
        <f>=101445	 | Trojan.Win32.MalBehav.GEN!B	 | 3e3372cb20d7a9fb179f9bb090c9d7ee</f>
        <v/>
      </c>
    </row>
    <row r="2386">
      <c r="A2386">
        <f>=101446	 | Trojan.Win32.MalBehav.GEN!C	 | 18bbafb847df569afb4dda68159ab4ac</f>
        <v/>
      </c>
    </row>
    <row r="2387">
      <c r="A2387">
        <f>=101447	 | Trojan.Win32.Agent.BP	 | 246119d440ef911d295f64145e865386</f>
        <v/>
      </c>
    </row>
    <row r="2388">
      <c r="A2388">
        <f>=101448	 | Ransom.Win32.GandCrab.AC	 | 22194156b10a4bc0a77e661d1324d326</f>
        <v/>
      </c>
    </row>
    <row r="2389">
      <c r="A2389">
        <f>=101449	 | Ransom.Win32.GandCrab.AD	 | </f>
        <v/>
      </c>
    </row>
    <row r="2390">
      <c r="A2390">
        <f>=101450	 | Trojan.Win32.MalBehav.GEN!A	 | 651649ca0444388fba8525c6afb6fd02</f>
        <v/>
      </c>
    </row>
    <row r="2391">
      <c r="A2391">
        <f>=101451	 | Worm.Win32.Picsys.A	 | 02517ed6fe7ac073817711b111d8083f</f>
        <v/>
      </c>
    </row>
    <row r="2392">
      <c r="A2392">
        <f>=101452	 | Worm.Win32.Fasong.C	 | 8c07d5e7bf6cf6a5670a57a8c43383b6</f>
        <v/>
      </c>
    </row>
    <row r="2393">
      <c r="A2393">
        <f>=101454	 | Worm.Win32.Allaple.A	 | c2f5a3c57a2de2c90de2fb5a660c9ac7</f>
        <v/>
      </c>
    </row>
    <row r="2394">
      <c r="A2394">
        <f>=101456	 | Trojan.Win32.Obfuscator.B	 | 002efea10c6289a9bfe5ce144e24964f</f>
        <v/>
      </c>
    </row>
    <row r="2395">
      <c r="A2395">
        <f>=101458	 | Trojan.Win32.Injector.GELUD	 | </f>
        <v/>
      </c>
    </row>
    <row r="2396">
      <c r="A2396">
        <f>=101459	 | Backdoor.Win32.Bladabindi.E	 | 45485f449ba65a85d761f4bde9cd8c85</f>
        <v/>
      </c>
    </row>
    <row r="2397">
      <c r="A2397">
        <f>=101460	 | Backdoor.Win32.DeltaSource.AX	 | cbbb6d23825c21fd2c88abe9e9ec740a</f>
        <v/>
      </c>
    </row>
    <row r="2398">
      <c r="A2398">
        <f>=101461	 | Backdoor.Win32.IRCBot.D	 | 00d2b91d9dccfc80015e83a05146a9ae</f>
        <v/>
      </c>
    </row>
    <row r="2399">
      <c r="A2399">
        <f>=101462	 | Backdoor.Win32.Bladabindi.P	 | 8635a2fcb08316f82d37eab996f50dc1</f>
        <v/>
      </c>
    </row>
    <row r="2400">
      <c r="A2400">
        <f>=101463	 | Hackertool.Win64.CoinMiner.B	 | 005428b9e5dd036c4c3581cec7d01541</f>
        <v/>
      </c>
    </row>
    <row r="2401">
      <c r="A2401">
        <f>=101464	 | Hackertool.Win64.CoinMiner.BCD	 | 0020a6feda32bd706117ce3a28df11cd</f>
        <v/>
      </c>
    </row>
    <row r="2402">
      <c r="A2402">
        <f>=101466	 | Trojan.Win32.Upatre.BCO	 | 12016df3dd613b0c096fcb215befd8a1</f>
        <v/>
      </c>
    </row>
    <row r="2403">
      <c r="A2403">
        <f>=101467	 | Trojan.Win32.Upatre.BCP	 | 160d1dcaa66af91f896f588cd551b26c</f>
        <v/>
      </c>
    </row>
    <row r="2404">
      <c r="A2404">
        <f>=101468	 | Trojan.Win32.Upatre.BCF	 | 42779da61adc219629b9377f45b4f727</f>
        <v/>
      </c>
    </row>
    <row r="2405">
      <c r="A2405">
        <f>=101469	 | Trojan.Win32.Upatre.BCG	 | 02e4f6c52d689864858532327fed1da3</f>
        <v/>
      </c>
    </row>
    <row r="2406">
      <c r="A2406">
        <f>=101470	 | Trojan.Win32.Upatre.BCQ	 | 69db0ea8495b713af9df43d5e84cd1c6</f>
        <v/>
      </c>
    </row>
    <row r="2407">
      <c r="A2407">
        <f>=101471	 | Trojan.Win32.Upatre.BCR	 | 742e71e1385e65c88d82780b6e4b4cbc</f>
        <v/>
      </c>
    </row>
    <row r="2408">
      <c r="A2408">
        <f>=101472	 | Trojan.Win32.Upatre.BCS	 | 1e0c1cd16819c0a9474bdb10dbb3ae87</f>
        <v/>
      </c>
    </row>
    <row r="2409">
      <c r="A2409">
        <f>=101473	 | Trojan.Win32.Upatre.BCT	 | c3ab04542af848dde157613c5fddd91b</f>
        <v/>
      </c>
    </row>
    <row r="2410">
      <c r="A2410">
        <f>=101474	 | Trojan.Win32.Upatre.BCU	 | bd2d96888979f91b2db08efad5b9ebc6</f>
        <v/>
      </c>
    </row>
    <row r="2411">
      <c r="A2411">
        <f>=101475	 | Trojan.Win32.Upatre.BCV	 | 4fc33993fed137181e288b6e78814002</f>
        <v/>
      </c>
    </row>
    <row r="2412">
      <c r="A2412">
        <f>=101476	 | Trojan.Win32.Upatre.BCW	 | fed52cc2fdf023952f2115b8a79c25a1</f>
        <v/>
      </c>
    </row>
    <row r="2413">
      <c r="A2413">
        <f>=101477	 | Trojan.Win32.Upatre.BCX	 | b7c2f90c83a6879f7bca58643b88c5cc</f>
        <v/>
      </c>
    </row>
    <row r="2414">
      <c r="A2414">
        <f>=101478	 | Trojan.Win32.Upatre.BCY	 | bcd184de6ee358586d47c5162c7ade36</f>
        <v/>
      </c>
    </row>
    <row r="2415">
      <c r="A2415">
        <f>=101479	 | Backdoor.Win32.LolBot.BCD	 | 0876618666a3dc5c30047a187224d3b2</f>
        <v/>
      </c>
    </row>
    <row r="2416">
      <c r="A2416">
        <f>=101480	 | Worm.Win32.Agent.G	 | 61ca3c37cad2f5911114989b52fe5320</f>
        <v/>
      </c>
    </row>
    <row r="2417">
      <c r="A2417">
        <f>=101481	 | Backdoor.Win32.Nanocore.BCD	 | 6d1ab01f39a17cdcbdb1f86fc61be5ab</f>
        <v/>
      </c>
    </row>
    <row r="2418">
      <c r="A2418">
        <f>=101482	 | Backdoor.Win32.Bladabindi.N	 | 90981546041cc3e347e7f02ad75a1049</f>
        <v/>
      </c>
    </row>
    <row r="2419">
      <c r="A2419">
        <f>=101483	 | Backdoor.Win32.Remcos.A	 | 26e5448cb0c01580dd4c5f39e079974d</f>
        <v/>
      </c>
    </row>
    <row r="2420">
      <c r="A2420">
        <f>=101756	 | Trojan.Win32.Mabezet.A	 | 07101141c28bc443f810d3024375347b</f>
        <v/>
      </c>
    </row>
    <row r="2421">
      <c r="A2421">
        <f>=101757	 | Trojan.Win32.Wdext.A	 | 05b975db2c664dbe04c644ea2d6e01a9</f>
        <v/>
      </c>
    </row>
    <row r="2422">
      <c r="A2422">
        <f>=101760	 | Trojan.Win32.Vbviking.A	 | </f>
        <v/>
      </c>
    </row>
    <row r="2423">
      <c r="A2423">
        <f>=101761	 | Trojan.Win32.Mewsspy.A	 | c8763a52741380dbe7d078f59921b026</f>
        <v/>
      </c>
    </row>
    <row r="2424">
      <c r="A2424">
        <f>=101762	 | Trojan.Win32.Alman.A	 | f3e5fbe19eb1127700fabdda52fc7520</f>
        <v/>
      </c>
    </row>
    <row r="2425">
      <c r="A2425">
        <f>=101763	 | Trojan.Win32.Mabezet.B	 | 662f9d31b86368844a4a2529b3384f16</f>
        <v/>
      </c>
    </row>
    <row r="2426">
      <c r="A2426">
        <f>=101764	 | VirTool.Win32.Obfuscator.A	 | 5a12f30c5f2d096433fa4fe61713b7a0</f>
        <v/>
      </c>
    </row>
    <row r="2427">
      <c r="A2427">
        <f>=101765	 | VirTool.Win32.Obfuscator.B	 | </f>
        <v/>
      </c>
    </row>
    <row r="2428">
      <c r="A2428">
        <f>=101791	 | Trojan.Win32.Symsvr.A	 | 9ca3fc5d14e02b4de797400b49facf11</f>
        <v/>
      </c>
    </row>
    <row r="2429">
      <c r="A2429">
        <f>=101792	 | Trojan.Win32.Perez.A	 | 5ced9809abab5a49ed0e35457ecb6743</f>
        <v/>
      </c>
    </row>
    <row r="2430">
      <c r="A2430">
        <f>=101796	 | Trojan.Win32.gamethief.AH	 | b7f532edabf33490268e81cb43a1cad0</f>
        <v/>
      </c>
    </row>
    <row r="2431">
      <c r="A2431">
        <f>=101798	 | Trojan.Win32.GameteaSpy.D	 | </f>
        <v/>
      </c>
    </row>
    <row r="2432">
      <c r="A2432">
        <f>=101799	 | Hackertool.Win32.Obfuscator.AG	 | </f>
        <v/>
      </c>
    </row>
    <row r="2433">
      <c r="A2433">
        <f>=101800	 | Trojan.Win32.Nitol.A	 | 1a46ad32ea9154d6a9b0815db18dfa1a</f>
        <v/>
      </c>
    </row>
    <row r="2434">
      <c r="A2434">
        <f>=101802	 | Worm.Win32.Autorun.CR	 | 174bc880fd81b4c99abda4603493dded</f>
        <v/>
      </c>
    </row>
    <row r="2435">
      <c r="A2435">
        <f>=101805	 | Hackertool.Win32.Obfuscator.BN	 | 58ff183605d7db2991d090b3ef46dfe3</f>
        <v/>
      </c>
    </row>
    <row r="2436">
      <c r="A2436">
        <f>=101808	 | Worm.Win32.Picsys.D	 | 177e1e1302804eca8eb07801ed6ecd0f</f>
        <v/>
      </c>
    </row>
    <row r="2437">
      <c r="A2437">
        <f>=101812	 | Trojan.Win32.Agent.UH	 | 55421e39204051a04c7f3a30c52833fa</f>
        <v/>
      </c>
    </row>
    <row r="2438">
      <c r="A2438">
        <f>=101813	 | Adware.Win32.DownloadSponsor.A	 | 18d9fb693ebb15dc33c6c3c3cb05d09d</f>
        <v/>
      </c>
    </row>
    <row r="2439">
      <c r="A2439">
        <f>=101814	 | Trojan.Win32.QQPass.BC	 | </f>
        <v/>
      </c>
    </row>
    <row r="2440">
      <c r="A2440">
        <f>=101817	 | Worm.Win32.Mira.E	 | 00d81ee76206d241b30c174eeb2fe6ef</f>
        <v/>
      </c>
    </row>
    <row r="2441">
      <c r="A2441">
        <f>=101818	 | Hackertool.Win32.EquationDrug.C	 | 0532144eff979efd0bc64a3aa65961ba</f>
        <v/>
      </c>
    </row>
    <row r="2442">
      <c r="A2442">
        <f>=101819	 | Worm.Win32.Share.A	 | e9ab31647d03eedacc98d4f6db35b0ce</f>
        <v/>
      </c>
    </row>
    <row r="2443">
      <c r="A2443">
        <f>=101824	 | Adware.Win32.Gator.A	 | 0bf3902835681dc731246d2db6210d29</f>
        <v/>
      </c>
    </row>
    <row r="2444">
      <c r="A2444">
        <f>=101825	 | Adware.Win32.Linkury.A	 | 5e152aa27f3350d04f0919ab4338e76e</f>
        <v/>
      </c>
    </row>
    <row r="2445">
      <c r="A2445">
        <f>=101826	 | Adware.Win32.Vittalia.A	 | 5f186698f9ba68ec0bd994c3a8045ace</f>
        <v/>
      </c>
    </row>
    <row r="2446">
      <c r="A2446">
        <f>=101827	 | Backdoor.Win32.Bladabindi.A	 | 1b3a4421c5a1e74fd8860859749ec76d</f>
        <v/>
      </c>
    </row>
    <row r="2447">
      <c r="A2447">
        <f>=101828	 | Backdoor.Win32.IRCBot.E	 | 662fb8e1864d3d58c092f2315714dfc8</f>
        <v/>
      </c>
    </row>
    <row r="2448">
      <c r="A2448">
        <f>=101829	 | Backdoor.Win32.IRCBot.F	 | 46e9849ae55d97aa8062c327ba528139</f>
        <v/>
      </c>
    </row>
    <row r="2449">
      <c r="A2449">
        <f>=101831	 | Ransom.Win32.GandCrab.AE	 | dcf9b2e64fb926fd96753daea57f15ce</f>
        <v/>
      </c>
    </row>
    <row r="2450">
      <c r="A2450">
        <f>=101832	 | Trojan.Win32.Injector.GELUE	 | 63112594234a013b6a1cc12070ca7546</f>
        <v/>
      </c>
    </row>
    <row r="2451">
      <c r="A2451">
        <f>=101834	 | RootKit.Win32.StartPage.A	 | </f>
        <v/>
      </c>
    </row>
    <row r="2452">
      <c r="A2452">
        <f>=101835	 | RootKit.Win32.StartPage.D	 | </f>
        <v/>
      </c>
    </row>
    <row r="2453">
      <c r="A2453">
        <f>=101836	 | RootKit.Win32.StartPage.B	 | </f>
        <v/>
      </c>
    </row>
    <row r="2454">
      <c r="A2454">
        <f>=101837	 | RootKit.Win32.StartPage.C	 | </f>
        <v/>
      </c>
    </row>
    <row r="2455">
      <c r="A2455">
        <f>=101846	 | Trojan.Win32.Agent.JF	 | 62472bf2a70c8205dc33acacaef5f286</f>
        <v/>
      </c>
    </row>
    <row r="2456">
      <c r="A2456">
        <f>=101855	 | Worm.Win32.Allaple.AC	 | a1961f757c91cc1e0205616190fdb2d6</f>
        <v/>
      </c>
    </row>
    <row r="2457">
      <c r="A2457">
        <f>=101856	 | Trojan.Win32.Agent.AQF	 | 0b3774678a564d66878f5127517d8e0f</f>
        <v/>
      </c>
    </row>
    <row r="2458">
      <c r="A2458">
        <f>=101857	 | RootKit.Win32.StartPage.L	 | 4b9d611cbbe6d18111f205d140ab57c5</f>
        <v/>
      </c>
    </row>
    <row r="2459">
      <c r="A2459">
        <f>=101858	 | Adware.Win32.Xetapp.B	 | 003cf2cc9278559102dae749b030aefb</f>
        <v/>
      </c>
    </row>
    <row r="2460">
      <c r="A2460">
        <f>=101859	 | Backdoor.Win32.Nanocore.B	 | 4d8732ed97abc9c6ae278814ecd77475</f>
        <v/>
      </c>
    </row>
    <row r="2461">
      <c r="A2461">
        <f>=101861	 | Worm.Win32.DTStealer.B	 | 5f13287c8b50ba3526e5564a4b7406ab</f>
        <v/>
      </c>
    </row>
    <row r="2462">
      <c r="A2462">
        <f>=101862	 | Adware.Win32.Adposhel.A	 | ee25d03c2092a2c51c336d725603cd0b</f>
        <v/>
      </c>
    </row>
    <row r="2463">
      <c r="A2463">
        <f>=101863	 | Adware.Win32.Gator.B	 | </f>
        <v/>
      </c>
    </row>
    <row r="2464">
      <c r="A2464">
        <f>=101864	 | Adware.Win32.Gator.C	 | </f>
        <v/>
      </c>
    </row>
    <row r="2465">
      <c r="A2465">
        <f>=101865	 | Trojan.Win32.VBClone.C	 | b95179e88c31f33606f04249a8ece75d</f>
        <v/>
      </c>
    </row>
    <row r="2466">
      <c r="A2466">
        <f>=101866	 | Worm.Win32.Allaple.AD	 | 03c96e340705ad404770570e57f774f2</f>
        <v/>
      </c>
    </row>
    <row r="2467">
      <c r="A2467">
        <f>=101867	 | Worm.Win32.Autorun.CS	 | </f>
        <v/>
      </c>
    </row>
    <row r="2468">
      <c r="A2468">
        <f>=101868	 | Worm.Win32.P2PShare.A	 | 01e1a7d85c8e93f532e52c07c4d0b2b0</f>
        <v/>
      </c>
    </row>
    <row r="2469">
      <c r="A2469">
        <f>=101869	 | Adware.Win32.Firseria.A	 | 4edf1c817b5dcc0d1756cbfe505689e8</f>
        <v/>
      </c>
    </row>
    <row r="2470">
      <c r="A2470">
        <f>=101870	 | Adware.Win32.FirseriaInstaller.A	 | cae405061afb32ecddf0cc669081b81d</f>
        <v/>
      </c>
    </row>
    <row r="2471">
      <c r="A2471">
        <f>=101873	 | Trojan.Win32.Addrop.A	 | f2946d37cdb159ab752596925272dbf7</f>
        <v/>
      </c>
    </row>
    <row r="2472">
      <c r="A2472">
        <f>=101874	 | Trojan.Win32.OceanLotus.A	 | fd128b9f0cbdc374227cf5564371aacc</f>
        <v/>
      </c>
    </row>
    <row r="2473">
      <c r="A2473">
        <f>=101875	 | Trojan.Win32.Agent.NEYNDY	 | 000ac5fca9c619edd20e8c14f53fe55e</f>
        <v/>
      </c>
    </row>
    <row r="2474">
      <c r="A2474">
        <f>=101877	 | Backdoor.Win32.Bladabindi.BCD	 | 558eeec68b910a6b58ab85a1f59b0391</f>
        <v/>
      </c>
    </row>
    <row r="2475">
      <c r="A2475">
        <f>=101878	 | Backdoor.Win32.Bladabindi.BCE	 | 090eccbcf04968c399ece2a60ff306a3</f>
        <v/>
      </c>
    </row>
    <row r="2476">
      <c r="A2476">
        <f>=101879	 | Backdoor.Win32.Bladabindi.BCF	 | </f>
        <v/>
      </c>
    </row>
    <row r="2477">
      <c r="A2477">
        <f>=101880	 | Worm.Win32.Autorun.CT	 | 287a7180c7b575f36565a2f104524d26</f>
        <v/>
      </c>
    </row>
    <row r="2478">
      <c r="A2478">
        <f>=101882	 | Adware.Win32.InstallCore.S	 | 89e9ebac06f1dc10adb5948ec90d8d5d</f>
        <v/>
      </c>
    </row>
    <row r="2479">
      <c r="A2479">
        <f>=101883	 | Trojan.Win32.Injector.FB	 | b32b8a212427de576d750c325a1fea83</f>
        <v/>
      </c>
    </row>
    <row r="2480">
      <c r="A2480">
        <f>=101884	 | Trojan.Win32.Injector.FC	 | 7f03423374ec2ec4493c74b1dc279a3f</f>
        <v/>
      </c>
    </row>
    <row r="2481">
      <c r="A2481">
        <f>=101885	 | Trojan.Win32.Injector.JE	 | </f>
        <v/>
      </c>
    </row>
    <row r="2482">
      <c r="A2482">
        <f>=101886	 | Trojan.Win32.MSILLinkury.A	 | 773cf44fd28c70b71a6ef7105d918e62</f>
        <v/>
      </c>
    </row>
    <row r="2483">
      <c r="A2483">
        <f>=101887	 | Trojan.Win32.MSILLinkury.B	 | c4562f136079daf9d43ef05204d0ce6a</f>
        <v/>
      </c>
    </row>
    <row r="2484">
      <c r="A2484">
        <f>=101888	 | Trojan.Win32.MSILLinkury.C	 | ab26c20a1a907ab2c84fc6e5d66cc3bb</f>
        <v/>
      </c>
    </row>
    <row r="2485">
      <c r="A2485">
        <f>=101889	 | Trojan.Win32.MSILLinkury.D	 | 582792657afa3c2fa1cada04852b4ef6</f>
        <v/>
      </c>
    </row>
    <row r="2486">
      <c r="A2486">
        <f>=101891	 | Trojan.Win32.VB.CMY	 | 001e0378130fc4b1f75afebcc1c9e4cd</f>
        <v/>
      </c>
    </row>
    <row r="2487">
      <c r="A2487">
        <f>=101892	 | Trojan.Win32.Mansabo.BTU	 | 056f2171d2b61eeb13343caf3680ef7e</f>
        <v/>
      </c>
    </row>
    <row r="2488">
      <c r="A2488">
        <f>=101893	 | Exploit.Win32.CVE-2016-7255.BH	 | 00d2b8da5d9a7ed57d90c0472ca29e1c</f>
        <v/>
      </c>
    </row>
    <row r="2489">
      <c r="A2489">
        <f>=101894	 | Worm.Win32.JowoBot.A	 | 712ed9ea6a4bccb4dd4f717d8a0e3422</f>
        <v/>
      </c>
    </row>
    <row r="2490">
      <c r="A2490">
        <f>=101895	 | Trojan.Win32.Cosmu.DNEJ	 | 6283a665879bc39cc17c76b9b63b8d74</f>
        <v/>
      </c>
    </row>
    <row r="2491">
      <c r="A2491">
        <f>=101896	 | Trojan.Win32.Small.ACLI	 | 1397d4a9c94ea69414057ba7409e0ee5</f>
        <v/>
      </c>
    </row>
    <row r="2492">
      <c r="A2492">
        <f>=101897	 | Backdoor.Win32.Delf.CST	 | 4a639b3e3421857ede304e946e2d8f08</f>
        <v/>
      </c>
    </row>
    <row r="2493">
      <c r="A2493">
        <f>=101898	 | Trojan.Win32.Qukart.GEN	 | </f>
        <v/>
      </c>
    </row>
    <row r="2494">
      <c r="A2494">
        <f>=101900	 | Backdoor.Win32.Padodor.GEN	 | 0ab6e6d21ee116ad86a66c949fa007f3</f>
        <v/>
      </c>
    </row>
    <row r="2495">
      <c r="A2495">
        <f>=101901	 | Trojan.Win32.VB.DOSP	 | 8d5b780810bef931d46cce12f521bada</f>
        <v/>
      </c>
    </row>
    <row r="2496">
      <c r="A2496">
        <f>=101902	 | Worm.Win32.Allaple.E	 | 0737f3029a0bb11bec01b95a879593b0</f>
        <v/>
      </c>
    </row>
    <row r="2497">
      <c r="A2497">
        <f>=101903	 | Trojan.Win32.Fsysna.FCPQ	 | 04f0ab2e9dd843484f6ffb5043db9f31</f>
        <v/>
      </c>
    </row>
    <row r="2498">
      <c r="A2498">
        <f>=101904	 | Backdoor.Win32.Wabot.B	 | ecdcf602fca0d6b25f2530509dbcb6fd</f>
        <v/>
      </c>
    </row>
    <row r="2499">
      <c r="A2499">
        <f>=101905	 | Worm.Win32.Picsys.E	 | 0a40da6d821f9e0de1bcb2a0c1963cd1</f>
        <v/>
      </c>
    </row>
    <row r="2500">
      <c r="A2500">
        <f>=101906	 | Trojan.Win32.Scar.OJNN	 | 2de283dc26cb0f6c59afc372d011a2b7</f>
        <v/>
      </c>
    </row>
    <row r="2501">
      <c r="A2501">
        <f>=101907	 | Backdoor.Win32.Hupigon.UAFQ	 | c5d7f165e8b5e7c41d8bb0e3955723d1</f>
        <v/>
      </c>
    </row>
    <row r="2502">
      <c r="A2502">
        <f>=101908	 | Trojan.Win32.Reconyc.FXMS	 | 09411cc5fb92c0c445c8ec8d2df68613</f>
        <v/>
      </c>
    </row>
    <row r="2503">
      <c r="A2503">
        <f>=101929	 | Worm.Win32.BlueHero.A	 | </f>
        <v/>
      </c>
    </row>
    <row r="2504">
      <c r="A2504">
        <f>=101930	 | Worm.Win32.BlueHero.B	 | f45a7f306473da592ae63d548f4e5c0c</f>
        <v/>
      </c>
    </row>
    <row r="2505">
      <c r="A2505">
        <f>=101931	 | Worm.Win32.BlueHero.C	 | bbd6cbb8b89f0fef00e8e01be8167f39</f>
        <v/>
      </c>
    </row>
    <row r="2506">
      <c r="A2506">
        <f>=101932	 | Worm.Win32.BlueHero.D	 | </f>
        <v/>
      </c>
    </row>
    <row r="2507">
      <c r="A2507">
        <f>=101933	 | Worm.Win64.BlueHero.E	 | </f>
        <v/>
      </c>
    </row>
    <row r="2508">
      <c r="A2508">
        <f>=101935	 | Trojan.Win32.Agent.NEYNEA	 | 6dceb30a960ded0960184088427ca3ed</f>
        <v/>
      </c>
    </row>
    <row r="2509">
      <c r="A2509">
        <f>=101936	 | Trojan.Win32.Agent.NEYNEB	 | 12750567627beaaddf7d1b8198776ca8</f>
        <v/>
      </c>
    </row>
    <row r="2510">
      <c r="A2510">
        <f>=101937	 | Trojan.Win32.Agent.NEYNEC	 | 0c5b068ed731762e7eecaf830e47d1f8</f>
        <v/>
      </c>
    </row>
    <row r="2511">
      <c r="A2511">
        <f>=101938	 | Trojan.Win32.Agent.NEYNED	 | </f>
        <v/>
      </c>
    </row>
    <row r="2512">
      <c r="A2512">
        <f>=101939	 | Trojan.Win32.Agentb.A	 | bfa54c3e4372077e34b5aae5312a84dc</f>
        <v/>
      </c>
    </row>
    <row r="2513">
      <c r="A2513">
        <f>=101940	 | Trojan.Win32.Banbra.A	 | 1dbe4a70a00474fdc191abc41b61977e</f>
        <v/>
      </c>
    </row>
    <row r="2514">
      <c r="A2514">
        <f>=101941	 | Trojan.Win32.Banbra.B	 | 0325b5327ccd10c5a2041ed68261731f</f>
        <v/>
      </c>
    </row>
    <row r="2515">
      <c r="A2515">
        <f>=101942	 | Trojan.Win32.GandCrypt.A	 | 0fd44a359a8000199690e9b1ddc6692a</f>
        <v/>
      </c>
    </row>
    <row r="2516">
      <c r="A2516">
        <f>=101943	 | Trojan.Win32.Llac.A	 | 2ab7b2d7b994f95f132e2d58f8c74705</f>
        <v/>
      </c>
    </row>
    <row r="2517">
      <c r="A2517">
        <f>=101944	 | Trojan.Win32.Llac.B	 | </f>
        <v/>
      </c>
    </row>
    <row r="2518">
      <c r="A2518">
        <f>=101945	 | Trojan.Win32.Small.ACLJ	 | 4619a5d449574c7f0ab0749519b1b25b</f>
        <v/>
      </c>
    </row>
    <row r="2519">
      <c r="A2519">
        <f>=101946	 | Trojan.Win32.VB.DOSQ	 | deddf50dfbc59327974efce347a0b7a9</f>
        <v/>
      </c>
    </row>
    <row r="2520">
      <c r="A2520">
        <f>=101947	 | Worm.Win32.Agent.H	 | 001be4dea5224b77c0c5c7be41b28ef2</f>
        <v/>
      </c>
    </row>
    <row r="2521">
      <c r="A2521">
        <f>=101948	 | Worm.Win32.Delf.H	 | c54a665131ef2729f5410e619e15a1a9</f>
        <v/>
      </c>
    </row>
    <row r="2522">
      <c r="A2522">
        <f>=101949	 | Worm.Win32.Picsys.F	 | </f>
        <v/>
      </c>
    </row>
    <row r="2523">
      <c r="A2523">
        <f>=101950	 | Adware.Win32.Adposhel.J	 | 8d7b2c8099622e512b7e6b17a9a52dc4</f>
        <v/>
      </c>
    </row>
    <row r="2524">
      <c r="A2524">
        <f>=101951	 | Worm.Win32.Autorun.CU	 | </f>
        <v/>
      </c>
    </row>
    <row r="2525">
      <c r="A2525">
        <f>=101952	 | Trojan.Win32.OceanLotus.C	 | </f>
        <v/>
      </c>
    </row>
    <row r="2526">
      <c r="A2526">
        <f>=101953	 | Trojan.Win32.U_Vulner.A	 | </f>
        <v/>
      </c>
    </row>
    <row r="2527">
      <c r="A2527">
        <f>=101954	 | Trojan.Win32.U_Vulner.B	 | </f>
        <v/>
      </c>
    </row>
    <row r="2528">
      <c r="A2528">
        <f>=101955	 | Trojan.Win32.U_Vulner.C	 | </f>
        <v/>
      </c>
    </row>
    <row r="2529">
      <c r="A2529">
        <f>=101956	 | Trojan.Win32.DarkHotel.A	 | </f>
        <v/>
      </c>
    </row>
    <row r="2530">
      <c r="A2530">
        <f>=101957	 | Trojan.Win32.Agent.EO	 | ae2276d49c3be7190cc40b758a64c534</f>
        <v/>
      </c>
    </row>
    <row r="2531">
      <c r="A2531">
        <f>=101958	 | VirTool.Win32.Obfuscator.BH	 | 084ed16972339e40287d15b0f3261aa4</f>
        <v/>
      </c>
    </row>
    <row r="2532">
      <c r="A2532">
        <f>=101960	 | Adware.Win32.MultiPlug.K	 | 07f4c7fbc5a0453d310e2822079766c2</f>
        <v/>
      </c>
    </row>
    <row r="2533">
      <c r="A2533">
        <f>=101962	 | Trojan.Win32.Gepys.E	 | 33608582bbb9ceacd753eac15cf8caa5</f>
        <v/>
      </c>
    </row>
    <row r="2534">
      <c r="A2534">
        <f>=101963	 | Trojan.Win32.Agent.NEYNEE	 | fa53e59f7d191103f3617cfe5150c8d9</f>
        <v/>
      </c>
    </row>
    <row r="2535">
      <c r="A2535">
        <f>=101964	 | Adware.Win32.Adposhel.G	 | 0829ad2b15dd7ea5de12391f505adccf</f>
        <v/>
      </c>
    </row>
    <row r="2536">
      <c r="A2536">
        <f>=101966	 | Trojan.Win32.Injector.DL	 | f747fd368734897c461dcd8a8cef094d</f>
        <v/>
      </c>
    </row>
    <row r="2537">
      <c r="A2537">
        <f>=101967	 | Trojan.Win32.Upatre.AQ	 | 2f87a775529409a2db453c323fea4d87</f>
        <v/>
      </c>
    </row>
    <row r="2538">
      <c r="A2538">
        <f>=101968	 | Trojan.Win32.GandCrab.AG	 | 9fc077343b2396032d47638eb050763b</f>
        <v/>
      </c>
    </row>
    <row r="2539">
      <c r="A2539">
        <f>=101969	 | Trojan.Win32.StartPage.G	 | </f>
        <v/>
      </c>
    </row>
    <row r="2540">
      <c r="A2540">
        <f>=101971	 | Trojan.Win32.GameOnline.EB	 | </f>
        <v/>
      </c>
    </row>
    <row r="2541">
      <c r="A2541">
        <f>=101973	 | Trojan.Win32.FakeIE.E	 | </f>
        <v/>
      </c>
    </row>
    <row r="2542">
      <c r="A2542">
        <f>=101974	 | RootKit.Win32.Qhost.A	 | </f>
        <v/>
      </c>
    </row>
    <row r="2543">
      <c r="A2543">
        <f>=101978	 | Trojan.Win32.FakeIEBrowser.A	 | </f>
        <v/>
      </c>
    </row>
    <row r="2544">
      <c r="A2544">
        <f>=101979	 | Trojan.Win32.FakePDF.AH	 | 41d6fa29cc01ba5cae637c1bd536585f</f>
        <v/>
      </c>
    </row>
    <row r="2545">
      <c r="A2545">
        <f>=101980	 | Trojan.Win32.Delf.I	 | 00296d503516804163c7174c25b8d071</f>
        <v/>
      </c>
    </row>
    <row r="2546">
      <c r="A2546">
        <f>=101982	 | Backdoor.Win32.Agent.ACI	 | 6e89cbaa8a948bd961c1208dbf086237</f>
        <v/>
      </c>
    </row>
    <row r="2547">
      <c r="A2547">
        <f>=101983	 | Backdoor.Win32.Urelas.AA	 | e1326969d816bc400f643636c3b8751d</f>
        <v/>
      </c>
    </row>
    <row r="2548">
      <c r="A2548">
        <f>=101985	 | Backdoor.Win32.Urelas.AB	 | </f>
        <v/>
      </c>
    </row>
    <row r="2549">
      <c r="A2549">
        <f>=101986	 | Trojan.Win32.HuaCai.A	 | </f>
        <v/>
      </c>
    </row>
    <row r="2550">
      <c r="A2550">
        <f>=101988	 | Trojan.Win32.Qvod.E	 | </f>
        <v/>
      </c>
    </row>
    <row r="2551">
      <c r="A2551">
        <f>=101990	 | Trojan.Win32.FakeIEBrowser.L	 | </f>
        <v/>
      </c>
    </row>
    <row r="2552">
      <c r="A2552">
        <f>=101991	 | Trojan.Win32.KillAV.E	 | </f>
        <v/>
      </c>
    </row>
    <row r="2553">
      <c r="A2553">
        <f>=101993	 | Trojan.Win32.FakeIE.D	 | </f>
        <v/>
      </c>
    </row>
    <row r="2554">
      <c r="A2554">
        <f>=101995	 | Trojan.Win32.Xorist.A	 | ba38cdaea5af62f60dc3bfa63d8f6062</f>
        <v/>
      </c>
    </row>
    <row r="2555">
      <c r="A2555">
        <f>=102005	 | Dropper.Win32.GameOnline.C	 | </f>
        <v/>
      </c>
    </row>
    <row r="2556">
      <c r="A2556">
        <f>=102006	 | Trojan.Win32.Agent.NEYNEF	 | </f>
        <v/>
      </c>
    </row>
    <row r="2557">
      <c r="A2557">
        <f>=102007	 | Worm.Win32.FakeFolder.E	 | </f>
        <v/>
      </c>
    </row>
    <row r="2558">
      <c r="A2558">
        <f>=102009	 | Backdoor.Win32.Agent.CK	 | </f>
        <v/>
      </c>
    </row>
    <row r="2559">
      <c r="A2559">
        <f>=102011	 | Trojan.Win32.Agent.FR	 | </f>
        <v/>
      </c>
    </row>
    <row r="2560">
      <c r="A2560">
        <f>=102013	 | Trojan.Win32.Agent.AC	 | f91e75734c2fa6dfd21ed919a440dd3b</f>
        <v/>
      </c>
    </row>
    <row r="2561">
      <c r="A2561">
        <f>=102016	 | Trojan.Win32.Sinresby.E	 | </f>
        <v/>
      </c>
    </row>
    <row r="2562">
      <c r="A2562">
        <f>=102018	 | Trojan.Win32.Agent.NEYNEG	 | </f>
        <v/>
      </c>
    </row>
    <row r="2563">
      <c r="A2563">
        <f>=102019	 | Trojan.Win32.FakeIEBrowser.W	 | </f>
        <v/>
      </c>
    </row>
    <row r="2564">
      <c r="A2564">
        <f>=102022	 | Harm.Win32.XiaoHao.C	 | </f>
        <v/>
      </c>
    </row>
    <row r="2565">
      <c r="A2565">
        <f>=102023	 | Trojan.Win32.TaoJin.J	 | </f>
        <v/>
      </c>
    </row>
    <row r="2566">
      <c r="A2566">
        <f>=102025	 | Trojan.Win32.VB.M	 | 5a6bd8ce1ee76ad9e6a8046446d9c863</f>
        <v/>
      </c>
    </row>
    <row r="2567">
      <c r="A2567">
        <f>=102029	 | Adware.Win32.Browsefox.A	 | 0752251b61e69fbd2a5a04fe73170f9f</f>
        <v/>
      </c>
    </row>
    <row r="2568">
      <c r="A2568">
        <f>=102036	 | Trojan.Win32.FakeIEBrowser.AD	 | </f>
        <v/>
      </c>
    </row>
    <row r="2569">
      <c r="A2569">
        <f>=102037	 | Trojan.Win32.GameOnline.DW	 | </f>
        <v/>
      </c>
    </row>
    <row r="2570">
      <c r="A2570">
        <f>=102039	 | Trojan.Win32.Agent.BD	 | </f>
        <v/>
      </c>
    </row>
    <row r="2571">
      <c r="A2571">
        <f>=102040	 | Trojan.Win32.FakeIEBrowser.B	 | 6d7a1f5db6f38912f38bcec88e1e4b14</f>
        <v/>
      </c>
    </row>
    <row r="2572">
      <c r="A2572">
        <f>=102045	 | Trojan.Win32.Ecode.A	 | </f>
        <v/>
      </c>
    </row>
    <row r="2573">
      <c r="A2573">
        <f>=102046	 | Trojan.Win32.Diofopi.D	 | 20332f8b3a4a8b4d58522fb3e9cae4a3</f>
        <v/>
      </c>
    </row>
    <row r="2574">
      <c r="A2574">
        <f>=102047	 | RootKit.Win32.Agent.AR	 | </f>
        <v/>
      </c>
    </row>
    <row r="2575">
      <c r="A2575">
        <f>=102048	 | RootKit.Win32.Agent.B	 | </f>
        <v/>
      </c>
    </row>
    <row r="2576">
      <c r="A2576">
        <f>=102049	 | RootKit.Win32.Ressdt.A	 | 1bdc4d99cc982ff8755b41c67e9a9ccb</f>
        <v/>
      </c>
    </row>
    <row r="2577">
      <c r="A2577">
        <f>=102050	 | RootKit.Win32.StartPage.M	 | </f>
        <v/>
      </c>
    </row>
    <row r="2578">
      <c r="A2578">
        <f>=102051	 | Trojan.Win32.Agent.NEYNEH	 | 12ecd6c575f742a238f28f8edd3088bb</f>
        <v/>
      </c>
    </row>
    <row r="2579">
      <c r="A2579">
        <f>=102052	 | Trojan.Win32.Agent.NEYNEI	 | </f>
        <v/>
      </c>
    </row>
    <row r="2580">
      <c r="A2580">
        <f>=102053	 | Trojan.Win32.Agent.NEYNEJ	 | </f>
        <v/>
      </c>
    </row>
    <row r="2581">
      <c r="A2581">
        <f>=102054	 | Trojan.Win32.Agent.NEYNEK	 | </f>
        <v/>
      </c>
    </row>
    <row r="2582">
      <c r="A2582">
        <f>=102055	 | Trojan.Win32.Agent.NEYNEL	 | </f>
        <v/>
      </c>
    </row>
    <row r="2583">
      <c r="A2583">
        <f>=102056	 | Trojan.Win32.Agent.NEYNEM	 | </f>
        <v/>
      </c>
    </row>
    <row r="2584">
      <c r="A2584">
        <f>=102057	 | Trojan.Win32.Agent.NEYNEN	 | </f>
        <v/>
      </c>
    </row>
    <row r="2585">
      <c r="A2585">
        <f>=102058	 | Trojan.Win32.Agent.NEYNEO	 | 1535772281930dfef3a1aa3ff8ddb874</f>
        <v/>
      </c>
    </row>
    <row r="2586">
      <c r="A2586">
        <f>=102059	 | Trojan.Win32.Agent.NEYNEP	 | </f>
        <v/>
      </c>
    </row>
    <row r="2587">
      <c r="A2587">
        <f>=102060	 | Trojan.Win32.Agent.NEYNEQ	 | </f>
        <v/>
      </c>
    </row>
    <row r="2588">
      <c r="A2588">
        <f>=102061	 | Trojan.Win32.Agent.NEYNER	 | </f>
        <v/>
      </c>
    </row>
    <row r="2589">
      <c r="A2589">
        <f>=102062	 | Trojan.Win32.AntiAV.B	 | </f>
        <v/>
      </c>
    </row>
    <row r="2590">
      <c r="A2590">
        <f>=102063	 | Trojan.Win32.AntiCloud.A	 | 1a97931b32d720165dd3f9be18c4aee6</f>
        <v/>
      </c>
    </row>
    <row r="2591">
      <c r="A2591">
        <f>=102064	 | Trojan.Win32.BHO.A	 | </f>
        <v/>
      </c>
    </row>
    <row r="2592">
      <c r="A2592">
        <f>=102065	 | Trojan.Win32.BHO.Q	 | </f>
        <v/>
      </c>
    </row>
    <row r="2593">
      <c r="A2593">
        <f>=102066	 | Trojan.Win32.BHO.R	 | </f>
        <v/>
      </c>
    </row>
    <row r="2594">
      <c r="A2594">
        <f>=102067	 | Trojan.Win32.BHO.D	 | </f>
        <v/>
      </c>
    </row>
    <row r="2595">
      <c r="A2595">
        <f>=102068	 | Trojan.Win32.BHO.E	 | </f>
        <v/>
      </c>
    </row>
    <row r="2596">
      <c r="A2596">
        <f>=102069	 | Trojan.Win32.EKanHi.B	 | 5f62f8540a3ff1584a960e94b41da334</f>
        <v/>
      </c>
    </row>
    <row r="2597">
      <c r="A2597">
        <f>=102073	 | Worm.Win32.Fearso.AI	 | 087b95d4885a7ca2cea67f6c79f3a725</f>
        <v/>
      </c>
    </row>
    <row r="2598">
      <c r="A2598">
        <f>=102075	 | Trojan.Win32.EKanHi.C	 | </f>
        <v/>
      </c>
    </row>
    <row r="2599">
      <c r="A2599">
        <f>=102076	 | Trojan.Win32.EKanHi.D	 | </f>
        <v/>
      </c>
    </row>
    <row r="2600">
      <c r="A2600">
        <f>=102077	 | Trojan.Win32.EvalBinder.A	 | </f>
        <v/>
      </c>
    </row>
    <row r="2601">
      <c r="A2601">
        <f>=102078	 | Trojan.Win32.FakeIE.AE	 | 14a9d2e031fbd62fe013e2ea3a63b108</f>
        <v/>
      </c>
    </row>
    <row r="2602">
      <c r="A2602">
        <f>=102079	 | Trojan.Win32.FakeIE.B	 | </f>
        <v/>
      </c>
    </row>
    <row r="2603">
      <c r="A2603">
        <f>=102080	 | Trojan.Win32.FakeIEBrowser.AE	 | e45c7c1f684a81057ef850796c33e546</f>
        <v/>
      </c>
    </row>
    <row r="2604">
      <c r="A2604">
        <f>=102081	 | Trojan.Win32.FakeIEBrowser.AF	 | 3ad0bb4ff6dabf20fd66311fb9096f30</f>
        <v/>
      </c>
    </row>
    <row r="2605">
      <c r="A2605">
        <f>=102082	 | Trojan.Win32.FakeIEBrowser.C	 | 5714d85cc761cfc831d75f7a00452cd2</f>
        <v/>
      </c>
    </row>
    <row r="2606">
      <c r="A2606">
        <f>=102083	 | Trojan.Win32.FakeIEBrowser.D	 | </f>
        <v/>
      </c>
    </row>
    <row r="2607">
      <c r="A2607">
        <f>=102084	 | Trojan.Win32.KillAV.AL	 | </f>
        <v/>
      </c>
    </row>
    <row r="2608">
      <c r="A2608">
        <f>=102085	 | Trojan.Win32.Qhost.B	 | </f>
        <v/>
      </c>
    </row>
    <row r="2609">
      <c r="A2609">
        <f>=102086	 | Trojan.Win32.QQPass.DS	 | 99f53233410d9e19fdcac579e9774f76</f>
        <v/>
      </c>
    </row>
    <row r="2610">
      <c r="A2610">
        <f>=102087	 | Trojan.Win32.QQPass.DT	 | </f>
        <v/>
      </c>
    </row>
    <row r="2611">
      <c r="A2611">
        <f>=102088	 | Trojan.Win32.QQPass.DU	 | </f>
        <v/>
      </c>
    </row>
    <row r="2612">
      <c r="A2612">
        <f>=102089	 | Trojan.Win32.QvDownloader.A	 | </f>
        <v/>
      </c>
    </row>
    <row r="2613">
      <c r="A2613">
        <f>=102090	 | Trojan.Win32.QvDownloader.B	 | </f>
        <v/>
      </c>
    </row>
    <row r="2614">
      <c r="A2614">
        <f>=102091	 | Trojan.Win32.QvDownloader.C	 | </f>
        <v/>
      </c>
    </row>
    <row r="2615">
      <c r="A2615">
        <f>=102092	 | Trojan.Win32.Qvod.A	 | 829bd53b39cc26320bfef6848a0f88de</f>
        <v/>
      </c>
    </row>
    <row r="2616">
      <c r="A2616">
        <f>=102093	 | Trojan.Win32.Qvod.B	 | </f>
        <v/>
      </c>
    </row>
    <row r="2617">
      <c r="A2617">
        <f>=102094	 | Trojan.Win32.Qvod.C	 | </f>
        <v/>
      </c>
    </row>
    <row r="2618">
      <c r="A2618">
        <f>=102095	 | Trojan.Win32.StartPage.CH	 | be92d37829690b0365d4b686d816e94b</f>
        <v/>
      </c>
    </row>
    <row r="2619">
      <c r="A2619">
        <f>=102096	 | Trojan.Win32.StartPage.CI	 | b1b837361435a5fd4e2c2dc02491cb98</f>
        <v/>
      </c>
    </row>
    <row r="2620">
      <c r="A2620">
        <f>=102097	 | Trojan.Win32.StartPage.CJ	 | 741e5143fada2c439d7292136644278d</f>
        <v/>
      </c>
    </row>
    <row r="2621">
      <c r="A2621">
        <f>=102098	 | Trojan.Win32.StartPage.CK	 | </f>
        <v/>
      </c>
    </row>
    <row r="2622">
      <c r="A2622">
        <f>=102099	 | Trojan.Win32.StartPage.CL	 | </f>
        <v/>
      </c>
    </row>
    <row r="2623">
      <c r="A2623">
        <f>=102100	 | Trojan.Win32.StartPage.F	 | bdfe253b3834672ed1c580bbd6d61236</f>
        <v/>
      </c>
    </row>
    <row r="2624">
      <c r="A2624">
        <f>=102102	 | Trojan.Win32.StartPage.CM	 | </f>
        <v/>
      </c>
    </row>
    <row r="2625">
      <c r="A2625">
        <f>=102103	 | Trojan.Win32.StartPage.CN	 | b0ad7a0a66febbae614762025217edad</f>
        <v/>
      </c>
    </row>
    <row r="2626">
      <c r="A2626">
        <f>=102104	 | Trojan.Win32.TaoJin.M	 | </f>
        <v/>
      </c>
    </row>
    <row r="2627">
      <c r="A2627">
        <f>=102105	 | Trojan.Win32.TaoJin.B	 | </f>
        <v/>
      </c>
    </row>
    <row r="2628">
      <c r="A2628">
        <f>=102106	 | Trojan.Win32.TaoJin.N	 | </f>
        <v/>
      </c>
    </row>
    <row r="2629">
      <c r="A2629">
        <f>=102107	 | Trojan.Win32.TaoJin.O	 | </f>
        <v/>
      </c>
    </row>
    <row r="2630">
      <c r="A2630">
        <f>=102108	 | Trojan.Win32.Waski.AN	 | 1ce21af501286f6e5d33adc65868b357</f>
        <v/>
      </c>
    </row>
    <row r="2631">
      <c r="A2631">
        <f>=102109	 | Trojan.Win32.WOW.A	 | a8dfdc15c106c1f2b965cfc03abb5b4d</f>
        <v/>
      </c>
    </row>
    <row r="2632">
      <c r="A2632">
        <f>=102110	 | Trojan.Win32.Yolox.E	 | </f>
        <v/>
      </c>
    </row>
    <row r="2633">
      <c r="A2633">
        <f>=102111	 | Worm.Win32.FakeFolder.ARN	 | df3f1430513e6a350b1f2dc134852069</f>
        <v/>
      </c>
    </row>
    <row r="2634">
      <c r="A2634">
        <f>=102112	 | Worm.Win32.FakeFolder.ARO	 | 27aa5ca94a7b886c0954ce28eb4732cf</f>
        <v/>
      </c>
    </row>
    <row r="2635">
      <c r="A2635">
        <f>=102113	 | Worm.Win32.FakeFolder.ARP	 | 1a2a4cd75756da89416ebfab4a58aded</f>
        <v/>
      </c>
    </row>
    <row r="2636">
      <c r="A2636">
        <f>=102114	 | Worm.Win32.FakeFolder.ARQ	 | f56393e95f9e8dcc2bb9b0f70b86439d</f>
        <v/>
      </c>
    </row>
    <row r="2637">
      <c r="A2637">
        <f>=102115	 | Worm.Win32.FakeFolder.ARR	 | </f>
        <v/>
      </c>
    </row>
    <row r="2638">
      <c r="A2638">
        <f>=102117	 | Dropper.Win32.Detect.A	 | </f>
        <v/>
      </c>
    </row>
    <row r="2639">
      <c r="A2639">
        <f>=102118	 | Backdoor.Win32.Agent.BF	 | </f>
        <v/>
      </c>
    </row>
    <row r="2640">
      <c r="A2640">
        <f>=102120	 | Backdoor.Win32.GameOnline.FU	 | </f>
        <v/>
      </c>
    </row>
    <row r="2641">
      <c r="A2641">
        <f>=102121	 | Backdoor.Win32.Agent.EH	 | </f>
        <v/>
      </c>
    </row>
    <row r="2642">
      <c r="A2642">
        <f>=102122	 | Backdoor.Win32.Agent.MG	 | </f>
        <v/>
      </c>
    </row>
    <row r="2643">
      <c r="A2643">
        <f>=102123	 | Backdoor.Win32.Agent.NW	 | </f>
        <v/>
      </c>
    </row>
    <row r="2644">
      <c r="A2644">
        <f>=102124	 | Backdoor.Win32.Agent.P	 | 2efeb20ab69f3626cc8068692cb59f23</f>
        <v/>
      </c>
    </row>
    <row r="2645">
      <c r="A2645">
        <f>=102125	 | Backdoor.Win32.Gh0st.DW	 | </f>
        <v/>
      </c>
    </row>
    <row r="2646">
      <c r="A2646">
        <f>=102126	 | Backdoor.Win32.Gh0st.HR	 | </f>
        <v/>
      </c>
    </row>
    <row r="2647">
      <c r="A2647">
        <f>=102127	 | Backdoor.Win32.Zegost.AL	 | 3e8d66ac6db6510ad395b642163ed0ef</f>
        <v/>
      </c>
    </row>
    <row r="2648">
      <c r="A2648">
        <f>=102128	 | Trojan.Win32.Agent.BA	 | </f>
        <v/>
      </c>
    </row>
    <row r="2649">
      <c r="A2649">
        <f>=102129	 | Trojan.Win32.Agent.CV	 | </f>
        <v/>
      </c>
    </row>
    <row r="2650">
      <c r="A2650">
        <f>=102130	 | Trojan.Win32.Agent.DD	 | </f>
        <v/>
      </c>
    </row>
    <row r="2651">
      <c r="A2651">
        <f>=102131	 | Trojan.Win32.Agent.EA	 | </f>
        <v/>
      </c>
    </row>
    <row r="2652">
      <c r="A2652">
        <f>=102132	 | Trojan.Win32.Agent.GJ	 | 7e6ca8f8cfbe4462667a0a2e1acaf9ad</f>
        <v/>
      </c>
    </row>
    <row r="2653">
      <c r="A2653">
        <f>=102133	 | Trojan.Win32.Agent.GM	 | </f>
        <v/>
      </c>
    </row>
    <row r="2654">
      <c r="A2654">
        <f>=102134	 | Trojan.Win32.ADSLThief.B	 | </f>
        <v/>
      </c>
    </row>
    <row r="2655">
      <c r="A2655">
        <f>=102135	 | Trojan.Win32.QQPass.AV	 | </f>
        <v/>
      </c>
    </row>
    <row r="2656">
      <c r="A2656">
        <f>=102136	 | Trojan.Win32.QQPass.DV	 | </f>
        <v/>
      </c>
    </row>
    <row r="2657">
      <c r="A2657">
        <f>=102137	 | Trojan.Win32.QQPass.CK	 | </f>
        <v/>
      </c>
    </row>
    <row r="2658">
      <c r="A2658">
        <f>=102138	 | Trojan.Win32.QQPass.CL	 | </f>
        <v/>
      </c>
    </row>
    <row r="2659">
      <c r="A2659">
        <f>=102139	 | Trojan.Win32.Wow.D	 | </f>
        <v/>
      </c>
    </row>
    <row r="2660">
      <c r="A2660">
        <f>=102140	 | Trojan.Win32.Agent.FT	 | </f>
        <v/>
      </c>
    </row>
    <row r="2661">
      <c r="A2661">
        <f>=102141	 | Trojan.Win32.Agent.IC	 | c438fe8781041c2f47e5cc21d99596b9</f>
        <v/>
      </c>
    </row>
    <row r="2662">
      <c r="A2662">
        <f>=102142	 | Trojan.Win32.Agent.N	 | </f>
        <v/>
      </c>
    </row>
    <row r="2663">
      <c r="A2663">
        <f>=102143	 | Trojan.Win32.AntiCloud.H	 | ef3ca48c95558431c567450a7d56de09</f>
        <v/>
      </c>
    </row>
    <row r="2664">
      <c r="A2664">
        <f>=102144	 | Trojan.Win32.AntiCloud.L	 | </f>
        <v/>
      </c>
    </row>
    <row r="2665">
      <c r="A2665">
        <f>=102145	 | Trojan.Win32.Carberp.C	 | b2dca01e9cb9023dd7e16707ed7a4cad</f>
        <v/>
      </c>
    </row>
    <row r="2666">
      <c r="A2666">
        <f>=102148	 | Trojan.Win32.Cryptodef.A	 | aa0498219795fc07aed0b5cc4647c7b3</f>
        <v/>
      </c>
    </row>
    <row r="2667">
      <c r="A2667">
        <f>=102149	 | Trojan.Win32.Dostre.A	 | de841f67cd0892019e624ad6ceda9b32</f>
        <v/>
      </c>
    </row>
    <row r="2668">
      <c r="A2668">
        <f>=102151	 | Trojan.Win32.FakeFolder.B	 | </f>
        <v/>
      </c>
    </row>
    <row r="2669">
      <c r="A2669">
        <f>=102152	 | Trojan.Win32.FakeFolder.D	 | df73d0abc76314e5dd71804eb1efdc4c</f>
        <v/>
      </c>
    </row>
    <row r="2670">
      <c r="A2670">
        <f>=102153	 | Trojan.Win32.FakeFolderAutorun.B	 | 1979ea30964181153ccaa8cdbc761196</f>
        <v/>
      </c>
    </row>
    <row r="2671">
      <c r="A2671">
        <f>=102154	 | Trojan.Win32.FakeFolderAutorun.A	 | </f>
        <v/>
      </c>
    </row>
    <row r="2672">
      <c r="A2672">
        <f>=102155	 | Trojan.Win32.FakeFolderAutorun.C	 | </f>
        <v/>
      </c>
    </row>
    <row r="2673">
      <c r="A2673">
        <f>=102156	 | Trojan.Win32.FakeFolderAutorun.E	 | </f>
        <v/>
      </c>
    </row>
    <row r="2674">
      <c r="A2674">
        <f>=102157	 | Trojan.Win32.FakeFolderAutorun.F	 | a4475fc738f183b990b9b468a7043b3e</f>
        <v/>
      </c>
    </row>
    <row r="2675">
      <c r="A2675">
        <f>=102158	 | Trojan.Win32.FakeFolderAutorun.G	 | </f>
        <v/>
      </c>
    </row>
    <row r="2676">
      <c r="A2676">
        <f>=102159	 | Trojan.Win32.FakeFolderAutorun.H	 | </f>
        <v/>
      </c>
    </row>
    <row r="2677">
      <c r="A2677">
        <f>=102160	 | Trojan.Win32.FakeIEBrowser.T	 | </f>
        <v/>
      </c>
    </row>
    <row r="2678">
      <c r="A2678">
        <f>=102161	 | Trojan.Win32.FakePDF.AHR	 | cdad93d67952aea0395ca2c0a754fae6</f>
        <v/>
      </c>
    </row>
    <row r="2679">
      <c r="A2679">
        <f>=102162	 | Trojan.Win32.FakePDF.L	 | </f>
        <v/>
      </c>
    </row>
    <row r="2680">
      <c r="A2680">
        <f>=102163	 | Trojan.Win32.FakePDF.P	 | 07fe1c8b0d43d24a534d691eaeada0e1</f>
        <v/>
      </c>
    </row>
    <row r="2681">
      <c r="A2681">
        <f>=102164	 | Trojan.Win32.Fuerboos.C	 | </f>
        <v/>
      </c>
    </row>
    <row r="2682">
      <c r="A2682">
        <f>=102165	 | Trojan.Win32.Fujack.A	 | 6544a46673adca18db578f6d2d89e8ac</f>
        <v/>
      </c>
    </row>
    <row r="2683">
      <c r="A2683">
        <f>=102166	 | Trojan.Win32.Gepys.Q	 | c5d4d3c4c1fd2839b5a30b64defd8167</f>
        <v/>
      </c>
    </row>
    <row r="2684">
      <c r="A2684">
        <f>=102167	 | Trojan.Win32.KillAV.M	 | 2ee47d607cf6494ccdd79b3a4db09923</f>
        <v/>
      </c>
    </row>
    <row r="2685">
      <c r="A2685">
        <f>=102168	 | Trojan.Win32.Liprip.A	 | </f>
        <v/>
      </c>
    </row>
    <row r="2686">
      <c r="A2686">
        <f>=102170	 | Trojan.Win32.Shinso.B	 | </f>
        <v/>
      </c>
    </row>
    <row r="2687">
      <c r="A2687">
        <f>=102171	 | Trojan.Win32.StartPage.AC	 | </f>
        <v/>
      </c>
    </row>
    <row r="2688">
      <c r="A2688">
        <f>=102173	 | Trojan.Win32.TCPBlocker.I	 | </f>
        <v/>
      </c>
    </row>
    <row r="2689">
      <c r="A2689">
        <f>=102174	 | Trojan.Win32.Ursinff.I	 | 7f83e2da03490dc396d7d39380fcd247</f>
        <v/>
      </c>
    </row>
    <row r="2690">
      <c r="A2690">
        <f>=102175	 | Trojan.Win32.VBKrypt.A	 | a360278406f2d4017ae267ebaef6747c</f>
        <v/>
      </c>
    </row>
    <row r="2691">
      <c r="A2691">
        <f>=102176	 | Trojan.Win32.Vundo.E	 | ba93ceb3ff74ca66c7afe27efcf2f480</f>
        <v/>
      </c>
    </row>
    <row r="2692">
      <c r="A2692">
        <f>=102177	 | Trojan.Win32.ZedoPoo.A	 | </f>
        <v/>
      </c>
    </row>
    <row r="2693">
      <c r="A2693">
        <f>=102178	 | Worm.Win32.AutoRun.V	 | 2bc11bd7455ac0735eb0db1427a48c46</f>
        <v/>
      </c>
    </row>
    <row r="2694">
      <c r="A2694">
        <f>=102179	 | Worm.Win32.Debris.M	 | 805a8703bdc1d0450789453d8e172809</f>
        <v/>
      </c>
    </row>
    <row r="2695">
      <c r="A2695">
        <f>=102180	 | Worm.Win32.FakeFolder.AB	 | </f>
        <v/>
      </c>
    </row>
    <row r="2696">
      <c r="A2696">
        <f>=102181	 | Worm.Win32.FakeFolder.BJ	 | 134585c6bf8f1acab1d0bb2a25dffd83</f>
        <v/>
      </c>
    </row>
    <row r="2697">
      <c r="A2697">
        <f>=102182	 | Worm.Win32.FakeFolder.EB	 | c83c0478a4ae621331940d572922c23b</f>
        <v/>
      </c>
    </row>
    <row r="2698">
      <c r="A2698">
        <f>=102183	 | Worm.Win32.FakeFolder.ER	 | </f>
        <v/>
      </c>
    </row>
    <row r="2699">
      <c r="A2699">
        <f>=102185	 | Worm.Win32.FakeFolder.IR	 | </f>
        <v/>
      </c>
    </row>
    <row r="2700">
      <c r="A2700">
        <f>=102186	 | Worm.Win32.FakeFolder.IS	 | </f>
        <v/>
      </c>
    </row>
    <row r="2701">
      <c r="A2701">
        <f>=102187	 | Worm.Win32.FakeFolder.IZ	 | </f>
        <v/>
      </c>
    </row>
    <row r="2702">
      <c r="A2702">
        <f>=102188	 | Worm.Win32.Gamarus.AA	 | 97f36cfd46429b35183fd221ceae1e0b</f>
        <v/>
      </c>
    </row>
    <row r="2703">
      <c r="A2703">
        <f>=102189	 | Worm.Win32.Gamarus.AD	 | 41c33fdb9a95353a3b109393543f90dd</f>
        <v/>
      </c>
    </row>
    <row r="2704">
      <c r="A2704">
        <f>=102190	 | Worm.Win32.VB.I	 | e18e1b6c26b4f91c468709f92e5872ae</f>
        <v/>
      </c>
    </row>
    <row r="2705">
      <c r="A2705">
        <f>=102192	 | Backdoor.Win32.Agent.BZ	 | </f>
        <v/>
      </c>
    </row>
    <row r="2706">
      <c r="A2706">
        <f>=102193	 | Backdoor.Win32.Agent.CB	 | </f>
        <v/>
      </c>
    </row>
    <row r="2707">
      <c r="A2707">
        <f>=102194	 | Backdoor.Win32.Agent.CU	 | </f>
        <v/>
      </c>
    </row>
    <row r="2708">
      <c r="A2708">
        <f>=102195	 | Backdoor.Win32.Agent.DH	 | </f>
        <v/>
      </c>
    </row>
    <row r="2709">
      <c r="A2709">
        <f>=102196	 | Backdoor.Win32.Agent.DJ	 | </f>
        <v/>
      </c>
    </row>
    <row r="2710">
      <c r="A2710">
        <f>=102197	 | Trojan.Win32.Carberp.CDUP	 | afba78e3350cda60a46c0630b85248a7</f>
        <v/>
      </c>
    </row>
    <row r="2711">
      <c r="A2711">
        <f>=102198	 | Trojan.Win32.FakeKwlog.A	 | </f>
        <v/>
      </c>
    </row>
    <row r="2712">
      <c r="A2712">
        <f>=102200	 | Backdoor.Win32.Banker.A	 | 24a6dfaa98012a839658c143475a1e46</f>
        <v/>
      </c>
    </row>
    <row r="2713">
      <c r="A2713">
        <f>=102201	 | Trojan.Win32.ECodeDownloader.A	 | 0a5fa55be6e4f1c3741836bf50cd7022</f>
        <v/>
      </c>
    </row>
    <row r="2714">
      <c r="A2714">
        <f>=102202	 | Trojan.Win32.Gofot.C	 | e50bf7759197b2aa3fc236e666cbb0f5</f>
        <v/>
      </c>
    </row>
    <row r="2715">
      <c r="A2715">
        <f>=102203	 | Trojan.Win32.StartPage.M	 | </f>
        <v/>
      </c>
    </row>
    <row r="2716">
      <c r="A2716">
        <f>=102205	 | Trojan.Win32.Sanra.A	 | d8750f09ead4c76826a579b69def3cb2</f>
        <v/>
      </c>
    </row>
    <row r="2717">
      <c r="A2717">
        <f>=102206	 | Trojan.Win32.Agent.BF	 | </f>
        <v/>
      </c>
    </row>
    <row r="2718">
      <c r="A2718">
        <f>=102208	 | Trojan.Win32.Yolox.F	 | 62949b0a7485aeab3745e80ebc8df58c</f>
        <v/>
      </c>
    </row>
    <row r="2719">
      <c r="A2719">
        <f>=102211	 | Trojan.Win32.QQPass.AU	 | </f>
        <v/>
      </c>
    </row>
    <row r="2720">
      <c r="A2720">
        <f>=102212	 | Dropper.Win32.GameOnline.B	 | </f>
        <v/>
      </c>
    </row>
    <row r="2721">
      <c r="A2721">
        <f>=102213	 | RootKit.Win32.Agent.V	 | </f>
        <v/>
      </c>
    </row>
    <row r="2722">
      <c r="A2722">
        <f>=102217	 | Backdoor.Win32.Denis.A	 | 14ac06691acd7336290a1def02061a60</f>
        <v/>
      </c>
    </row>
    <row r="2723">
      <c r="A2723">
        <f>=102220	 | Backdoor.Win32.Agent.BH	 | </f>
        <v/>
      </c>
    </row>
    <row r="2724">
      <c r="A2724">
        <f>=102224	 | Backdoor.Win32.Scrnsave.A	 | 009b54f2e297ad88906788cff9f8ebec</f>
        <v/>
      </c>
    </row>
    <row r="2725">
      <c r="A2725">
        <f>=102225	 | Worm.Win32.FakeFolder.G	 | 016f1a598b7945f32e45ef0619fc1a69</f>
        <v/>
      </c>
    </row>
    <row r="2726">
      <c r="A2726">
        <f>=102231	 | Trojan.Win32.FakeIEBrowser.R	 | </f>
        <v/>
      </c>
    </row>
    <row r="2727">
      <c r="A2727">
        <f>=102236	 | Trojan.Win32.GandCrab.AA	 | f31678c8551ff39e081e3ee367c8acec</f>
        <v/>
      </c>
    </row>
    <row r="2728">
      <c r="A2728">
        <f>=102244	 | Trojan.Win32.Clicker.AS	 | d707de54293a3bb11f1b8f4d1b2ff168</f>
        <v/>
      </c>
    </row>
    <row r="2729">
      <c r="A2729">
        <f>=102247	 | Trojan.Win32.Downloader.BF	 | </f>
        <v/>
      </c>
    </row>
    <row r="2730">
      <c r="A2730">
        <f>=102248	 | Trojan.Win32.Downloader.BG	 | 33a61376fac6218cac05bc2bf97dace7</f>
        <v/>
      </c>
    </row>
    <row r="2731">
      <c r="A2731">
        <f>=102249	 | Trojan.Win32.Waski.C	 | afc72e5eff280a42b179bd379af3b2f5</f>
        <v/>
      </c>
    </row>
    <row r="2732">
      <c r="A2732">
        <f>=102250	 | Ransom.Win32.GandCrab.AQ	 | c451f4980643b87850fd1e152bdc05b5</f>
        <v/>
      </c>
    </row>
    <row r="2733">
      <c r="A2733">
        <f>=102251	 | Trojan.Win32.Zbot.E	 | </f>
        <v/>
      </c>
    </row>
    <row r="2734">
      <c r="A2734">
        <f>=102252	 | Worm.Win32.FakeFolder.EK	 | </f>
        <v/>
      </c>
    </row>
    <row r="2735">
      <c r="A2735">
        <f>=102253	 | Trojan.Win32.Qhost.C	 | </f>
        <v/>
      </c>
    </row>
    <row r="2736">
      <c r="A2736">
        <f>=102255	 | Adware.Win32.Hijacker.A	 | 33d19631201669013ddff2f84d02cca2</f>
        <v/>
      </c>
    </row>
    <row r="2737">
      <c r="A2737">
        <f>=102256	 | Adware.Win32.VBCode.H	 | </f>
        <v/>
      </c>
    </row>
    <row r="2738">
      <c r="A2738">
        <f>=102257	 | Trojan.Win32.Clicker.AB	 | </f>
        <v/>
      </c>
    </row>
    <row r="2739">
      <c r="A2739">
        <f>=102259	 | RootKit.Win32.Koutodoor.B	 | </f>
        <v/>
      </c>
    </row>
    <row r="2740">
      <c r="A2740">
        <f>=102260	 | VirTool.Win32.Obfuscator.D	 | </f>
        <v/>
      </c>
    </row>
    <row r="2741">
      <c r="A2741">
        <f>=102261	 | Trojan.Win32.Spirit.AC	 | </f>
        <v/>
      </c>
    </row>
    <row r="2742">
      <c r="A2742">
        <f>=102264	 | Trojan.Win32.TCPBlocker.G	 | 6c44c2458f43b7529fd03ceeeb9100a4</f>
        <v/>
      </c>
    </row>
    <row r="2743">
      <c r="A2743">
        <f>=102270	 | Backdoor.Win32.GrayPigeon.N	 | 919997eff0e1dae9dd9750da75a19bbc</f>
        <v/>
      </c>
    </row>
    <row r="2744">
      <c r="A2744">
        <f>=102271	 | Backdoor.Win32.Agent.BG	 | </f>
        <v/>
      </c>
    </row>
    <row r="2745">
      <c r="A2745">
        <f>=102272	 | Trojan.Win32.GandCrab.AT	 | c7b8e7d687c98d31740f8d3be174661e</f>
        <v/>
      </c>
    </row>
    <row r="2746">
      <c r="A2746">
        <f>=102273	 | Worm.Win32.Debris.G	 | 224129445676862f61507020a37a8e0e</f>
        <v/>
      </c>
    </row>
    <row r="2747">
      <c r="A2747">
        <f>=102279	 | Trojan.Win32.TCPBlocker.C	 | da0d6802acf19b216f1caaee74311418</f>
        <v/>
      </c>
    </row>
    <row r="2748">
      <c r="A2748">
        <f>=102280	 | Trojan.Win32.WOW.B	 | 00096185d742ea754e078d7b66f4c3cc</f>
        <v/>
      </c>
    </row>
    <row r="2749">
      <c r="A2749">
        <f>=102286	 | Worm.Win32.FakeFolder.BA	 | </f>
        <v/>
      </c>
    </row>
    <row r="2750">
      <c r="A2750">
        <f>=102287	 | Worm.Win32.Winevar.A	 | c7ba32e12abce146c10b606bdf81ff60</f>
        <v/>
      </c>
    </row>
    <row r="2751">
      <c r="A2751">
        <f>=102290	 | Trojan.Win32.Stantinko.A	 | 53fb78913de35483622235a125fd77c2</f>
        <v/>
      </c>
    </row>
    <row r="2752">
      <c r="A2752">
        <f>=102291	 | Trojan.Win32.Andrpc.A	 | </f>
        <v/>
      </c>
    </row>
    <row r="2753">
      <c r="A2753">
        <f>=102292	 | Trojan.Win32.QQPass.BA	 | </f>
        <v/>
      </c>
    </row>
    <row r="2754">
      <c r="A2754">
        <f>=102293	 | Backdoor.Win32.BDX.U	 | 8c82ef74099cabd22337810ed8eb1e83</f>
        <v/>
      </c>
    </row>
    <row r="2755">
      <c r="A2755">
        <f>=102294	 | Trojan.Win32.Adfen.D	 | </f>
        <v/>
      </c>
    </row>
    <row r="2756">
      <c r="A2756">
        <f>=102295	 | Trojan.Win32.Snojan.D	 | </f>
        <v/>
      </c>
    </row>
    <row r="2757">
      <c r="A2757">
        <f>=102296	 | Dropper.Win32.AntiCloud.A	 | 489a53aa9ef8601ccd854f3d00fcbe59</f>
        <v/>
      </c>
    </row>
    <row r="2758">
      <c r="A2758">
        <f>=102305	 | Trojan.Win32.Qhost.F	 | </f>
        <v/>
      </c>
    </row>
    <row r="2759">
      <c r="A2759">
        <f>=102307	 | Backdoor.Win32.Agent.DE	 | </f>
        <v/>
      </c>
    </row>
    <row r="2760">
      <c r="A2760">
        <f>=102308	 | Trojan.Win32.Karnos.A	 | </f>
        <v/>
      </c>
    </row>
    <row r="2761">
      <c r="A2761">
        <f>=102318	 | Trojan.Win32.DrlifeMiner.SG	 | f2a42a0907e47b7a9fc0eb308433b8c9</f>
        <v/>
      </c>
    </row>
    <row r="2762">
      <c r="A2762">
        <f>=102320	 | Trojan.Win32.VBCode.Y	 | </f>
        <v/>
      </c>
    </row>
    <row r="2763">
      <c r="A2763">
        <f>=102321	 | Trojan.Win32.VBCode.AA	 | </f>
        <v/>
      </c>
    </row>
    <row r="2764">
      <c r="A2764">
        <f>=102322	 | Trojan.Win32.Waski.I	 | 4224cd721805a3d5164562ab179d92bb</f>
        <v/>
      </c>
    </row>
    <row r="2765">
      <c r="A2765">
        <f>=102323	 | Trojan.Win32.GameOnline.DS	 | 7c9da4fe21aa9b82771b3e16e458ee7b</f>
        <v/>
      </c>
    </row>
    <row r="2766">
      <c r="A2766">
        <f>=102324	 | Trojan.Win32.QQPass.AM	 | </f>
        <v/>
      </c>
    </row>
    <row r="2767">
      <c r="A2767">
        <f>=102325	 | Trojan.Win32.QQPass.BG	 | </f>
        <v/>
      </c>
    </row>
    <row r="2768">
      <c r="A2768">
        <f>=102326	 | Trojan.Win32.QQPass.F	 | df3891dad91554311ef5bb29b4cfe721</f>
        <v/>
      </c>
    </row>
    <row r="2769">
      <c r="A2769">
        <f>=102327	 | Trojan.Win32.Agent.HY	 | ca4f3de45bd96198e4a51401aaff110a</f>
        <v/>
      </c>
    </row>
    <row r="2770">
      <c r="A2770">
        <f>=102328	 | Trojan.Win32.Autorun.CB	 | 9cd0c55c90ed0f2c8b4ed51bdab42bc5</f>
        <v/>
      </c>
    </row>
    <row r="2771">
      <c r="A2771">
        <f>=102329	 | Trojan.Win32.DNSChanger.D	 | 0cb411ce6f4977fc838235878ebd5474</f>
        <v/>
      </c>
    </row>
    <row r="2772">
      <c r="A2772">
        <f>=102330	 | Trojan.Win32.FakeIEBrowser.F	 | </f>
        <v/>
      </c>
    </row>
    <row r="2773">
      <c r="A2773">
        <f>=102331	 | Trojan.Win32.FakePDF.O	 | 466496121c696191ea1920c0c2fc5215</f>
        <v/>
      </c>
    </row>
    <row r="2774">
      <c r="A2774">
        <f>=102332	 | Trojan.Win32.QuchiSpy.A	 | b3503e6dede51e34e30787a38e5bf96d</f>
        <v/>
      </c>
    </row>
    <row r="2775">
      <c r="A2775">
        <f>=102333	 | Trojan.Win32.Ransom.H	 | 451b539f1141d6cc423a79eb2fd82ba0</f>
        <v/>
      </c>
    </row>
    <row r="2776">
      <c r="A2776">
        <f>=102334	 | Trojan.Win32.Razy.A	 | 0b13871fa64da8f08bc73c6eddcf8ddc</f>
        <v/>
      </c>
    </row>
    <row r="2777">
      <c r="A2777">
        <f>=102335	 | Trojan.Win32.StartPage.CO	 | </f>
        <v/>
      </c>
    </row>
    <row r="2778">
      <c r="A2778">
        <f>=102336	 | Trojan.Win32.StartPage.Q	 | </f>
        <v/>
      </c>
    </row>
    <row r="2779">
      <c r="A2779">
        <f>=102337	 | Trojan.Win32.StartPage.V	 | </f>
        <v/>
      </c>
    </row>
    <row r="2780">
      <c r="A2780">
        <f>=102338	 | Trojan.Win32.TaoJin.G	 | </f>
        <v/>
      </c>
    </row>
    <row r="2781">
      <c r="A2781">
        <f>=102339	 | Trojan.Win32.TaoJin.P	 | </f>
        <v/>
      </c>
    </row>
    <row r="2782">
      <c r="A2782">
        <f>=102340	 | Trojan.Win32.VBClicker.A	 | </f>
        <v/>
      </c>
    </row>
    <row r="2783">
      <c r="A2783">
        <f>=102341	 | Trojan.Win32.Waldek.A	 | </f>
        <v/>
      </c>
    </row>
    <row r="2784">
      <c r="A2784">
        <f>=102342	 | Worm.Win32.FakeFolder.HR	 | </f>
        <v/>
      </c>
    </row>
    <row r="2785">
      <c r="A2785">
        <f>=102343	 | Adware.Win32.Bundlore.C	 | 9db47cf57e619ce03c00d5001468063b</f>
        <v/>
      </c>
    </row>
    <row r="2786">
      <c r="A2786">
        <f>=102344	 | Backdoor.Win32.Agent.EJ	 | </f>
        <v/>
      </c>
    </row>
    <row r="2787">
      <c r="A2787">
        <f>=102345	 | Backdoor.Win32.Donetsk.A	 | 4c47d9d2c4883603c6c8514d0664abf9</f>
        <v/>
      </c>
    </row>
    <row r="2788">
      <c r="A2788">
        <f>=102346	 | Backdoor.Win32.OceanLotus.AE	 | c84bd4b7a801deb7e2b44fb89b0319f3</f>
        <v/>
      </c>
    </row>
    <row r="2789">
      <c r="A2789">
        <f>=102349	 | Backdoor.Win32.Allaple.A	 | 4394a476da34ef8a7d97d3f14b2f3d23</f>
        <v/>
      </c>
    </row>
    <row r="2790">
      <c r="A2790">
        <f>=102350	 | Backdoor.Win32.AutoIt.ED	 | 311a5ecf0e1142bc844db41bcfd0c137</f>
        <v/>
      </c>
    </row>
    <row r="2791">
      <c r="A2791">
        <f>=102351	 | Adware.Win32.Ibryte.A	 | 80387ed2707b194e7bf3b970c62694f2</f>
        <v/>
      </c>
    </row>
    <row r="2792">
      <c r="A2792">
        <f>=102352	 | Backdoor.Win32.Agent.ACH	 | </f>
        <v/>
      </c>
    </row>
    <row r="2793">
      <c r="A2793">
        <f>=102353	 | Backdoor.Win32.Agent.CI	 | </f>
        <v/>
      </c>
    </row>
    <row r="2794">
      <c r="A2794">
        <f>=102354	 | Backdoor.Win32.Agent.CL	 | </f>
        <v/>
      </c>
    </row>
    <row r="2795">
      <c r="A2795">
        <f>=102355	 | Backdoor.Win32.Banker.B	 | ae3a1e8643aeb93ecad26738a1d57c32</f>
        <v/>
      </c>
    </row>
    <row r="2796">
      <c r="A2796">
        <f>=102356	 | Backdoor.Win32.Graftor.A	 | 1772fcebbd4c72166be0d549360fb235</f>
        <v/>
      </c>
    </row>
    <row r="2797">
      <c r="A2797">
        <f>=102357	 | Backdoor.Win32.Ngrbot.A	 | 41abd327b0578339d95511ec8db9a3b0</f>
        <v/>
      </c>
    </row>
    <row r="2798">
      <c r="A2798">
        <f>=102358	 | Backdoor.Win32.Rbot.D	 | </f>
        <v/>
      </c>
    </row>
    <row r="2799">
      <c r="A2799">
        <f>=102359	 | Backdoor.Win32.Urelas.D	 | c6c07b1b6ba652c52f4e4681fb761a15</f>
        <v/>
      </c>
    </row>
    <row r="2800">
      <c r="A2800">
        <f>=102361	 | Trojan.Win32.Obfuscator.C	 | 5ee3cdadb79f2121aaf2f00e33456258</f>
        <v/>
      </c>
    </row>
    <row r="2801">
      <c r="A2801">
        <f>=102362	 | Trojan.Win32.NtHook.C	 | </f>
        <v/>
      </c>
    </row>
    <row r="2802">
      <c r="A2802">
        <f>=102363	 | Adware.Win32.Adfen.H	 | 6b35e504662e5678d6e9a7ef28630991</f>
        <v/>
      </c>
    </row>
    <row r="2803">
      <c r="A2803">
        <f>=102364	 | Adware.Win32.Agent.AP	 | </f>
        <v/>
      </c>
    </row>
    <row r="2804">
      <c r="A2804">
        <f>=102365	 | Adware.Win32.StartPage.E	 | </f>
        <v/>
      </c>
    </row>
    <row r="2805">
      <c r="A2805">
        <f>=102366	 | Adware.Win32.TaoJin.A	 | 92245549f3df787793bcb5ed06c8383e</f>
        <v/>
      </c>
    </row>
    <row r="2806">
      <c r="A2806">
        <f>=102367	 | Adware.Win32.VBCode.G	 | </f>
        <v/>
      </c>
    </row>
    <row r="2807">
      <c r="A2807">
        <f>=102368	 | Trojan.Win32.Spirit.X	 | </f>
        <v/>
      </c>
    </row>
    <row r="2808">
      <c r="A2808">
        <f>=102369	 | Trojan.Win32.Agent.AM	 | </f>
        <v/>
      </c>
    </row>
    <row r="2809">
      <c r="A2809">
        <f>=102370	 | Trojan.Win32.Agent.NEYNET	 | </f>
        <v/>
      </c>
    </row>
    <row r="2810">
      <c r="A2810">
        <f>=102371	 | Trojan.Win32.Agent.NEYNEU	 | </f>
        <v/>
      </c>
    </row>
    <row r="2811">
      <c r="A2811">
        <f>=102372	 | Trojan.Win32.Ecode.D	 | </f>
        <v/>
      </c>
    </row>
    <row r="2812">
      <c r="A2812">
        <f>=102373	 | Trojan.Win32.Waski.E	 | fe5f3145295429785a0c8a89b24b7b6a</f>
        <v/>
      </c>
    </row>
    <row r="2813">
      <c r="A2813">
        <f>=102374	 | Trojan.Win32.QQlogger.B	 | 53c0387ac9aa506bf46f0807a92a4c02</f>
        <v/>
      </c>
    </row>
    <row r="2814">
      <c r="A2814">
        <f>=102375	 | Trojan.Win32.QQlogger.E	 | </f>
        <v/>
      </c>
    </row>
    <row r="2815">
      <c r="A2815">
        <f>=102376	 | Trojan.Win32.QQPass.AX	 | </f>
        <v/>
      </c>
    </row>
    <row r="2816">
      <c r="A2816">
        <f>=102377	 | Trojan.Win32.QQPass.BE	 | </f>
        <v/>
      </c>
    </row>
    <row r="2817">
      <c r="A2817">
        <f>=102381	 | Trojan.Win32.QQPass.BJ	 | </f>
        <v/>
      </c>
    </row>
    <row r="2818">
      <c r="A2818">
        <f>=102382	 | Trojan.Win32.QQPass.DW	 | </f>
        <v/>
      </c>
    </row>
    <row r="2819">
      <c r="A2819">
        <f>=102383	 | Trojan.Win32.WOW.E	 | </f>
        <v/>
      </c>
    </row>
    <row r="2820">
      <c r="A2820">
        <f>=102384	 | Trojan.Win32.Agent.BC	 | </f>
        <v/>
      </c>
    </row>
    <row r="2821">
      <c r="A2821">
        <f>=102385	 | Trojan.Win32.Bgrbot.A	 | 02f6c0a8053b40c935656ffec6131831</f>
        <v/>
      </c>
    </row>
    <row r="2822">
      <c r="A2822">
        <f>=102386	 | Trojan.Win32.CryotoVB.A	 | 7f81e4d03538f1e3f0b3f43513967eaf</f>
        <v/>
      </c>
    </row>
    <row r="2823">
      <c r="A2823">
        <f>=102387	 | Trojan.Win32.DNSChanger.C	 | </f>
        <v/>
      </c>
    </row>
    <row r="2824">
      <c r="A2824">
        <f>=102388	 | Trojan.Win32.FakeFolder.G	 | 2fbb8d00eece99728a90454f427cb388</f>
        <v/>
      </c>
    </row>
    <row r="2825">
      <c r="A2825">
        <f>=102389	 | Trojan.Win32.FakeIE.C	 | </f>
        <v/>
      </c>
    </row>
    <row r="2826">
      <c r="A2826">
        <f>=102390	 | Trojan.Win32.FakeIEBrowser.AC	 | </f>
        <v/>
      </c>
    </row>
    <row r="2827">
      <c r="A2827">
        <f>=102391	 | Trojan.Win32.FakeIEBrowser.K	 | </f>
        <v/>
      </c>
    </row>
    <row r="2828">
      <c r="A2828">
        <f>=102392	 | Trojan.Win32.FakeIEBrowser.V	 | </f>
        <v/>
      </c>
    </row>
    <row r="2829">
      <c r="A2829">
        <f>=102393	 | Trojan.Win32.HiJack.B	 | </f>
        <v/>
      </c>
    </row>
    <row r="2830">
      <c r="A2830">
        <f>=102394	 | Trojan.Win32.HiJack.C	 | ece7f53c8e8d742a60a3d51a94a9b3b1</f>
        <v/>
      </c>
    </row>
    <row r="2831">
      <c r="A2831">
        <f>=102395	 | Trojan.Win32.MBR.A	 | </f>
        <v/>
      </c>
    </row>
    <row r="2832">
      <c r="A2832">
        <f>=102396	 | Trojan.Win32.NStorm.A	 | 3d21715b2f60e1a1dc6a7600e434b501</f>
        <v/>
      </c>
    </row>
    <row r="2833">
      <c r="A2833">
        <f>=102397	 | Trojan.Win32.Razy.D	 | 7b1bb68bc8d0bbb4634f70b74a7c8d71</f>
        <v/>
      </c>
    </row>
    <row r="2834">
      <c r="A2834">
        <f>=102398	 | Trojan.Win32.Reconyc.A	 | 74c3676a67576b37822b6e5616b8bd26</f>
        <v/>
      </c>
    </row>
    <row r="2835">
      <c r="A2835">
        <f>=102399	 | Trojan.Win32.Snojan.C	 | </f>
        <v/>
      </c>
    </row>
    <row r="2836">
      <c r="A2836">
        <f>=102400	 | Trojan.Win32.StartPage.AT	 | </f>
        <v/>
      </c>
    </row>
    <row r="2837">
      <c r="A2837">
        <f>=102401	 | Trojan.Win32.StartPage.CP	 | </f>
        <v/>
      </c>
    </row>
    <row r="2838">
      <c r="A2838">
        <f>=102402	 | Trojan.Win32.StartPage.CQ	 | 0e646f6f8ffc8f64c625b0687555b791</f>
        <v/>
      </c>
    </row>
    <row r="2839">
      <c r="A2839">
        <f>=102403	 | Trojan.Win32.StartPage.U	 | </f>
        <v/>
      </c>
    </row>
    <row r="2840">
      <c r="A2840">
        <f>=102404	 | Trojan.Win32.TCPBlocker.A	 | </f>
        <v/>
      </c>
    </row>
    <row r="2841">
      <c r="A2841">
        <f>=102405	 | Trojan.Win32.TCPBlocker.E	 | </f>
        <v/>
      </c>
    </row>
    <row r="2842">
      <c r="A2842">
        <f>=102406	 | Trojan.Win32.TCPBlocker.H	 | </f>
        <v/>
      </c>
    </row>
    <row r="2843">
      <c r="A2843">
        <f>=102407	 | Trojan.Win32.VBCode.AB	 | b926035b27e3da53d346a1b8f8cb33e3</f>
        <v/>
      </c>
    </row>
    <row r="2844">
      <c r="A2844">
        <f>=102408	 | Trojan.Win32.VBCrypt.A	 | a4946a2a62c7d58cf7b51365e2424f58</f>
        <v/>
      </c>
    </row>
    <row r="2845">
      <c r="A2845">
        <f>=102409	 | Trojan.Win32.Yaqio.A	 | </f>
        <v/>
      </c>
    </row>
    <row r="2846">
      <c r="A2846">
        <f>=102410	 | Trojan.Win32.Zusy.G	 | </f>
        <v/>
      </c>
    </row>
    <row r="2847">
      <c r="A2847">
        <f>=102411	 | Trojan.Win64.Agent.B	 | 986a42009877aca120d30fc2c092da62</f>
        <v/>
      </c>
    </row>
    <row r="2848">
      <c r="A2848">
        <f>=102412	 | Trojan.Win64.Sanra.A	 | 758c992e76a8c292ec435d13e20205a0</f>
        <v/>
      </c>
    </row>
    <row r="2849">
      <c r="A2849">
        <f>=102413	 | Trojan.Win32.FakeFolder.AO	 | </f>
        <v/>
      </c>
    </row>
    <row r="2850">
      <c r="A2850">
        <f>=102414	 | Worm.Win32.FakeFolder.ART	 | f0f7cf093344f7dbed1c3f3a16c45334</f>
        <v/>
      </c>
    </row>
    <row r="2851">
      <c r="A2851">
        <f>=102415	 | Worm.Win32.FakeFolder.KI	 | 5bb59c5cae78c2ba1a3da6bfc8a2c434</f>
        <v/>
      </c>
    </row>
    <row r="2852">
      <c r="A2852">
        <f>=102416	 | Worm.Win32.FakeFolder.N	 | </f>
        <v/>
      </c>
    </row>
    <row r="2853">
      <c r="A2853">
        <f>=102417	 | Backdoor.Win32.Zegost.G	 | </f>
        <v/>
      </c>
    </row>
    <row r="2854">
      <c r="A2854">
        <f>=102418	 | Backdoor.Win32.Small.ML	 | 0252e6baa4771b84b10ed2ab040f7da8</f>
        <v/>
      </c>
    </row>
    <row r="2855">
      <c r="A2855">
        <f>=102419	 | Worm.Win32.Mydoom.M	 | 53170156fc1c80830efb3b0cc974190d</f>
        <v/>
      </c>
    </row>
    <row r="2856">
      <c r="A2856">
        <f>=102421	 | Trojan.Win32.AutoIt.GEN	 | 9fdb0fbc99f9b7162ade3ab1099b0a08</f>
        <v/>
      </c>
    </row>
    <row r="2857">
      <c r="A2857">
        <f>=102424	 | Trojan.Win32.NetWire.GEN	 | 73cb05f230200a85eb9af066b3fffc82</f>
        <v/>
      </c>
    </row>
    <row r="2858">
      <c r="A2858">
        <f>=102426	 | Trojan.Win32.Generic.A	 | e7ec05b5ae2e8adaf0017c8681c0f88e</f>
        <v/>
      </c>
    </row>
    <row r="2859">
      <c r="A2859">
        <f>=102427	 | Trojan.Win32.Wanna.GEN	 | </f>
        <v/>
      </c>
    </row>
    <row r="2860">
      <c r="A2860">
        <f>=102428	 | Trojan.Win32.Clicker.AT	 | </f>
        <v/>
      </c>
    </row>
    <row r="2861">
      <c r="A2861">
        <f>=102429	 | Worm.Win32.Generic.A	 | e70ca92a289f4c11d8cfadfc3546197f</f>
        <v/>
      </c>
    </row>
    <row r="2862">
      <c r="A2862">
        <f>=102430	 | Worm.Win32.Allaple.AE	 | b6b70769b699c23027aee432b1e1269c</f>
        <v/>
      </c>
    </row>
    <row r="2863">
      <c r="A2863">
        <f>=102432	 | Worm.Win32.Allaple.B	 | 7454e60f07bca495ac88c84f6ee23b7b</f>
        <v/>
      </c>
    </row>
    <row r="2864">
      <c r="A2864">
        <f>=102434	 | RootKit.Win32.NtHook.AU	 | </f>
        <v/>
      </c>
    </row>
    <row r="2865">
      <c r="A2865">
        <f>=102435	 | RootKit.Win32.NtHook.AV	 | 2fa72372bf90cb3441ab8dd50b8386f0</f>
        <v/>
      </c>
    </row>
    <row r="2866">
      <c r="A2866">
        <f>=102436	 | Trojan.Win32.Agent.NEYNEV	 | </f>
        <v/>
      </c>
    </row>
    <row r="2867">
      <c r="A2867">
        <f>=102437	 | Trojan.Win32.Clicker.AV	 | </f>
        <v/>
      </c>
    </row>
    <row r="2868">
      <c r="A2868">
        <f>=102438	 | Trojan.Win32.Downloader.BH	 | </f>
        <v/>
      </c>
    </row>
    <row r="2869">
      <c r="A2869">
        <f>=102439	 | Trojan.Win32.Spirit.AQ	 | </f>
        <v/>
      </c>
    </row>
    <row r="2870">
      <c r="A2870">
        <f>=102440	 | Trojan.Win32.Spirit.AR	 | </f>
        <v/>
      </c>
    </row>
    <row r="2871">
      <c r="A2871">
        <f>=102441	 | Trojan.Win32.StartPage.CR	 | 4241bfef0aa45ba767c6e92b31681241</f>
        <v/>
      </c>
    </row>
    <row r="2872">
      <c r="A2872">
        <f>=102442	 | Adware.Win32.ScreenSaver.E	 | bd02ddc8546c4be063f378854344c93e</f>
        <v/>
      </c>
    </row>
    <row r="2873">
      <c r="A2873">
        <f>=102450	 | Adware.Win32.SoftPulse.BEUD	 | edd167867ef588b02b49d463849ba2f6</f>
        <v/>
      </c>
    </row>
    <row r="2874">
      <c r="A2874">
        <f>=102453	 | Adware.Win32.SoftPulse.CHAI	 | 1af8c8c687de20f7a72dd38eeadc4214</f>
        <v/>
      </c>
    </row>
    <row r="2875">
      <c r="A2875">
        <f>=102459	 | Trojan.Win32.Agent.NEYNEW	 | </f>
        <v/>
      </c>
    </row>
    <row r="2876">
      <c r="A2876">
        <f>=102460	 | Backdoor.Win32.Agent.ACJ	 | </f>
        <v/>
      </c>
    </row>
    <row r="2877">
      <c r="A2877">
        <f>=102461	 | Backdoor.Win32.Agent.ACK	 | </f>
        <v/>
      </c>
    </row>
    <row r="2878">
      <c r="A2878">
        <f>=102462	 | Backdoor.Win32.Gh0st.A	 | </f>
        <v/>
      </c>
    </row>
    <row r="2879">
      <c r="A2879">
        <f>=102463	 | Hackertool.Win32.DriverUpd.IPB	 | ca0df3e1fc393d09075bf008721d5797</f>
        <v/>
      </c>
    </row>
    <row r="2880">
      <c r="A2880">
        <f>=102464	 | Trojan.Win32.Bublik.A	 | b095e0b7321abedfd098c43df2e23b7c</f>
        <v/>
      </c>
    </row>
    <row r="2881">
      <c r="A2881">
        <f>=102465	 | Backdoor.Win32.Gh0st.JV	 | 987aedbf9a53aa070beedc4a66d62120</f>
        <v/>
      </c>
    </row>
    <row r="2882">
      <c r="A2882">
        <f>=102466	 | Backdoor.Win32.Gh0st.JW	 | </f>
        <v/>
      </c>
    </row>
    <row r="2883">
      <c r="A2883">
        <f>=102467	 | Backdoor.Win32.Ripinip.F	 | </f>
        <v/>
      </c>
    </row>
    <row r="2884">
      <c r="A2884">
        <f>=102468	 | Trojan.Win32.Cosmu.DNEK	 | f1be31a80d598042ea241191fb4497ec</f>
        <v/>
      </c>
    </row>
    <row r="2885">
      <c r="A2885">
        <f>=102469	 | Trojan.Win32.Diple.A	 | ab9576ab95e0c7224585a15682c97160</f>
        <v/>
      </c>
    </row>
    <row r="2886">
      <c r="A2886">
        <f>=102470	 | Trojan.Win32.Vobfus.A	 | ea239e3c6e5c08606e5b8c34465a78d9</f>
        <v/>
      </c>
    </row>
    <row r="2887">
      <c r="A2887">
        <f>=102471	 | Trojan.Win32.Vobfus.B	 | 49b669529a591eb4d82808699cb8e911</f>
        <v/>
      </c>
    </row>
    <row r="2888">
      <c r="A2888">
        <f>=102472	 | Dropper.Win32.AntiCloud.B	 | </f>
        <v/>
      </c>
    </row>
    <row r="2889">
      <c r="A2889">
        <f>=102473	 | Trojan.Win32.ShipUp.G	 | 1c6d80549cd225b8ca28ebdfcb368d17</f>
        <v/>
      </c>
    </row>
    <row r="2890">
      <c r="A2890">
        <f>=102474	 | Trojan.Win32.Small.ACLK	 | </f>
        <v/>
      </c>
    </row>
    <row r="2891">
      <c r="A2891">
        <f>=102475	 | Trojan.Win32.VBKrypt.BCD	 | 2d9fb9a2bb103316447cda420d65ee26</f>
        <v/>
      </c>
    </row>
    <row r="2892">
      <c r="A2892">
        <f>=102477	 | Trojan.Win32.VBKrypt.BCE	 | 623cfb83c0e85da6abd0d09a47040422</f>
        <v/>
      </c>
    </row>
    <row r="2893">
      <c r="A2893">
        <f>=102478	 | RootKit.Win32.Agent.AS	 | </f>
        <v/>
      </c>
    </row>
    <row r="2894">
      <c r="A2894">
        <f>=102479	 | Trojan.Win64.Trickster.B	 | </f>
        <v/>
      </c>
    </row>
    <row r="2895">
      <c r="A2895">
        <f>=102480	 | Trojan.Win64.Artra.A	 | 6e6d2a52179e773f01cc7ff8e5aff24a</f>
        <v/>
      </c>
    </row>
    <row r="2896">
      <c r="A2896">
        <f>=102481	 | Trojan.Win32.Upatre.DJRY	 | cf080cff8f94045f8ab514cd33d3b1e2</f>
        <v/>
      </c>
    </row>
    <row r="2897">
      <c r="A2897">
        <f>=102482	 | Backdoor.Win32.Small.MM	 | 8a94de873483ace050f079f1f667cafa</f>
        <v/>
      </c>
    </row>
    <row r="2898">
      <c r="A2898">
        <f>=102483	 | Trojan.Win32.Upatre.FRRS	 | </f>
        <v/>
      </c>
    </row>
    <row r="2899">
      <c r="A2899">
        <f>=102484	 | RootKit.Win32.Cryptor.A	 | </f>
        <v/>
      </c>
    </row>
    <row r="2900">
      <c r="A2900">
        <f>=102485	 | Trojan.Win32.Adfen.A	 | </f>
        <v/>
      </c>
    </row>
    <row r="2901">
      <c r="A2901">
        <f>=102486	 | Trojan.Win32.Agent.NEYNEX	 | </f>
        <v/>
      </c>
    </row>
    <row r="2902">
      <c r="A2902">
        <f>=102487	 | Trojan.Win32.Agent.NEYNEY	 | 1eec4e583b4aa82a33b11f139f0509cb</f>
        <v/>
      </c>
    </row>
    <row r="2903">
      <c r="A2903">
        <f>=102488	 | Trojan.Win32.Agent.NEYNFA	 | </f>
        <v/>
      </c>
    </row>
    <row r="2904">
      <c r="A2904">
        <f>=102489	 | Trojan.Win32.Agent.NEYNFB	 | </f>
        <v/>
      </c>
    </row>
    <row r="2905">
      <c r="A2905">
        <f>=102490	 | Trojan.Win32.Agent.NEYNFC	 | </f>
        <v/>
      </c>
    </row>
    <row r="2906">
      <c r="A2906">
        <f>=102491	 | Trojan.Win32.Dapato.A	 | 0da867583f081629ea766b6811451c05</f>
        <v/>
      </c>
    </row>
    <row r="2907">
      <c r="A2907">
        <f>=102492	 | Trojan.Win32.FakeIE.AG	 | </f>
        <v/>
      </c>
    </row>
    <row r="2908">
      <c r="A2908">
        <f>=102493	 | Trojan.Win32.Magania.AH	 | 77356142bca489caac474df43f8a1473</f>
        <v/>
      </c>
    </row>
    <row r="2909">
      <c r="A2909">
        <f>=102494	 | Trojan.Win32.SpyEyes.A	 | 6ecef30a830001377366f36695947f94</f>
        <v/>
      </c>
    </row>
    <row r="2910">
      <c r="A2910">
        <f>=102495	 | Trojan.Win32.Ursnif.A	 | 56d0959d655c07428bde092f1afb1bc3</f>
        <v/>
      </c>
    </row>
    <row r="2911">
      <c r="A2911">
        <f>=102496	 | Trojan.Win32.Zbot.F	 | e4d529e44bb197ab3963e565421cad60</f>
        <v/>
      </c>
    </row>
    <row r="2912">
      <c r="A2912">
        <f>=102497	 | Trojan.Win32.Zbot.G	 | 4f769cae6302404db8324ec2aca9d1b9</f>
        <v/>
      </c>
    </row>
    <row r="2913">
      <c r="A2913">
        <f>=102498	 | Trojan.Win32.FakeIEBrowser.AG	 | 0d1df2113dac8bda2e404799ca4f34a1</f>
        <v/>
      </c>
    </row>
    <row r="2914">
      <c r="A2914">
        <f>=102503	 | Trojan.Win32.FakeIEBrowser.AH	 | </f>
        <v/>
      </c>
    </row>
    <row r="2915">
      <c r="A2915">
        <f>=102504	 | Trojan.Win32.FakeIEBrowser.AI	 | 9436bd6cccb133e7c2223e9d06238faf</f>
        <v/>
      </c>
    </row>
    <row r="2916">
      <c r="A2916">
        <f>=102506	 | Trojan.Win32.FakeIEBrowser.AJ	 | </f>
        <v/>
      </c>
    </row>
    <row r="2917">
      <c r="A2917">
        <f>=102507	 | Trojan.Win32.FakeLPK.AN	 | 6f6d30e90697c275c79defbc3207cd0f</f>
        <v/>
      </c>
    </row>
    <row r="2918">
      <c r="A2918">
        <f>=102508	 | Trojan.Win32.GameOnline.FQ	 | </f>
        <v/>
      </c>
    </row>
    <row r="2919">
      <c r="A2919">
        <f>=102509	 | Trojan.Win32.GameThief.AI	 | </f>
        <v/>
      </c>
    </row>
    <row r="2920">
      <c r="A2920">
        <f>=102510	 | Trojan.Win32.GameUpdate.A	 | </f>
        <v/>
      </c>
    </row>
    <row r="2921">
      <c r="A2921">
        <f>=102511	 | Trojan.Win32.GameUpdate.B	 | 8f4459471dc4a733e68ab86104ce9d81</f>
        <v/>
      </c>
    </row>
    <row r="2922">
      <c r="A2922">
        <f>=102512	 | Trojan.Win32.GandCrab.A	 | c928d9b8bf467b9e6718d3eeb59580a4</f>
        <v/>
      </c>
    </row>
    <row r="2923">
      <c r="A2923">
        <f>=102513	 | Trojan.Win32.Inject.A	 | </f>
        <v/>
      </c>
    </row>
    <row r="2924">
      <c r="A2924">
        <f>=102514	 | Trojan.Win32.Qhost.G	 | </f>
        <v/>
      </c>
    </row>
    <row r="2925">
      <c r="A2925">
        <f>=102515	 | Trojan.Win32.Sohanad.A	 | 06aa1ba43c7772f5c79dc97fe4ebf3bf</f>
        <v/>
      </c>
    </row>
    <row r="2926">
      <c r="A2926">
        <f>=102516	 | Trojan.Win32.Inject.GELUF	 | 0b3f5ddf2ec7e1af771acfce2a7017b1</f>
        <v/>
      </c>
    </row>
    <row r="2927">
      <c r="A2927">
        <f>=102518	 | Trojan.Win32.Yakes.A	 | 7103cbab3e3a543fe4031586c6ac627f</f>
        <v/>
      </c>
    </row>
    <row r="2928">
      <c r="A2928">
        <f>=102520	 | Trojan.Win32.Roxer.A	 | 651917a9b9a72ae18742f53ba6d028be</f>
        <v/>
      </c>
    </row>
    <row r="2929">
      <c r="A2929">
        <f>=102521	 | Worm.Win32.Debris.AS	 | fcdaeb731407c55e91f42d309e9a2be0</f>
        <v/>
      </c>
    </row>
    <row r="2930">
      <c r="A2930">
        <f>=102522	 | Worm.Win32.VBKrypt.BE	 | 04d2637035f45809e3e05fe034030d91</f>
        <v/>
      </c>
    </row>
    <row r="2931">
      <c r="A2931">
        <f>=102523	 | Worm.Win32.Vobfus.BCD	 | 61cc0db900e1ea0587c32fa34b2dd653</f>
        <v/>
      </c>
    </row>
    <row r="2932">
      <c r="A2932">
        <f>=102524	 | Trojan.Win32.QQPass.DX	 | </f>
        <v/>
      </c>
    </row>
    <row r="2933">
      <c r="A2933">
        <f>=102525	 | Worm.Win32.Vobfus.BCE	 | e5fbab2d022f4836a76bad27028ebce4</f>
        <v/>
      </c>
    </row>
    <row r="2934">
      <c r="A2934">
        <f>=102526	 | Worm.Win32.Vobfus.BCF	 | f1cc10ed7b73c0caadc0579f0dc67fb1</f>
        <v/>
      </c>
    </row>
    <row r="2935">
      <c r="A2935">
        <f>=102527	 | Backdoor.Win32.Small.MN	 | </f>
        <v/>
      </c>
    </row>
    <row r="2936">
      <c r="A2936">
        <f>=102528	 | Hackertool.Win32.KMSAuto.ER	 | 17836b357aebe59ede5c1bb6ef8793c6</f>
        <v/>
      </c>
    </row>
    <row r="2937">
      <c r="A2937">
        <f>=102529	 | Adware.Win32.AirAdInstaller.A	 | fbfde2bae6faba5f31f4321fc1e16452</f>
        <v/>
      </c>
    </row>
    <row r="2938">
      <c r="A2938">
        <f>=102531	 | Trojan.Win32.NetWire.A	 | </f>
        <v/>
      </c>
    </row>
    <row r="2939">
      <c r="A2939">
        <f>=102532	 | Trojan.Win32.VBKrypt.BCF	 | 52492ad20a03fe9893631ebfe1b920a6</f>
        <v/>
      </c>
    </row>
    <row r="2940">
      <c r="A2940">
        <f>=102533	 | Trojan.Win32.Trickster.A	 | 7e1591252e20c515826c29f7c64e69f8</f>
        <v/>
      </c>
    </row>
    <row r="2941">
      <c r="A2941">
        <f>=102534	 | Trojan.Win32.Daws.A	 | 3194b761c6954dc4fdce05911dec3708</f>
        <v/>
      </c>
    </row>
    <row r="2942">
      <c r="A2942">
        <f>=102535	 | Trojan.Win32.Blocker.A	 | 1c88f5ccee1b31f19c7fbbe24bb9f841</f>
        <v/>
      </c>
    </row>
    <row r="2943">
      <c r="A2943">
        <f>=102536	 | Trojan.Win64.PornoAsset.A	 | 3bb98394ccdbee6e9745779dc05615f7</f>
        <v/>
      </c>
    </row>
    <row r="2944">
      <c r="A2944">
        <f>=102537	 | Trojan.Win64.Small.A	 | 46dce38f814d782c2e94fd4992e86244</f>
        <v/>
      </c>
    </row>
    <row r="2945">
      <c r="A2945">
        <f>=102538	 | Worm.Win32.Palevo.D	 | bf8e92363155e43e817fd6db312f7ad0</f>
        <v/>
      </c>
    </row>
    <row r="2946">
      <c r="A2946">
        <f>=102539	 | Trojan.Win32.Phpw.A	 | 7761bc6c4fc2f80af933a1058b8a08ed</f>
        <v/>
      </c>
    </row>
    <row r="2947">
      <c r="A2947">
        <f>=102540	 | VirusOrg.Win32.Scar.A	 | 02273751ee22b5fd810877e22ebfec4b</f>
        <v/>
      </c>
    </row>
    <row r="2948">
      <c r="A2948">
        <f>=102541	 | Worm.Win32.Vobfus.BCG	 | 8072474a63a3a0ed7b19e55f170c92ee</f>
        <v/>
      </c>
    </row>
    <row r="2949">
      <c r="A2949">
        <f>=102542	 | Worm.Win32.Vobfus.BCH	 | 7476fd901ed4506553f2fe6ccd57f6e4</f>
        <v/>
      </c>
    </row>
    <row r="2950">
      <c r="A2950">
        <f>=102543	 | Worm.Win32.Vobfus.BCI	 | 218c57c439bd5aa3c5d96c24e069e990</f>
        <v/>
      </c>
    </row>
    <row r="2951">
      <c r="A2951">
        <f>=102544	 | Worm.Win32.Vobfus.BCJ	 | 41fdfce38cec2e9428b2c3086ebbb4f5</f>
        <v/>
      </c>
    </row>
    <row r="2952">
      <c r="A2952">
        <f>=102545	 | Worm.Win32.Vobfus.BCK	 | df368954f5320c7abd0dff6188c59f1a</f>
        <v/>
      </c>
    </row>
    <row r="2953">
      <c r="A2953">
        <f>=102547	 | Worm.Win32.Vobfus.BCL	 | eacd02ed4b3ec159aab86174346dc4a0</f>
        <v/>
      </c>
    </row>
    <row r="2954">
      <c r="A2954">
        <f>=102548	 | Worm.Win32.Vobfus.BCM	 | 30dfaf067a326f2ecdf5c15bd1a8546a</f>
        <v/>
      </c>
    </row>
    <row r="2955">
      <c r="A2955">
        <f>=102549	 | Worm.Win32.Vobfus.BCN	 | 1a2c073b22fb153c30e8eab6b64fe40e</f>
        <v/>
      </c>
    </row>
    <row r="2956">
      <c r="A2956">
        <f>=102550	 | Worm.Win32.Vobfus.BCO	 | 7e43e5348e99a590a8baf2465f5fa927</f>
        <v/>
      </c>
    </row>
    <row r="2957">
      <c r="A2957">
        <f>=102551	 | Worm.Win32.WBNA.A	 | 6d560b20cb3609e412e2236880ffea71</f>
        <v/>
      </c>
    </row>
    <row r="2958">
      <c r="A2958">
        <f>=102552	 | Worm.Win32.WBNA.B	 | 6dae496d77059967af291732f73959c6</f>
        <v/>
      </c>
    </row>
    <row r="2959">
      <c r="A2959">
        <f>=102553	 | Worm.Win64.AutoRun.M	 | </f>
        <v/>
      </c>
    </row>
    <row r="2960">
      <c r="A2960">
        <f>=102554	 | Worm.Win64.AutoRun.N	 | </f>
        <v/>
      </c>
    </row>
    <row r="2961">
      <c r="A2961">
        <f>=102555	 | Backdoor.Win32.Zegost.N	 | </f>
        <v/>
      </c>
    </row>
    <row r="2962">
      <c r="A2962">
        <f>=102556	 | RootKit.Win32.Agent.BV	 | 727c4097c23929a86cd4fd4e2c90b490</f>
        <v/>
      </c>
    </row>
    <row r="2963">
      <c r="A2963">
        <f>=102557	 | RootKit.Win32.NtHook.R	 | </f>
        <v/>
      </c>
    </row>
    <row r="2964">
      <c r="A2964">
        <f>=102558	 | Trojan.Win32.Adware.AH	 | </f>
        <v/>
      </c>
    </row>
    <row r="2965">
      <c r="A2965">
        <f>=102559	 | Trojan.Win32.Adware.S	 | </f>
        <v/>
      </c>
    </row>
    <row r="2966">
      <c r="A2966">
        <f>=102560	 | Trojan.Win32.Adware.B	 | 03404d6bffb5478fa8b894254f44dbe9</f>
        <v/>
      </c>
    </row>
    <row r="2967">
      <c r="A2967">
        <f>=102561	 | Trojan.Win32.QQPass.DY	 | </f>
        <v/>
      </c>
    </row>
    <row r="2968">
      <c r="A2968">
        <f>=102562	 | Trojan.Win32.Qvod.D	 | </f>
        <v/>
      </c>
    </row>
    <row r="2969">
      <c r="A2969">
        <f>=102563	 | Trojan.Win32.Sanra.B	 | fb037ecb707b853d18932837f6670327</f>
        <v/>
      </c>
    </row>
    <row r="2970">
      <c r="A2970">
        <f>=102564	 | Trojan.Win32.StartPage.CS	 | 019c85e7eb2708a3b19825d63793e30b</f>
        <v/>
      </c>
    </row>
    <row r="2971">
      <c r="A2971">
        <f>=102565	 | Trojan.Win32.StartPage.CT	 | </f>
        <v/>
      </c>
    </row>
    <row r="2972">
      <c r="A2972">
        <f>=102566	 | Trojan.Win32.Upatre.FRRT	 | ae9b8fcb6755c7d9ffd925cd3e4fce52</f>
        <v/>
      </c>
    </row>
    <row r="2973">
      <c r="A2973">
        <f>=102567	 | Trojan.Win32.Agent.NEYNFD	 | 0d1f2c74e5acd758c5c1297236726946</f>
        <v/>
      </c>
    </row>
    <row r="2974">
      <c r="A2974">
        <f>=102568	 | Trojan.Win32.VBCode.N	 | </f>
        <v/>
      </c>
    </row>
    <row r="2975">
      <c r="A2975">
        <f>=102569	 | Trojan.Win32.Yakes.B	 | 36517aedd893ac58c03b99e4d745828b</f>
        <v/>
      </c>
    </row>
    <row r="2976">
      <c r="A2976">
        <f>=102570	 | Trojan.Win32.Yaqio.B	 | 4d1369acdec6f81fe0468757ec504a7b</f>
        <v/>
      </c>
    </row>
    <row r="2977">
      <c r="A2977">
        <f>=102571	 | Trojan.Win64.PornoAsset.B	 | e0a518c90ab90f15bbe4980936a02b1e</f>
        <v/>
      </c>
    </row>
    <row r="2978">
      <c r="A2978">
        <f>=102573	 | Worm.Win32.FakeFolder.ARU	 | </f>
        <v/>
      </c>
    </row>
    <row r="2979">
      <c r="A2979">
        <f>=102574	 | Worm.Win32.FakeFolder.ARV	 | 59c3fc6eda6c1b638cd8c34cf81dfa58</f>
        <v/>
      </c>
    </row>
    <row r="2980">
      <c r="A2980">
        <f>=102575	 | Worm.Win32.FakeFolder.ARW	 | 83fd9cc06b10f92afbe42193c599e6ea</f>
        <v/>
      </c>
    </row>
    <row r="2981">
      <c r="A2981">
        <f>=102577	 | Trojan.Win32.TQQPass.BF	 | </f>
        <v/>
      </c>
    </row>
    <row r="2982">
      <c r="A2982">
        <f>=102578	 | Ransom.Win32.Chapak.A	 | 93c07ec33ba16b542f8225dad765bcba</f>
        <v/>
      </c>
    </row>
    <row r="2983">
      <c r="A2983">
        <f>=102579	 | Trojan.Win32.FakePDF.AI	 | </f>
        <v/>
      </c>
    </row>
    <row r="2984">
      <c r="A2984">
        <f>=102580	 | Trojan.Win32.Pykspa.B	 | cb5dfd197216710bf80badce9a373ea3</f>
        <v/>
      </c>
    </row>
    <row r="2985">
      <c r="A2985">
        <f>=102581	 | Worm.Win32.AutoRun.CV	 | 6b705b61019b2aab877dddd0ae6b9637</f>
        <v/>
      </c>
    </row>
    <row r="2986">
      <c r="A2986">
        <f>=102582	 | Worm.Win32.FakeFolder.IH	 | </f>
        <v/>
      </c>
    </row>
    <row r="2987">
      <c r="A2987">
        <f>=102583	 | Worm.Win32.FakeFolder.IH2	 | </f>
        <v/>
      </c>
    </row>
    <row r="2988">
      <c r="A2988">
        <f>=102584	 | Worm.Win32.FakeFolder.JB	 | </f>
        <v/>
      </c>
    </row>
    <row r="2989">
      <c r="A2989">
        <f>=102586	 | Backdoor.Win32.Urelas.B	 | e1af5e40dd5eb8ee8cb93b40e97ddd03</f>
        <v/>
      </c>
    </row>
    <row r="2990">
      <c r="A2990">
        <f>=102587	 | Backdoor.Win32.Zbot.G	 | 1d50f4ec2e1f70550d40eb9af4efe014</f>
        <v/>
      </c>
    </row>
    <row r="2991">
      <c r="A2991">
        <f>=102588	 | Backdoor.Win32.Zegost.AM	 | </f>
        <v/>
      </c>
    </row>
    <row r="2992">
      <c r="A2992">
        <f>=102589	 | RootKit.Win32.Agent.BW	 | </f>
        <v/>
      </c>
    </row>
    <row r="2993">
      <c r="A2993">
        <f>=102590	 | RootKit.Win32.Agent.Z	 | </f>
        <v/>
      </c>
    </row>
    <row r="2994">
      <c r="A2994">
        <f>=102591	 | RootKit.Win32.NtHook.AW	 | </f>
        <v/>
      </c>
    </row>
    <row r="2995">
      <c r="A2995">
        <f>=102592	 | Trojan.Win32.Adware.BHP	 | </f>
        <v/>
      </c>
    </row>
    <row r="2996">
      <c r="A2996">
        <f>=102593	 | Trojan.Win32.Adware.BHQ	 | </f>
        <v/>
      </c>
    </row>
    <row r="2997">
      <c r="A2997">
        <f>=102594	 | Adware.Win32.DelfCode.B	 | </f>
        <v/>
      </c>
    </row>
    <row r="2998">
      <c r="A2998">
        <f>=102595	 | Trojan.Win32.Adware.BHR	 | </f>
        <v/>
      </c>
    </row>
    <row r="2999">
      <c r="A2999">
        <f>=102596	 | Trojan.Win32.Spirit.M	 | </f>
        <v/>
      </c>
    </row>
    <row r="3000">
      <c r="A3000">
        <f>=102597	 | Trojan.Win32.Spirit.R	 | 64b60ab7b340ee181ecca3f745ec2d71</f>
        <v/>
      </c>
    </row>
    <row r="3001">
      <c r="A3001">
        <f>=102598	 | Trojan.Win32.Spirit.Z	 | </f>
        <v/>
      </c>
    </row>
    <row r="3002">
      <c r="A3002">
        <f>=102599	 | Trojan.Win32.Agent.NEYNFE	 | </f>
        <v/>
      </c>
    </row>
    <row r="3003">
      <c r="A3003">
        <f>=102600	 | Trojan.Win32.Downloader.AY	 | </f>
        <v/>
      </c>
    </row>
    <row r="3004">
      <c r="A3004">
        <f>=102601	 | Trojan.Win32.Downloader.DN	 | </f>
        <v/>
      </c>
    </row>
    <row r="3005">
      <c r="A3005">
        <f>=102602	 | Trojan.Win32.VBCode.AC	 | </f>
        <v/>
      </c>
    </row>
    <row r="3006">
      <c r="A3006">
        <f>=102603	 | Trojan.Win32.FakeIEBrowser.AK	 | </f>
        <v/>
      </c>
    </row>
    <row r="3007">
      <c r="A3007">
        <f>=102604	 | Trojan.Win32.QQPass.EA	 | </f>
        <v/>
      </c>
    </row>
    <row r="3008">
      <c r="A3008">
        <f>=102605	 | Trojan.Win32.TQQPass.BG	 | </f>
        <v/>
      </c>
    </row>
    <row r="3009">
      <c r="A3009">
        <f>=102606	 | Ransom.Win32.Chapak.B	 | </f>
        <v/>
      </c>
    </row>
    <row r="3010">
      <c r="A3010">
        <f>=102607	 | Trojan.Win32.Adel.A	 | </f>
        <v/>
      </c>
    </row>
    <row r="3011">
      <c r="A3011">
        <f>=102608	 | Trojan.Win32.Agentb.AI	 | ed17847a85e277dc060a8099b8789426</f>
        <v/>
      </c>
    </row>
    <row r="3012">
      <c r="A3012">
        <f>=102609	 | Trojan.Win32.CryptoLocker.A	 | ae0a0434c090602d608c96bd170c992c</f>
        <v/>
      </c>
    </row>
    <row r="3013">
      <c r="A3013">
        <f>=102610	 | Trojan.Win32.FakePDF.AHS	 | b454ca2a14cde2cd972ce5cd1aacfd98</f>
        <v/>
      </c>
    </row>
    <row r="3014">
      <c r="A3014">
        <f>=102611	 | Trojan.Win32.FakePDF.AHT	 | 70cf4a23b9db3306e52f32fd4f14b11a</f>
        <v/>
      </c>
    </row>
    <row r="3015">
      <c r="A3015">
        <f>=102612	 | Trojan.Win32.GandCrab2134E8A2.A	 | d10466566de2c40fc5cf720d5e4d0045</f>
        <v/>
      </c>
    </row>
    <row r="3016">
      <c r="A3016">
        <f>=102613	 | Trojan.Win32.KillAV.AT	 | 2168be9ed2d223ad5d00a67f763f9c59</f>
        <v/>
      </c>
    </row>
    <row r="3017">
      <c r="A3017">
        <f>=102614	 | Trojan.Win32.Lanmao.A	 | </f>
        <v/>
      </c>
    </row>
    <row r="3018">
      <c r="A3018">
        <f>=102615	 | Trojan.Win32.Midie.I	 | 0c258ab3a69a06efaae0eba53c2d7dc0</f>
        <v/>
      </c>
    </row>
    <row r="3019">
      <c r="A3019">
        <f>=102616	 | Trojan.Win32.MinerCD1614F8.A	 | </f>
        <v/>
      </c>
    </row>
    <row r="3020">
      <c r="A3020">
        <f>=102617	 | Trojan.Win32.Pykspa.C	 | </f>
        <v/>
      </c>
    </row>
    <row r="3021">
      <c r="A3021">
        <f>=102618	 | Trojan.Win32.QQDragon.A	 | </f>
        <v/>
      </c>
    </row>
    <row r="3022">
      <c r="A3022">
        <f>=102619	 | Worm.Win32.AutoRun.CW	 | </f>
        <v/>
      </c>
    </row>
    <row r="3023">
      <c r="A3023">
        <f>=102620	 | Worm.Win32.Debris.Y	 | da773a18f2c31c409d604af8cebc91ab</f>
        <v/>
      </c>
    </row>
    <row r="3024">
      <c r="A3024">
        <f>=102621	 | Worm.Win32.FakeFolder.IGM	 | 6d9d0e0031b50a8984f09bb89c8cb2aa</f>
        <v/>
      </c>
    </row>
    <row r="3025">
      <c r="A3025">
        <f>=102622	 | Worm.Win32.FakeFolder.IGN	 | </f>
        <v/>
      </c>
    </row>
    <row r="3026">
      <c r="A3026">
        <f>=102623	 | Worm.Win32.FakeFolder.IGO	 | f22ba8114ffec16a1bc1fe0eb5c349fd</f>
        <v/>
      </c>
    </row>
    <row r="3027">
      <c r="A3027">
        <f>=102624	 | Worm.Win32.FakeFolder.JK	 | b3ec8e68b992abb81336f3cf3a12bf74</f>
        <v/>
      </c>
    </row>
    <row r="3028">
      <c r="A3028">
        <f>=102625	 | Backdoor.Win32.Agent.BL	 | </f>
        <v/>
      </c>
    </row>
    <row r="3029">
      <c r="A3029">
        <f>=102626	 | Backdoor.Win32.Agent.BU	 | </f>
        <v/>
      </c>
    </row>
    <row r="3030">
      <c r="A3030">
        <f>=102627	 | Backdoor.Win32.Gh0st.EP	 | </f>
        <v/>
      </c>
    </row>
    <row r="3031">
      <c r="A3031">
        <f>=102628	 | Backdoor.Win32.Gh0st.ES	 | </f>
        <v/>
      </c>
    </row>
    <row r="3032">
      <c r="A3032">
        <f>=102629	 | Backdoor.Win32.Lethic.B	 | 0877ef4e52aad6b250f72fd015b14892</f>
        <v/>
      </c>
    </row>
    <row r="3033">
      <c r="A3033">
        <f>=102630	 | Backdoor.Win32.Spammy.A	 | 3bfb5b98e96f44c4d8ab0e47e6646957</f>
        <v/>
      </c>
    </row>
    <row r="3034">
      <c r="A3034">
        <f>=102631	 | Backdoor.Win32.Gh0st.IK	 | 36d5471f21f4bb01821d035edf03f476</f>
        <v/>
      </c>
    </row>
    <row r="3035">
      <c r="A3035">
        <f>=102632	 | Backdoor.Win32.Zegost.AO	 | </f>
        <v/>
      </c>
    </row>
    <row r="3036">
      <c r="A3036">
        <f>=102633	 | RootKit.Win32.Agent.BC	 | </f>
        <v/>
      </c>
    </row>
    <row r="3037">
      <c r="A3037">
        <f>=102634	 | RootKit.Win32.Koutodoor.G	 | </f>
        <v/>
      </c>
    </row>
    <row r="3038">
      <c r="A3038">
        <f>=102635	 | RootKit.Win32.NtHook.O	 | </f>
        <v/>
      </c>
    </row>
    <row r="3039">
      <c r="A3039">
        <f>=102636	 | RootKit.Win32.StartPage.G	 | </f>
        <v/>
      </c>
    </row>
    <row r="3040">
      <c r="A3040">
        <f>=102637	 | Trojan.Win32.GandCrab.M	 | 351b4a9de20ee670d8263b3219e2119b</f>
        <v/>
      </c>
    </row>
    <row r="3041">
      <c r="A3041">
        <f>=102638	 | Trojan.Win32.Agent.NEYNFF	 | 4b45045a69aa7a07654a45f4cab8d4f5</f>
        <v/>
      </c>
    </row>
    <row r="3042">
      <c r="A3042">
        <f>=102639	 | Trojan.Win32.Agent.AX	 | ea917cb748c7f5095ff0f6573ed57764</f>
        <v/>
      </c>
    </row>
    <row r="3043">
      <c r="A3043">
        <f>=102641	 | Trojan.Win32.Agent.NEYNFG	 | </f>
        <v/>
      </c>
    </row>
    <row r="3044">
      <c r="A3044">
        <f>=102645	 | Trojan.Win32.ConfickerF..A	 | c40a2d00d7ba958d9e5114ff88831c1b</f>
        <v/>
      </c>
    </row>
    <row r="3045">
      <c r="A3045">
        <f>=102646	 | Trojan.Win32.DelphiAdware.B	 | </f>
        <v/>
      </c>
    </row>
    <row r="3046">
      <c r="A3046">
        <f>=102647	 | Trojan.Win32.Downloader.S	 | e2752fe7662816cf81c2c23a3e5adb4e</f>
        <v/>
      </c>
    </row>
    <row r="3047">
      <c r="A3047">
        <f>=102648	 | Trojan.Win32.Dyzera.D	 | </f>
        <v/>
      </c>
    </row>
    <row r="3048">
      <c r="A3048">
        <f>=102649	 | Trojan.Win32.FakeFolder.A	 | </f>
        <v/>
      </c>
    </row>
    <row r="3049">
      <c r="A3049">
        <f>=102650	 | Trojan.Win32.FakeFolderAutorun.I	 | </f>
        <v/>
      </c>
    </row>
    <row r="3050">
      <c r="A3050">
        <f>=102651	 | Trojan.Win32.FakeFolderAutorun.J	 | </f>
        <v/>
      </c>
    </row>
    <row r="3051">
      <c r="A3051">
        <f>=102653	 | Trojan.Win32.FakeIE.I	 | </f>
        <v/>
      </c>
    </row>
    <row r="3052">
      <c r="A3052">
        <f>=102654	 | Trojan.Win32.GandCrab.AY	 | d2125b4612202a2acd36a546e15b7d95</f>
        <v/>
      </c>
    </row>
    <row r="3053">
      <c r="A3053">
        <f>=102655	 | Trojan.Win32.FakeFolderAutorun.L	 | 8c363af3d5eb61a45cd055dcbc65a2d4</f>
        <v/>
      </c>
    </row>
    <row r="3054">
      <c r="A3054">
        <f>=102656	 | Trojan.Win32.Laqma.A	 | 00b0d9877579c2aa9f651eae54dee48e</f>
        <v/>
      </c>
    </row>
    <row r="3055">
      <c r="A3055">
        <f>=102657	 | Trojan.Win32.NtHook.B	 | </f>
        <v/>
      </c>
    </row>
    <row r="3056">
      <c r="A3056">
        <f>=102658	 | Trojan.Win32.QQPass.Y	 | </f>
        <v/>
      </c>
    </row>
    <row r="3057">
      <c r="A3057">
        <f>=102659	 | Trojan.Win32.Snojan.B	 | </f>
        <v/>
      </c>
    </row>
    <row r="3058">
      <c r="A3058">
        <f>=102660	 | Trojan.Win32.Snojan.F	 | </f>
        <v/>
      </c>
    </row>
    <row r="3059">
      <c r="A3059">
        <f>=102661	 | Trojan.Win32.SuperThreat.A	 | b178672a7b189432929ea794c688d503</f>
        <v/>
      </c>
    </row>
    <row r="3060">
      <c r="A3060">
        <f>=102662	 | Trojan.Win32.Urelas.I	 | 549708ec3013206b438891aa3347a028</f>
        <v/>
      </c>
    </row>
    <row r="3061">
      <c r="A3061">
        <f>=102663	 | Trojan.Win64.CoinMiner.D	 | fbbf44d49bbd7bf4af965f083f3890cd</f>
        <v/>
      </c>
    </row>
    <row r="3062">
      <c r="A3062">
        <f>=102664	 | Worm.Win32.Barys.C	 | cfff3c8eee9cca60f23475324acf85b0</f>
        <v/>
      </c>
    </row>
    <row r="3063">
      <c r="A3063">
        <f>=102665	 | Worm.Win32.CryptoLock.B	 | </f>
        <v/>
      </c>
    </row>
    <row r="3064">
      <c r="A3064">
        <f>=102666	 | Backdoor.Win32.Zegost.AP	 | 476e3787437cc805cabfacdea6c5dc86</f>
        <v/>
      </c>
    </row>
    <row r="3065">
      <c r="A3065">
        <f>=102667	 | Worm.Win32.Dumpy.A	 | 010b7ca25e779075926630ba9b217939</f>
        <v/>
      </c>
    </row>
    <row r="3066">
      <c r="A3066">
        <f>=102668	 | Worm.Win32.Dungcoi.B	 | 87f444a7f1327ba56975e2b23ed6a837</f>
        <v/>
      </c>
    </row>
    <row r="3067">
      <c r="A3067">
        <f>=102669	 | Worm.Win32.FakeFolder.AU	 | </f>
        <v/>
      </c>
    </row>
    <row r="3068">
      <c r="A3068">
        <f>=102670	 | Worm.Win32.FakeFolder.FH	 | </f>
        <v/>
      </c>
    </row>
    <row r="3069">
      <c r="A3069">
        <f>=102671	 | Worm.Win32.FakeFolder.HB	 | 067746444631abfc279a049a49e1bb98</f>
        <v/>
      </c>
    </row>
    <row r="3070">
      <c r="A3070">
        <f>=102672	 | Worm.Win32.FakeFolder.HG	 | e896c87296aa7cc3dcb1471d2cb87d37</f>
        <v/>
      </c>
    </row>
    <row r="3071">
      <c r="A3071">
        <f>=102673	 | Worm.Win32.FakeFolder.JE	 | </f>
        <v/>
      </c>
    </row>
    <row r="3072">
      <c r="A3072">
        <f>=102675	 | Worm.Win32.FakeFolder.JX	 | a7bb11c2d40b2f888f4cb93dc5c201af</f>
        <v/>
      </c>
    </row>
    <row r="3073">
      <c r="A3073">
        <f>=102676	 | Worm.Win32.FakeFolder.IGP	 | bd0261b411be7c22fb891099c1516f96</f>
        <v/>
      </c>
    </row>
    <row r="3074">
      <c r="A3074">
        <f>=102678	 | Worm.Win32.FakeFolder.P	 | </f>
        <v/>
      </c>
    </row>
    <row r="3075">
      <c r="A3075">
        <f>=102679	 | Worm.Win32.Gamarue.AG	 | 5c6e9bd9c4749829e79e2d1156cbdda0</f>
        <v/>
      </c>
    </row>
    <row r="3076">
      <c r="A3076">
        <f>=102680	 | Worm.Win32.Jorik.A	 | 81ef5dfa3d23a0508b51b82c9e7ccd05</f>
        <v/>
      </c>
    </row>
    <row r="3077">
      <c r="A3077">
        <f>=102682	 | Backdoor.Win32.Agent.AAZ	 | cbfbd1cf22946ac5c3ee3874852e210f</f>
        <v/>
      </c>
    </row>
    <row r="3078">
      <c r="A3078">
        <f>=102683	 | Backdoor.Win32.Agent.AK	 | 76d95606978a145321d7d4ca33a836eb</f>
        <v/>
      </c>
    </row>
    <row r="3079">
      <c r="A3079">
        <f>=102684	 | Backdoor.Win32.Agent.EI	 | </f>
        <v/>
      </c>
    </row>
    <row r="3080">
      <c r="A3080">
        <f>=102685	 | Backdoor.Win32.Agent.FU	 | </f>
        <v/>
      </c>
    </row>
    <row r="3081">
      <c r="A3081">
        <f>=102686	 | Backdoor.Win32.Androm.H	 | f908262942e8a86bf67f42925a0cdc9e</f>
        <v/>
      </c>
    </row>
    <row r="3082">
      <c r="A3082">
        <f>=102687	 | Backdoor.Win32.Cridex.A	 | 4faac2f1d32e2c8a729adb6c45adbcde</f>
        <v/>
      </c>
    </row>
    <row r="3083">
      <c r="A3083">
        <f>=102688	 | Backdoor.Win32.Gh0st.EJ	 | dc10d77866b7ee6d9a28684a768b44b6</f>
        <v/>
      </c>
    </row>
    <row r="3084">
      <c r="A3084">
        <f>=102689	 | Backdoor.Win32.Gh0st.ER	 | </f>
        <v/>
      </c>
    </row>
    <row r="3085">
      <c r="A3085">
        <f>=102690	 | Backdoor.Win32.Gh0st.HD	 | </f>
        <v/>
      </c>
    </row>
    <row r="3086">
      <c r="A3086">
        <f>=102691	 | Backdoor.Win32.Gh0st.HM	 | </f>
        <v/>
      </c>
    </row>
    <row r="3087">
      <c r="A3087">
        <f>=102692	 | Trojan.Win32.FakeIEBrowser.AL	 | </f>
        <v/>
      </c>
    </row>
    <row r="3088">
      <c r="A3088">
        <f>=102693	 | Trojan.Win32.QQPass.EB	 | </f>
        <v/>
      </c>
    </row>
    <row r="3089">
      <c r="A3089">
        <f>=102695	 | Adware.Win32.Agent.GEN	 | d0d3e39df8225ad0f17a76e4c141559d</f>
        <v/>
      </c>
    </row>
    <row r="3090">
      <c r="A3090">
        <f>=102696	 | Adware.Win32.DealPly.GEN	 | 23317535ba8a0211b04ebbffb284bb96</f>
        <v/>
      </c>
    </row>
    <row r="3091">
      <c r="A3091">
        <f>=102706	 | Worm.Win32.Elenoocka.BR	 | 6086050500c7dc2f0700f653d5dddaaa</f>
        <v/>
      </c>
    </row>
    <row r="3092">
      <c r="A3092">
        <f>=102707	 | Worm.Win32.FakeFolder.CZ	 | </f>
        <v/>
      </c>
    </row>
    <row r="3093">
      <c r="A3093">
        <f>=102708	 | Worm.Win32.FakeFolderAutorun5A4CADDD.A	 | </f>
        <v/>
      </c>
    </row>
    <row r="3094">
      <c r="A3094">
        <f>=102709	 | Trojan.Win32.Agent.EK	 | </f>
        <v/>
      </c>
    </row>
    <row r="3095">
      <c r="A3095">
        <f>=102710	 | Trojan.Win32.QQtheif.B	 | 4cb9bb481924e601c40521be2491e3ec</f>
        <v/>
      </c>
    </row>
    <row r="3096">
      <c r="A3096">
        <f>=102711	 | Worm.Win32.FakeFolder.FF	 | 1fad1d0dd22bcc673e6448d68f018fd2</f>
        <v/>
      </c>
    </row>
    <row r="3097">
      <c r="A3097">
        <f>=102712	 | Trojan.Win32.Tinba.A	 | a517d58bdffb334b54a4887d96af5f3e</f>
        <v/>
      </c>
    </row>
    <row r="3098">
      <c r="A3098">
        <f>=102713	 | Backdoor.Win32.Shakblades.A	 | 022492e12eed23eae0eff8175f8b9725</f>
        <v/>
      </c>
    </row>
    <row r="3099">
      <c r="A3099">
        <f>=102737	 | Backdoor.Win32.Gh0st.CJ	 | f978aa57d28fb64f5f17842b5cd24e82</f>
        <v/>
      </c>
    </row>
    <row r="3100">
      <c r="A3100">
        <f>=102739	 | Trojan.Win32.Agent.EC	 | </f>
        <v/>
      </c>
    </row>
    <row r="3101">
      <c r="A3101">
        <f>=102740	 | Trojan.Win32.GandCrab.K	 | a0859fdd4505341c7f6fc8f6b7a710f3</f>
        <v/>
      </c>
    </row>
    <row r="3102">
      <c r="A3102">
        <f>=102741	 | Trojan.Win32.Hook007.C	 | </f>
        <v/>
      </c>
    </row>
    <row r="3103">
      <c r="A3103">
        <f>=102742	 | Trojan.Win32.Puwaders.A	 | 9be503fbea83927300e42fee3d989f6a</f>
        <v/>
      </c>
    </row>
    <row r="3104">
      <c r="A3104">
        <f>=102743	 | Worm.Win32.FakeFolder.KO	 | 4fa586b3b71c6cf1d61f8a1c6db44845</f>
        <v/>
      </c>
    </row>
    <row r="3105">
      <c r="A3105">
        <f>=102744	 | Trojan.Win32.ECodeClicker.A	 | </f>
        <v/>
      </c>
    </row>
    <row r="3106">
      <c r="A3106">
        <f>=102745	 | Backdoor.Win32.Agent.DR	 | </f>
        <v/>
      </c>
    </row>
    <row r="3107">
      <c r="A3107">
        <f>=102746	 | Worm.Win32.Debris.P	 | 9d21df3bd6ca59da6852140a2827bf02</f>
        <v/>
      </c>
    </row>
    <row r="3108">
      <c r="A3108">
        <f>=102748	 | Trojan.Win32.Waski.L	 | 1c8861eedf9214c6539d6b3c7a9e0c4d</f>
        <v/>
      </c>
    </row>
    <row r="3109">
      <c r="A3109">
        <f>=102749	 | Worm.Win32.WBNA.C	 | a521680bff79279bb124adc769eb66be</f>
        <v/>
      </c>
    </row>
    <row r="3110">
      <c r="A3110">
        <f>=102750	 | RootKit.Win32.AntiAV.N	 | </f>
        <v/>
      </c>
    </row>
    <row r="3111">
      <c r="A3111">
        <f>=102751	 | Trojan.Win32.Fifm.A	 | </f>
        <v/>
      </c>
    </row>
    <row r="3112">
      <c r="A3112">
        <f>=102760	 | Backdoor.Win32.Gh0st.EE	 | 576cda5b6c7b09cc7a64238585d4df62</f>
        <v/>
      </c>
    </row>
    <row r="3113">
      <c r="A3113">
        <f>=102761	 | Backdoor.Win32.Zbot.H	 | 26cc0d0bee803515e6762aecf798dedf</f>
        <v/>
      </c>
    </row>
    <row r="3114">
      <c r="A3114">
        <f>=102762	 | Trojan.Win32.DNFOnline.C	 | </f>
        <v/>
      </c>
    </row>
    <row r="3115">
      <c r="A3115">
        <f>=102763	 | Backdoor.Win32.Agent.EQ	 | </f>
        <v/>
      </c>
    </row>
    <row r="3116">
      <c r="A3116">
        <f>=102765	 | Backdoor.Win32.Zbot.I	 | 8846d173dd3e72b36ef9520d4d9a6501</f>
        <v/>
      </c>
    </row>
    <row r="3117">
      <c r="A3117">
        <f>=102769	 | Worm.Win32.FakeFolder.FP	 | </f>
        <v/>
      </c>
    </row>
    <row r="3118">
      <c r="A3118">
        <f>=102770	 | Trojan.Win32.IPKddos.A	 | 9a562a918dcf154b81506713ff429866</f>
        <v/>
      </c>
    </row>
    <row r="3119">
      <c r="A3119">
        <f>=102772	 | Worm.Win32.Conficker.X	 | 4653f49e6d8b32142f6fc7180df90ce1</f>
        <v/>
      </c>
    </row>
    <row r="3120">
      <c r="A3120">
        <f>=102773	 | Worm.Win32.FakeFolder.HP	 | </f>
        <v/>
      </c>
    </row>
    <row r="3121">
      <c r="A3121">
        <f>=102774	 | Trojan.Win32.Pykspa.D	 | 3383d258bd48a9fdd51ea2088205d429</f>
        <v/>
      </c>
    </row>
    <row r="3122">
      <c r="A3122">
        <f>=102779	 | Trojan.Win32.PPLive.A	 | 0cbd937fdb8035fd9890c884ca5a8ec3</f>
        <v/>
      </c>
    </row>
    <row r="3123">
      <c r="A3123">
        <f>=102780	 | Trojan.Win64.Coinmining.A	 | debd0defc15f89e26eca46b716f77170</f>
        <v/>
      </c>
    </row>
    <row r="3124">
      <c r="A3124">
        <f>=102784	 | Backdoor.Win32.Agent.AAS	 | </f>
        <v/>
      </c>
    </row>
    <row r="3125">
      <c r="A3125">
        <f>=102785	 | Backdoor.Win32.Agent.ABF	 | eab5b203a3cf69b44f14be4151e53933</f>
        <v/>
      </c>
    </row>
    <row r="3126">
      <c r="A3126">
        <f>=102786	 | Backdoor.Win32.Agent.DD	 | </f>
        <v/>
      </c>
    </row>
    <row r="3127">
      <c r="A3127">
        <f>=102788	 | Backdoor.Win32.Agent.KV	 | </f>
        <v/>
      </c>
    </row>
    <row r="3128">
      <c r="A3128">
        <f>=102789	 | Backdoor.Win32.Agent.NZ	 | </f>
        <v/>
      </c>
    </row>
    <row r="3129">
      <c r="A3129">
        <f>=102790	 | Backdoor.Win32.Agent.OA	 | </f>
        <v/>
      </c>
    </row>
    <row r="3130">
      <c r="A3130">
        <f>=102791	 | Backdoor.Win32.Agent.OC	 | </f>
        <v/>
      </c>
    </row>
    <row r="3131">
      <c r="A3131">
        <f>=102792	 | Backdoor.Win32.Agent.PJ	 | </f>
        <v/>
      </c>
    </row>
    <row r="3132">
      <c r="A3132">
        <f>=102793	 | Backdoor.Win32.Agent.ZP	 | </f>
        <v/>
      </c>
    </row>
    <row r="3133">
      <c r="A3133">
        <f>=102794	 | Backdoor.Win32.Agent.ZS	 | </f>
        <v/>
      </c>
    </row>
    <row r="3134">
      <c r="A3134">
        <f>=102795	 | Backdoor.Win32.Agent.ZT	 | </f>
        <v/>
      </c>
    </row>
    <row r="3135">
      <c r="A3135">
        <f>=102796	 | Backdoor.Win32.Asfiu.A	 | d4d1b9013b5eb6856049f6ab1efe056a</f>
        <v/>
      </c>
    </row>
    <row r="3136">
      <c r="A3136">
        <f>=102797	 | Backdoor.Win32.Blakken.DA	 | </f>
        <v/>
      </c>
    </row>
    <row r="3137">
      <c r="A3137">
        <f>=102798	 | Backdoor.Win32.Gh0st.GA	 | </f>
        <v/>
      </c>
    </row>
    <row r="3138">
      <c r="A3138">
        <f>=102799	 | Backdoor.Win32.Gh0st.JG	 | </f>
        <v/>
      </c>
    </row>
    <row r="3139">
      <c r="A3139">
        <f>=102800	 | Backdoor.Win32.Gh0st.KS	 | 05041d00d9cb974a17f8c0495dac9185</f>
        <v/>
      </c>
    </row>
    <row r="3140">
      <c r="A3140">
        <f>=102801	 | Backdoor.Win32.Ripnip.B	 | ea9a6ac4101a5a2988477e21e3d10f73</f>
        <v/>
      </c>
    </row>
    <row r="3141">
      <c r="A3141">
        <f>=102802	 | Backdoor.Win32.Zegost.AQ	 | </f>
        <v/>
      </c>
    </row>
    <row r="3142">
      <c r="A3142">
        <f>=102803	 | RootKit.Win32.Agent.AK	 | 0e843396d02b207691cd2792ff960a3d</f>
        <v/>
      </c>
    </row>
    <row r="3143">
      <c r="A3143">
        <f>=102804	 | RootKit.Win32.Agent.BY	 | </f>
        <v/>
      </c>
    </row>
    <row r="3144">
      <c r="A3144">
        <f>=102805	 | RootKit.Win32.AntiAV.R	 | </f>
        <v/>
      </c>
    </row>
    <row r="3145">
      <c r="A3145">
        <f>=102806	 | RootKit.Win32.KillAV.J	 | </f>
        <v/>
      </c>
    </row>
    <row r="3146">
      <c r="A3146">
        <f>=102807	 | RootKit.Win32.KillAV.L	 | </f>
        <v/>
      </c>
    </row>
    <row r="3147">
      <c r="A3147">
        <f>=102808	 | Adware.Win32.Fifm.C	 | </f>
        <v/>
      </c>
    </row>
    <row r="3148">
      <c r="A3148">
        <f>=102809	 | Adware.Win64.Agent.A	 | 601a8f4df3b96281f945301bd901ccb1</f>
        <v/>
      </c>
    </row>
    <row r="3149">
      <c r="A3149">
        <f>=102810	 | Adware.Win64.Agent.B	 | a86b07cbb09d8fd8386c125105a1bad7</f>
        <v/>
      </c>
    </row>
    <row r="3150">
      <c r="A3150">
        <f>=102811	 | Trojan.Win32.Agent.NEYNFH	 | </f>
        <v/>
      </c>
    </row>
    <row r="3151">
      <c r="A3151">
        <f>=102812	 | Trojan.Win32.Downloader.DO	 | 01c922864222e829f5114fdfc752978d</f>
        <v/>
      </c>
    </row>
    <row r="3152">
      <c r="A3152">
        <f>=102813	 | Trojan.Win32.Downloader.DQ	 | </f>
        <v/>
      </c>
    </row>
    <row r="3153">
      <c r="A3153">
        <f>=102814	 | Trojan.Win32.Downloader.EB	 | </f>
        <v/>
      </c>
    </row>
    <row r="3154">
      <c r="A3154">
        <f>=102815	 | Trojan.Win32.Downloader.EF	 | </f>
        <v/>
      </c>
    </row>
    <row r="3155">
      <c r="A3155">
        <f>=102816	 | Trojan.Win32.BermudaDownloader.E	 | 30abb4ec1e984dbc92720ecaadacb819</f>
        <v/>
      </c>
    </row>
    <row r="3156">
      <c r="A3156">
        <f>=102817	 | Trojan.Win32.MoleDownloader.A	 | </f>
        <v/>
      </c>
    </row>
    <row r="3157">
      <c r="A3157">
        <f>=102818	 | Trojan.Win32.MoleDownloader.D	 | </f>
        <v/>
      </c>
    </row>
    <row r="3158">
      <c r="A3158">
        <f>=102819	 | Trojan.Win32.UpatreDownloader.E	 | 6df55a4dcabd7ce9b0fc2d660653fe8b</f>
        <v/>
      </c>
    </row>
    <row r="3159">
      <c r="A3159">
        <f>=102820	 | Trojan.Win32.WaskiDownloader.B	 | af8ac545c2769c5f5063d77031cc1e39</f>
        <v/>
      </c>
    </row>
    <row r="3160">
      <c r="A3160">
        <f>=102821	 | Trojan.Win32.GameOnline.EH	 | </f>
        <v/>
      </c>
    </row>
    <row r="3161">
      <c r="A3161">
        <f>=102822	 | Trojan.Win32.GameOnline.FZ	 | 177c5ab1e376c5fe51524d3ca674ee50</f>
        <v/>
      </c>
    </row>
    <row r="3162">
      <c r="A3162">
        <f>=102823	 | Trojan.Win32.QQPass.AZ	 | </f>
        <v/>
      </c>
    </row>
    <row r="3163">
      <c r="A3163">
        <f>=102824	 | Trojan.Win32.QQPass.CO	 | </f>
        <v/>
      </c>
    </row>
    <row r="3164">
      <c r="A3164">
        <f>=102825	 | Trojan.Win32.QQPass.DO	 | </f>
        <v/>
      </c>
    </row>
    <row r="3165">
      <c r="A3165">
        <f>=102826	 | Trojan.Win32.Toxic.A	 | </f>
        <v/>
      </c>
    </row>
    <row r="3166">
      <c r="A3166">
        <f>=102827	 | Trojan.Win32.Agent.NEYNFI	 | </f>
        <v/>
      </c>
    </row>
    <row r="3167">
      <c r="A3167">
        <f>=102829	 | Trojan.Win32.Agent.NEYNFJ	 | </f>
        <v/>
      </c>
    </row>
    <row r="3168">
      <c r="A3168">
        <f>=102830	 | Trojan.Win32.Agent.W	 | </f>
        <v/>
      </c>
    </row>
    <row r="3169">
      <c r="A3169">
        <f>=102832	 | Trojan.Win32.Autorun.B	 | 14147349810ddbc82b4b50fbfb3c02f7</f>
        <v/>
      </c>
    </row>
    <row r="3170">
      <c r="A3170">
        <f>=102833	 | Trojan.Win32.Brontok.A	 | 387add71641b475c93fd36fa9fdda20d</f>
        <v/>
      </c>
    </row>
    <row r="3171">
      <c r="A3171">
        <f>=102834	 | Trojan.Win32.Brontok.B	 | 3800a77386188e77859621cb017eeb26</f>
        <v/>
      </c>
    </row>
    <row r="3172">
      <c r="A3172">
        <f>=102835	 | Trojan.Win32.Brontok.C	 | 68ea78dece3a78b3df8fa69199ebc3de</f>
        <v/>
      </c>
    </row>
    <row r="3173">
      <c r="A3173">
        <f>=102836	 | Trojan.Win32.Brontok.D	 | c6948015f55cbd00d2cf9ca983689cb3</f>
        <v/>
      </c>
    </row>
    <row r="3174">
      <c r="A3174">
        <f>=102837	 | Trojan.Win32.Carberp.CDUQ	 | 3aaf14a5c1863e6dbad05d4d55fb22a7</f>
        <v/>
      </c>
    </row>
    <row r="3175">
      <c r="A3175">
        <f>=102839	 | Trojan.Win32.Dorkbot.A	 | </f>
        <v/>
      </c>
    </row>
    <row r="3176">
      <c r="A3176">
        <f>=102840	 | Trojan.Win32.FakeFolder.AMF	 | </f>
        <v/>
      </c>
    </row>
    <row r="3177">
      <c r="A3177">
        <f>=102841	 | Trojan.Win32.FakeFolderAutorun.M	 | </f>
        <v/>
      </c>
    </row>
    <row r="3178">
      <c r="A3178">
        <f>=102842	 | Trojan.Win32.FakeFolderAutorun.N	 | </f>
        <v/>
      </c>
    </row>
    <row r="3179">
      <c r="A3179">
        <f>=102843	 | Trojan.Win32.FakePDF.AHU	 | </f>
        <v/>
      </c>
    </row>
    <row r="3180">
      <c r="A3180">
        <f>=102844	 | Trojan.Win32.Gozi.A	 | d5a9343714f9511cf2e7898c27b16733</f>
        <v/>
      </c>
    </row>
    <row r="3181">
      <c r="A3181">
        <f>=102845	 | Trojan.Win32.Hook007.A	 | </f>
        <v/>
      </c>
    </row>
    <row r="3182">
      <c r="A3182">
        <f>=102846	 | Trojan.Win32.HookLoader.E	 | </f>
        <v/>
      </c>
    </row>
    <row r="3183">
      <c r="A3183">
        <f>=102847	 | Trojan.Win32.Kazy.B	 | 352999bac3b9c369fdd0f9522d0ecdf6</f>
        <v/>
      </c>
    </row>
    <row r="3184">
      <c r="A3184">
        <f>=102848	 | Trojan.Win32.KillAV.AF	 | </f>
        <v/>
      </c>
    </row>
    <row r="3185">
      <c r="A3185">
        <f>=102849	 | Trojan.Win32.KillAV.I	 | </f>
        <v/>
      </c>
    </row>
    <row r="3186">
      <c r="A3186">
        <f>=102852	 | Trojan.Win32.RansomPetya.I	 | 96b404dacd91be60958102a2500bcd3c</f>
        <v/>
      </c>
    </row>
    <row r="3187">
      <c r="A3187">
        <f>=102853	 | Trojan.Win32.Rbozo.A	 | </f>
        <v/>
      </c>
    </row>
    <row r="3188">
      <c r="A3188">
        <f>=102854	 | Trojan.Win32.StartPage.AO	 | </f>
        <v/>
      </c>
    </row>
    <row r="3189">
      <c r="A3189">
        <f>=102855	 | Trojan.Win32.Parite.A	 | e785f53fab955b7520ba502ffcc57186</f>
        <v/>
      </c>
    </row>
    <row r="3190">
      <c r="A3190">
        <f>=102856	 | Worm.Win32.Conficker.AA	 | 348d71a8b1243914d6f7c982ff64cf1b</f>
        <v/>
      </c>
    </row>
    <row r="3191">
      <c r="A3191">
        <f>=102857	 | Trojan.Win32.Conficker.Z	 | d75b466202a19a534a1d59327dfcfe0d</f>
        <v/>
      </c>
    </row>
    <row r="3192">
      <c r="A3192">
        <f>=102858	 | Worm.Win32.Elenoocka.BY	 | f38742cb02f0b089af5dec093108c460</f>
        <v/>
      </c>
    </row>
    <row r="3193">
      <c r="A3193">
        <f>=102859	 | Worm.Win32.FakeFolder.DM	 | </f>
        <v/>
      </c>
    </row>
    <row r="3194">
      <c r="A3194">
        <f>=102860	 | Worm.Win32.FakeFolder.DP	 | </f>
        <v/>
      </c>
    </row>
    <row r="3195">
      <c r="A3195">
        <f>=102861	 | Trojan.Win32.FakeFolder.EG	 | f4fb8917f5171f8b069a71d10928fa1e</f>
        <v/>
      </c>
    </row>
    <row r="3196">
      <c r="A3196">
        <f>=102862	 | Worm.Win32.FakeFolder.HM	 | </f>
        <v/>
      </c>
    </row>
    <row r="3197">
      <c r="A3197">
        <f>=102863	 | Worm.Win32.FakeFolder.IG	 | </f>
        <v/>
      </c>
    </row>
    <row r="3198">
      <c r="A3198">
        <f>=102864	 | Worm.Win32.Renamer.A	 | 68979e52f84f0f7dad6f7db3f547ba98</f>
        <v/>
      </c>
    </row>
    <row r="3199">
      <c r="A3199">
        <f>=102865	 | Worm.Win32.Rungbu.B	 | </f>
        <v/>
      </c>
    </row>
    <row r="3200">
      <c r="A3200">
        <f>=102866	 | Worm.Win32.Vobfus.D	 | 4b649c69ad434e618f06d3ebe8328f5d</f>
        <v/>
      </c>
    </row>
    <row r="3201">
      <c r="A3201">
        <f>=102867	 | Worm.Win32.WannaCrypt.P	 | 5137800b0def0ddad3da833259c650fb</f>
        <v/>
      </c>
    </row>
    <row r="3202">
      <c r="A3202">
        <f>=102869	 | Backdoor.Win32.Agent.RC	 | </f>
        <v/>
      </c>
    </row>
    <row r="3203">
      <c r="A3203">
        <f>=102870	 | Backdoor.Win32.Agent.WJ	 | </f>
        <v/>
      </c>
    </row>
    <row r="3204">
      <c r="A3204">
        <f>=102871	 | Backdoor.Win32.Ecode.C	 | </f>
        <v/>
      </c>
    </row>
    <row r="3205">
      <c r="A3205">
        <f>=102872	 | Backdoor.Win32.Gh0st.AN	 | 4f4791cce2b2d20fa9b8a0acbfff99df</f>
        <v/>
      </c>
    </row>
    <row r="3206">
      <c r="A3206">
        <f>=102873	 | Backdoor.Win32.Gh0st.KT	 | </f>
        <v/>
      </c>
    </row>
    <row r="3207">
      <c r="A3207">
        <f>=102874	 | Backdoor.Win32.Gh0st.GP	 | 74c2ee8b96bbedbb05ba81b95998c072</f>
        <v/>
      </c>
    </row>
    <row r="3208">
      <c r="A3208">
        <f>=102875	 | Backdoor.Win32.Gh0st.KW	 | </f>
        <v/>
      </c>
    </row>
    <row r="3209">
      <c r="A3209">
        <f>=102876	 | Backdoor.Win32.Small.B	 | </f>
        <v/>
      </c>
    </row>
    <row r="3210">
      <c r="A3210">
        <f>=102877	 | Adware.Win32.Linkury.B	 | 239a5a3198fd4f8ed34903a3ba038e90</f>
        <v/>
      </c>
    </row>
    <row r="3211">
      <c r="A3211">
        <f>=102878	 | Backdoor.Win32.Agent.AAJ	 | </f>
        <v/>
      </c>
    </row>
    <row r="3212">
      <c r="A3212">
        <f>=102879	 | Backdoor.Win32.Agent.AAK	 | e12a76dd14dea00ed594407ecb91737d</f>
        <v/>
      </c>
    </row>
    <row r="3213">
      <c r="A3213">
        <f>=102880	 | Backdoor.Win32.Agent.AAY	 | b8088661d7201a8012d4957a3828ce34</f>
        <v/>
      </c>
    </row>
    <row r="3214">
      <c r="A3214">
        <f>=102881	 | Backdoor.Win32.Agent.ACL	 | 1757cc74308ff12de2b848e37c0c5343</f>
        <v/>
      </c>
    </row>
    <row r="3215">
      <c r="A3215">
        <f>=102882	 | Backdoor.Win32.Agent.AEG	 | ec1a06c1eb06663dfa67de5833e2220a</f>
        <v/>
      </c>
    </row>
    <row r="3216">
      <c r="A3216">
        <f>=102883	 | Backdoor.Win32.Agent.CG	 | </f>
        <v/>
      </c>
    </row>
    <row r="3217">
      <c r="A3217">
        <f>=102884	 | Backdoor.Win32.Agent.FE	 | </f>
        <v/>
      </c>
    </row>
    <row r="3218">
      <c r="A3218">
        <f>=102885	 | Backdoor.Win32.Agent.IA	 | </f>
        <v/>
      </c>
    </row>
    <row r="3219">
      <c r="A3219">
        <f>=102886	 | Backdoor.Win32.Agent.IK	 | </f>
        <v/>
      </c>
    </row>
    <row r="3220">
      <c r="A3220">
        <f>=102887	 | Backdoor.Win32.Agent.LQ	 | </f>
        <v/>
      </c>
    </row>
    <row r="3221">
      <c r="A3221">
        <f>=102888	 | Backdoor.Win32.Agent.PC	 | </f>
        <v/>
      </c>
    </row>
    <row r="3222">
      <c r="A3222">
        <f>=102889	 | Backdoor.Win32.Agent.RB	 | </f>
        <v/>
      </c>
    </row>
    <row r="3223">
      <c r="A3223">
        <f>=102890	 | Backdoor.Win32.DarkKomet.C	 | b84deb57c687a2cf37a0bcbdde781f45</f>
        <v/>
      </c>
    </row>
    <row r="3224">
      <c r="A3224">
        <f>=102891	 | Backdoor.Win32.DarkKomet.D	 | 3cd53c19b760af156245e19c4fc2b918</f>
        <v/>
      </c>
    </row>
    <row r="3225">
      <c r="A3225">
        <f>=102892	 | Backdoor.Win32.Gh0st.EZ	 | </f>
        <v/>
      </c>
    </row>
    <row r="3226">
      <c r="A3226">
        <f>=102893	 | Backdoor.Win32.Gh0st.FV	 | </f>
        <v/>
      </c>
    </row>
    <row r="3227">
      <c r="A3227">
        <f>=102894	 | Backdoor.Win32.Gh0st.GX	 | </f>
        <v/>
      </c>
    </row>
    <row r="3228">
      <c r="A3228">
        <f>=102895	 | Backdoor.Win32.GrayPigeon.Q	 | 2709480585e819d3fe7e65fcc65bd6fb</f>
        <v/>
      </c>
    </row>
    <row r="3229">
      <c r="A3229">
        <f>=102896	 | Backdoor.Win32.Rbot.C	 | fd8ea889780ca0f0c9c69ea4b2e93284</f>
        <v/>
      </c>
    </row>
    <row r="3230">
      <c r="A3230">
        <f>=102897	 | Backdoor.Win32.Small.E	 | a4177452cea8f3e7aad78d6dd4e5c711</f>
        <v/>
      </c>
    </row>
    <row r="3231">
      <c r="A3231">
        <f>=102898	 | Backdoor.Win32.xiaoqi.M	 | </f>
        <v/>
      </c>
    </row>
    <row r="3232">
      <c r="A3232">
        <f>=102899	 | RootKit.Win32.Agent.AZ	 | </f>
        <v/>
      </c>
    </row>
    <row r="3233">
      <c r="A3233">
        <f>=102900	 | RootKit.Win32.Agent.AO	 | </f>
        <v/>
      </c>
    </row>
    <row r="3234">
      <c r="A3234">
        <f>=102901	 | RootKit.Win32.Agent.CA	 | 5f3439d6cd8dfb2c115fa86e75847fd2</f>
        <v/>
      </c>
    </row>
    <row r="3235">
      <c r="A3235">
        <f>=102902	 | Adware.Win32.Agent.C	 | </f>
        <v/>
      </c>
    </row>
    <row r="3236">
      <c r="A3236">
        <f>=102903	 | Adware.Win32.DelfCode.D	 | 1ddc782883f7a39be5fb88b662556a5e</f>
        <v/>
      </c>
    </row>
    <row r="3237">
      <c r="A3237">
        <f>=102904	 | Adware.Win32.VBCode.K	 | 10de85ed35a7851d1c487f952e3330a0</f>
        <v/>
      </c>
    </row>
    <row r="3238">
      <c r="A3238">
        <f>=102905	 | Trojan.Win32.Agent.NEYNFK	 | </f>
        <v/>
      </c>
    </row>
    <row r="3239">
      <c r="A3239">
        <f>=102907	 | Trojan.Win32.Agent.CZ	 | </f>
        <v/>
      </c>
    </row>
    <row r="3240">
      <c r="A3240">
        <f>=102908	 | Trojan.Win32.Agent.DC	 | </f>
        <v/>
      </c>
    </row>
    <row r="3241">
      <c r="A3241">
        <f>=102909	 | Trojan.Win32.Agent.DF	 | </f>
        <v/>
      </c>
    </row>
    <row r="3242">
      <c r="A3242">
        <f>=102910	 | Trojan.Win32.Agent.DG	 | </f>
        <v/>
      </c>
    </row>
    <row r="3243">
      <c r="A3243">
        <f>=102911	 | Trojan.Win32.Agent.NEYNFL	 | </f>
        <v/>
      </c>
    </row>
    <row r="3244">
      <c r="A3244">
        <f>=102912	 | Trojan.Win32.Agent.DZ	 | </f>
        <v/>
      </c>
    </row>
    <row r="3245">
      <c r="A3245">
        <f>=102913	 | Trojan.Win32.Small.ACLL	 | 9cc42f56f9e72ad4e9a3ccc74f6accc0</f>
        <v/>
      </c>
    </row>
    <row r="3246">
      <c r="A3246">
        <f>=102914	 | Trojan.Win32.QQPass.CN	 | </f>
        <v/>
      </c>
    </row>
    <row r="3247">
      <c r="A3247">
        <f>=102915	 | Trojan.Win32.YYPass.A	 | </f>
        <v/>
      </c>
    </row>
    <row r="3248">
      <c r="A3248">
        <f>=102916	 | Trojan.Win32.AutoIt.GEO	 | </f>
        <v/>
      </c>
    </row>
    <row r="3249">
      <c r="A3249">
        <f>=102918	 | Trojan.Win32.Agent.HT	 | </f>
        <v/>
      </c>
    </row>
    <row r="3250">
      <c r="A3250">
        <f>=102919	 | Trojan.Win32.Agent.IM	 | edfd5b86c5bea679bbc40f8f34e2e673</f>
        <v/>
      </c>
    </row>
    <row r="3251">
      <c r="A3251">
        <f>=102920	 | Trojan.Win32.Autorun.CC	 | a4f5e70e679c382f3b8acf82cdd26ad6</f>
        <v/>
      </c>
    </row>
    <row r="3252">
      <c r="A3252">
        <f>=102921	 | Trojan.Win32.BindAgent.A	 | 9ee283cfcee3d5e9c77a13831e7a3e33</f>
        <v/>
      </c>
    </row>
    <row r="3253">
      <c r="A3253">
        <f>=102922	 | Trojan.Win32.Brontok.E	 | 397c05c924c5f6cf327473e2adfdb620</f>
        <v/>
      </c>
    </row>
    <row r="3254">
      <c r="A3254">
        <f>=102923	 | Trojan.Win32.Brontok.F	 | </f>
        <v/>
      </c>
    </row>
    <row r="3255">
      <c r="A3255">
        <f>=102924	 | Trojan.Win32.Brontok.G	 | 8c1f526bb861105d7aee047e595a3a7a</f>
        <v/>
      </c>
    </row>
    <row r="3256">
      <c r="A3256">
        <f>=102925	 | Trojan.Win32.Crypt.F	 | cd4495fca5f38d6d8fad02cabaddba48</f>
        <v/>
      </c>
    </row>
    <row r="3257">
      <c r="A3257">
        <f>=102926	 | Trojan.Win32.Downloader.L	 | </f>
        <v/>
      </c>
    </row>
    <row r="3258">
      <c r="A3258">
        <f>=102927	 | Trojan.Win32.FakeFolder.BCD	 | </f>
        <v/>
      </c>
    </row>
    <row r="3259">
      <c r="A3259">
        <f>=102928	 | Trojan.Win32.FakeFolderAutorun.O	 | </f>
        <v/>
      </c>
    </row>
    <row r="3260">
      <c r="A3260">
        <f>=102929	 | Trojan.Win32.FakeFolderAutorun.P	 | 98891661d07f3e1a4f7d1954a2b79836</f>
        <v/>
      </c>
    </row>
    <row r="3261">
      <c r="A3261">
        <f>=102930	 | Trojan.Win32.FakeFolderAutoRun.Q	 | </f>
        <v/>
      </c>
    </row>
    <row r="3262">
      <c r="A3262">
        <f>=102931	 | Trojan.Win32.FakeFolderAutorun.R	 | </f>
        <v/>
      </c>
    </row>
    <row r="3263">
      <c r="A3263">
        <f>=102932	 | Trojan.Win32.FakeIEBrowser.AM	 | </f>
        <v/>
      </c>
    </row>
    <row r="3264">
      <c r="A3264">
        <f>=102933	 | Trojan.Win32.FakeLPK.F	 | 8a1157f2b74e6d6cbb9ea8424bd5785f</f>
        <v/>
      </c>
    </row>
    <row r="3265">
      <c r="A3265">
        <f>=102934	 | Trojan.Win32.Gamarue.A	 | c5fa23222f1714ca704423913fd694e7</f>
        <v/>
      </c>
    </row>
    <row r="3266">
      <c r="A3266">
        <f>=102935	 | Trojan.Win32.Hook007.F	 | </f>
        <v/>
      </c>
    </row>
    <row r="3267">
      <c r="A3267">
        <f>=102936	 | Backdoor.Win32.Agent.AV	 | </f>
        <v/>
      </c>
    </row>
    <row r="3268">
      <c r="A3268">
        <f>=102937	 | Worm.Win32.FakeFolder.IGQ	 | ec8c956d20e9935a0d42b20f83ac1a2b</f>
        <v/>
      </c>
    </row>
    <row r="3269">
      <c r="A3269">
        <f>=102938	 | Trojan.Win32.FakeFolder.DW	 | </f>
        <v/>
      </c>
    </row>
    <row r="3270">
      <c r="A3270">
        <f>=102939	 | Backdoor.Win32.Agent.BM	 | </f>
        <v/>
      </c>
    </row>
    <row r="3271">
      <c r="A3271">
        <f>=102940	 | Backdoor.Win32.Agent.EG	 | </f>
        <v/>
      </c>
    </row>
    <row r="3272">
      <c r="A3272">
        <f>=102958	 | Backdoor.Win32.Agent.OV	 | </f>
        <v/>
      </c>
    </row>
    <row r="3273">
      <c r="A3273">
        <f>=102959	 | Backdoor.Win32.Agent.QY	 | </f>
        <v/>
      </c>
    </row>
    <row r="3274">
      <c r="A3274">
        <f>=102960	 | Backdoor.Win32.Gh0st.KX	 | </f>
        <v/>
      </c>
    </row>
    <row r="3275">
      <c r="A3275">
        <f>=102961	 | RootKit.Win32.Agent.BL	 | </f>
        <v/>
      </c>
    </row>
    <row r="3276">
      <c r="A3276">
        <f>=102962	 | Trojan.Win32.Clicker.I	 | </f>
        <v/>
      </c>
    </row>
    <row r="3277">
      <c r="A3277">
        <f>=102963	 | Trojan.Win32.Vilsel.A	 | 7d3bdf4822f50edfbf36105a62cbd6bb</f>
        <v/>
      </c>
    </row>
    <row r="3278">
      <c r="A3278">
        <f>=102964	 | Trojan.Win32.Agent.NEYNFM	 | </f>
        <v/>
      </c>
    </row>
    <row r="3279">
      <c r="A3279">
        <f>=102965	 | Trojan.Win32.Agent.CI	 | </f>
        <v/>
      </c>
    </row>
    <row r="3280">
      <c r="A3280">
        <f>=102967	 | Trojan.Win32.GameOnline.EM	 | dc68bc6eedfffb1ee7d930d140d7f693</f>
        <v/>
      </c>
    </row>
    <row r="3281">
      <c r="A3281">
        <f>=102968	 | Trojan.Win32.GameOnline.AV	 | </f>
        <v/>
      </c>
    </row>
    <row r="3282">
      <c r="A3282">
        <f>=102969	 | Trojan.Win32.QQPass.AP	 | </f>
        <v/>
      </c>
    </row>
    <row r="3283">
      <c r="A3283">
        <f>=102970	 | Trojan.Win32.QQPass.AE	 | dffc7b9adb25839e52eb64b6eb82f551</f>
        <v/>
      </c>
    </row>
    <row r="3284">
      <c r="A3284">
        <f>=102971	 | Trojan.Win32.Ajjem.A	 | bd3327c4b6a7775e6cf4a31780313ea9</f>
        <v/>
      </c>
    </row>
    <row r="3285">
      <c r="A3285">
        <f>=102972	 | Trojan.Win32.Agent.NEYNFO	 | </f>
        <v/>
      </c>
    </row>
    <row r="3286">
      <c r="A3286">
        <f>=102973	 | Trojan.Win32.Agent.IQ	 | b09aebe85a43d4ef663726c30eac0d5a</f>
        <v/>
      </c>
    </row>
    <row r="3287">
      <c r="A3287">
        <f>=102975	 | Trojan.Win32.AutoInf79156FAE.A	 | 548de98d6808c5aca77dab9249751eff</f>
        <v/>
      </c>
    </row>
    <row r="3288">
      <c r="A3288">
        <f>=102978	 | Trojan.Win32.Autorun61570507.A	 | </f>
        <v/>
      </c>
    </row>
    <row r="3289">
      <c r="A3289">
        <f>=102979	 | Trojan.Win32.FakeFolderAutorunF86E93DC.A	 | </f>
        <v/>
      </c>
    </row>
    <row r="3290">
      <c r="A3290">
        <f>=102980	 | Trojan.Win32.Doboc.D	 | </f>
        <v/>
      </c>
    </row>
    <row r="3291">
      <c r="A3291">
        <f>=102981	 | Trojan.Win32.FakeFolderAutorunC54E025F.A	 | </f>
        <v/>
      </c>
    </row>
    <row r="3292">
      <c r="A3292">
        <f>=102982	 | Trojan.Win32.HOOKLoader.A	 | </f>
        <v/>
      </c>
    </row>
    <row r="3293">
      <c r="A3293">
        <f>=102983	 | Trojan.Win32.FakeIme.B	 | </f>
        <v/>
      </c>
    </row>
    <row r="3294">
      <c r="A3294">
        <f>=102984	 | Trojan.Win32.GameThief.F	 | 6d6b965c43622a8b81559ba7ccb42100</f>
        <v/>
      </c>
    </row>
    <row r="3295">
      <c r="A3295">
        <f>=102985	 | Trojan.Win32.Golf.I	 | c99d4effd4cbe936a13ae3eb5a7d5b5d</f>
        <v/>
      </c>
    </row>
    <row r="3296">
      <c r="A3296">
        <f>=102986	 | Worm.Win32.Agent.N	 | d77285b2a4e73dbbcf2d423a39c74c8e</f>
        <v/>
      </c>
    </row>
    <row r="3297">
      <c r="A3297">
        <f>=102987	 | Worm.Win32.Debris.Q	 | efcf8f474e0d998528a87acd3445077a</f>
        <v/>
      </c>
    </row>
    <row r="3298">
      <c r="A3298">
        <f>=102988	 | Worm.Win32.Debris.R	 | 0dad80f85ac7e7f51918cea32072536c</f>
        <v/>
      </c>
    </row>
    <row r="3299">
      <c r="A3299">
        <f>=102989	 | Worm.Win32.Debris.T	 | b1773929fff521223de6c9c3ce9007a0</f>
        <v/>
      </c>
    </row>
    <row r="3300">
      <c r="A3300">
        <f>=102990	 | Worm.Win32.FakeFolder.GE	 | </f>
        <v/>
      </c>
    </row>
    <row r="3301">
      <c r="A3301">
        <f>=102991	 | Worm.Win32.FakeFolder.HE	 | b0cdc7e7940943ba73e0a0abb62ae9a3</f>
        <v/>
      </c>
    </row>
    <row r="3302">
      <c r="A3302">
        <f>=102992	 | Worm.Win32.Palevo.E	 | b20314c2adbaf0e5897d2bb2437ea4f5</f>
        <v/>
      </c>
    </row>
    <row r="3303">
      <c r="A3303">
        <f>=102993	 | Trojan.Win32.MSILMiner.A	 | e6a22a81a4168e4135fdf470258d5512</f>
        <v/>
      </c>
    </row>
    <row r="3304">
      <c r="A3304">
        <f>=102994	 | Trojan.Win32.Pakes.A	 | 944fd3bd55cd04173614166aac0b8ce3</f>
        <v/>
      </c>
    </row>
    <row r="3305">
      <c r="A3305">
        <f>=102995	 | Trojan.Win32.Zbot.H	 | ef0da6594ffbf6a247e178e3f8a427a8</f>
        <v/>
      </c>
    </row>
    <row r="3306">
      <c r="A3306">
        <f>=102996	 | Trojan.Win32.AutoIt.B	 | </f>
        <v/>
      </c>
    </row>
    <row r="3307">
      <c r="A3307">
        <f>=102997	 | Backdoor.Win32.Gh0st.LR	 | 25e207ceb5bab3d65f6f487210c9c17e</f>
        <v/>
      </c>
    </row>
    <row r="3308">
      <c r="A3308">
        <f>=102998	 | Trojan.Win32.Crysis.A	 | </f>
        <v/>
      </c>
    </row>
    <row r="3309">
      <c r="A3309">
        <f>=102999	 | Trojan.Win32.FakeFolderAutorun3F7F69E0.A	 | </f>
        <v/>
      </c>
    </row>
    <row r="3310">
      <c r="A3310">
        <f>=103000	 | Trojan.Win32.Zbot.I	 | bd0a3a0b6f384139d05a194a6bdf8510</f>
        <v/>
      </c>
    </row>
    <row r="3311">
      <c r="A3311">
        <f>=103001	 | Worm.Win32.FakeFolder.ID	 | </f>
        <v/>
      </c>
    </row>
    <row r="3312">
      <c r="A3312">
        <f>=103002	 | Backdoor.Win32.Agent.B	 | </f>
        <v/>
      </c>
    </row>
    <row r="3313">
      <c r="A3313">
        <f>=103003	 | Trojan.Win32.Snojan.A	 | </f>
        <v/>
      </c>
    </row>
    <row r="3314">
      <c r="A3314">
        <f>=103004	 | Backdoor.Win32.Androm.N	 | 6ac22094fef148f3034629eaf080cb83</f>
        <v/>
      </c>
    </row>
    <row r="3315">
      <c r="A3315">
        <f>=103005	 | Trojan.Win64.Pakes.A	 | caf5e8acc1ab3faa0b9e359cbd0c3e59</f>
        <v/>
      </c>
    </row>
    <row r="3316">
      <c r="A3316">
        <f>=103006	 | Worm.Win32.Debris.AT	 | e9c31c5cd03f29c363a6b0fbce4dc1d3</f>
        <v/>
      </c>
    </row>
    <row r="3317">
      <c r="A3317">
        <f>=103007	 | Worm.Win32.Debris.AU	 | 9aaaf36d4af8ea73831c72a736365d0a</f>
        <v/>
      </c>
    </row>
    <row r="3318">
      <c r="A3318">
        <f>=103008	 | Trojan.Win32.Elenoocka.A	 | 47c4930b99f79d162aab7c29b5ed51d5</f>
        <v/>
      </c>
    </row>
    <row r="3319">
      <c r="A3319">
        <f>=103009	 | Trojan.Win32.Elenoocka.B	 | c103ee39a4fc3b8fd1dc590780a1f4db</f>
        <v/>
      </c>
    </row>
    <row r="3320">
      <c r="A3320">
        <f>=103010	 | Worm.Win32.FakeFolder.IGR	 | </f>
        <v/>
      </c>
    </row>
    <row r="3321">
      <c r="A3321">
        <f>=103011	 | Worm.Win32.FakeFolder.IGS	 | f7d2c10cd09b3f9abc7ded2afa72fa10</f>
        <v/>
      </c>
    </row>
    <row r="3322">
      <c r="A3322">
        <f>=103012	 | Trojan.Win32.Fanny.A	 | 33c141c945d545f408096df949b934b9</f>
        <v/>
      </c>
    </row>
    <row r="3323">
      <c r="A3323">
        <f>=103013	 | Worm.Win32.Rungbu.A	 | dbd3733316a71ac1a8e4c2b0e81c76b6</f>
        <v/>
      </c>
    </row>
    <row r="3324">
      <c r="A3324">
        <f>=103014	 | Worm.Win32.VBFolder.A	 | 72f473f730b85d903c78ab96097a9ea1</f>
        <v/>
      </c>
    </row>
    <row r="3325">
      <c r="A3325">
        <f>=103015	 | Worm.Win64.WannaCrypt.A	 | 1c0ba4f2d115bef67bdbb18f9398fccf</f>
        <v/>
      </c>
    </row>
    <row r="3326">
      <c r="A3326">
        <f>=103016	 | Worm.Win64.WannaCrypt.B	 | 9126b17005d0a1111c62ae98532d666c</f>
        <v/>
      </c>
    </row>
    <row r="3327">
      <c r="A3327">
        <f>=103017	 | Backdoor.Win32.Agent.AEK	 | </f>
        <v/>
      </c>
    </row>
    <row r="3328">
      <c r="A3328">
        <f>=103018	 | Backdoor.Win32.Agent.AEL	 | </f>
        <v/>
      </c>
    </row>
    <row r="3329">
      <c r="A3329">
        <f>=103019	 | Backdoor.Win32.Agent.AEM	 | </f>
        <v/>
      </c>
    </row>
    <row r="3330">
      <c r="A3330">
        <f>=103020	 | Backdoor.Win32.Agent.AEN	 | </f>
        <v/>
      </c>
    </row>
    <row r="3331">
      <c r="A3331">
        <f>=103021	 | Backdoor.Win32.Agent.AEO	 | </f>
        <v/>
      </c>
    </row>
    <row r="3332">
      <c r="A3332">
        <f>=103022	 | Backdoor.Win32.Agent.AEP	 | </f>
        <v/>
      </c>
    </row>
    <row r="3333">
      <c r="A3333">
        <f>=103023	 | Backdoor.Win32.Agent.AEQ	 | </f>
        <v/>
      </c>
    </row>
    <row r="3334">
      <c r="A3334">
        <f>=103024	 | Backdoor.Win32.Agent.AER	 | 375b38a736c6006f87b46cbf10e967da</f>
        <v/>
      </c>
    </row>
    <row r="3335">
      <c r="A3335">
        <f>=103025	 | Backdoor.Win32.Agent.AES	 | </f>
        <v/>
      </c>
    </row>
    <row r="3336">
      <c r="A3336">
        <f>=103026	 | Backdoor.Win32.Agent.AET	 | </f>
        <v/>
      </c>
    </row>
    <row r="3337">
      <c r="A3337">
        <f>=103027	 | Backdoor.Win32.BDX.A	 | </f>
        <v/>
      </c>
    </row>
    <row r="3338">
      <c r="A3338">
        <f>=103028	 | Backdoor.Win32.FakeDoc.A	 | 1e6333f3bf0b974c2795ccc4bb8c49a2</f>
        <v/>
      </c>
    </row>
    <row r="3339">
      <c r="A3339">
        <f>=103029	 | Backdoor.Win32.Gh0st.LS	 | </f>
        <v/>
      </c>
    </row>
    <row r="3340">
      <c r="A3340">
        <f>=103030	 | Backdoor.Win32.Gh0st.LT	 | </f>
        <v/>
      </c>
    </row>
    <row r="3341">
      <c r="A3341">
        <f>=103031	 | Backdoor.Win32.Gh0st.LU	 | </f>
        <v/>
      </c>
    </row>
    <row r="3342">
      <c r="A3342">
        <f>=103032	 | Backdoor.Win32.Gh0st.LV	 | </f>
        <v/>
      </c>
    </row>
    <row r="3343">
      <c r="A3343">
        <f>=103033	 | Backdoor.Win32.Gh0st.LW	 | </f>
        <v/>
      </c>
    </row>
    <row r="3344">
      <c r="A3344">
        <f>=103034	 | Backdoor.Win32.Gh0st.LX	 | </f>
        <v/>
      </c>
    </row>
    <row r="3345">
      <c r="A3345">
        <f>=103035	 | Backdoor.Win32.Pushdo.K	 | </f>
        <v/>
      </c>
    </row>
    <row r="3346">
      <c r="A3346">
        <f>=103036	 | Backdoor.Win32.Ripinip.A	 | </f>
        <v/>
      </c>
    </row>
    <row r="3347">
      <c r="A3347">
        <f>=103037	 | Backdoor.Win32.Simda.A	 | b8b0df11908270b211c8085a7bb02873</f>
        <v/>
      </c>
    </row>
    <row r="3348">
      <c r="A3348">
        <f>=103038	 | Backdoor.Win32.Tumiyu.A	 | </f>
        <v/>
      </c>
    </row>
    <row r="3349">
      <c r="A3349">
        <f>=103039	 | RootKit.Win32.NtHook.AX	 | </f>
        <v/>
      </c>
    </row>
    <row r="3350">
      <c r="A3350">
        <f>=103040	 | RootKit.Win32.NtHook.AY	 | f43130fac35c206582f0102bae2352fb</f>
        <v/>
      </c>
    </row>
    <row r="3351">
      <c r="A3351">
        <f>=103041	 | RootKit.Win32.NtHook.BA	 | 8a91cb164ff40ebb86fcfcdbc8cf1652</f>
        <v/>
      </c>
    </row>
    <row r="3352">
      <c r="A3352">
        <f>=103042	 | RootKit.Win32.Surak.A	 | </f>
        <v/>
      </c>
    </row>
    <row r="3353">
      <c r="A3353">
        <f>=103043	 | Trojan.Win32.Spirit.A	 | </f>
        <v/>
      </c>
    </row>
    <row r="3354">
      <c r="A3354">
        <f>=103044	 | Trojan.Win32.Spirit.B	 | </f>
        <v/>
      </c>
    </row>
    <row r="3355">
      <c r="A3355">
        <f>=103045	 | Trojan.Win32.Agent.NEYNFP	 | </f>
        <v/>
      </c>
    </row>
    <row r="3356">
      <c r="A3356">
        <f>=103046	 | Trojan.Win32.Agent.NEYNFQ	 | </f>
        <v/>
      </c>
    </row>
    <row r="3357">
      <c r="A3357">
        <f>=103047	 | Trojan.Win32.Agent.NEYNFR	 | </f>
        <v/>
      </c>
    </row>
    <row r="3358">
      <c r="A3358">
        <f>=103048	 | Trojan.Win32.Agent.NEYNFS	 | </f>
        <v/>
      </c>
    </row>
    <row r="3359">
      <c r="A3359">
        <f>=103049	 | Trojan.Win32.Agent.NEYNFT	 | </f>
        <v/>
      </c>
    </row>
    <row r="3360">
      <c r="A3360">
        <f>=103050	 | Trojan.Win32.Agent.NEYNFU	 | </f>
        <v/>
      </c>
    </row>
    <row r="3361">
      <c r="A3361">
        <f>=103051	 | Trojan.Win32.Agent.NEYNFV	 | </f>
        <v/>
      </c>
    </row>
    <row r="3362">
      <c r="A3362">
        <f>=103052	 | Trojan.Win32.Agent.NEYNFW	 | </f>
        <v/>
      </c>
    </row>
    <row r="3363">
      <c r="A3363">
        <f>=103053	 | Trojan.Win32.Agent.NEYNFX	 | </f>
        <v/>
      </c>
    </row>
    <row r="3364">
      <c r="A3364">
        <f>=103054	 | Trojan.Win32.Agent.NEYNFY	 | </f>
        <v/>
      </c>
    </row>
    <row r="3365">
      <c r="A3365">
        <f>=103055	 | Trojan.Win32.Agent.NEYNGA	 | </f>
        <v/>
      </c>
    </row>
    <row r="3366">
      <c r="A3366">
        <f>=103056	 | Trojan.Win32.Agent.NEYNGB	 | </f>
        <v/>
      </c>
    </row>
    <row r="3367">
      <c r="A3367">
        <f>=103057	 | Trojan.Win32.Autorun.CD	 | 3b090bf1a9cc7c0ffa7de2effb9ea0c8</f>
        <v/>
      </c>
    </row>
    <row r="3368">
      <c r="A3368">
        <f>=103058	 | Trojan.Win32.Bank.A	 | </f>
        <v/>
      </c>
    </row>
    <row r="3369">
      <c r="A3369">
        <f>=103059	 | Trojan.Win32.Brontok.H	 | 445b9248993d9e9103ce57da12bd38cf</f>
        <v/>
      </c>
    </row>
    <row r="3370">
      <c r="A3370">
        <f>=103060	 | Trojan.Win32.Brontok.I	 | </f>
        <v/>
      </c>
    </row>
    <row r="3371">
      <c r="A3371">
        <f>=103061	 | Trojan.Win32.Bzub.A	 | </f>
        <v/>
      </c>
    </row>
    <row r="3372">
      <c r="A3372">
        <f>=103062	 | Trojan.Win32.Crusis.A	 | f791a8ef14c238b3283839e84f6c1e6b</f>
        <v/>
      </c>
    </row>
    <row r="3373">
      <c r="A3373">
        <f>=103063	 | Trojan.Win32.DNSChanger.A	 | </f>
        <v/>
      </c>
    </row>
    <row r="3374">
      <c r="A3374">
        <f>=103064	 | Trojan.Win32.Fake360.A	 | </f>
        <v/>
      </c>
    </row>
    <row r="3375">
      <c r="A3375">
        <f>=103065	 | Trojan.Win32.FakeFolder.BCE	 | 89c60957505af59309883d71da4afb89</f>
        <v/>
      </c>
    </row>
    <row r="3376">
      <c r="A3376">
        <f>=103066	 | Trojan.Win32.FakeFolder.BCF	 | 0c6f3cdc54573feebc7b10da1d02ee8f</f>
        <v/>
      </c>
    </row>
    <row r="3377">
      <c r="A3377">
        <f>=103067	 | Trojan.Win32.FakeFolder.BCG	 | </f>
        <v/>
      </c>
    </row>
    <row r="3378">
      <c r="A3378">
        <f>=103068	 | Trojan.Win32.FakeFolder.BCH	 | </f>
        <v/>
      </c>
    </row>
    <row r="3379">
      <c r="A3379">
        <f>=103069	 | Trojan.Win32.FakeKsUser.A	 | a519ff83ebb5ceafc507c33f8a6abef4</f>
        <v/>
      </c>
    </row>
    <row r="3380">
      <c r="A3380">
        <f>=103070	 | Trojan.Win32.FakePDF.AHV	 | abb49e81e629a656d9b810745bd7c593</f>
        <v/>
      </c>
    </row>
    <row r="3381">
      <c r="A3381">
        <f>=103071	 | Trojan.Win32.FakeUsp.F	 | </f>
        <v/>
      </c>
    </row>
    <row r="3382">
      <c r="A3382">
        <f>=103072	 | Trojan.Win32.FraudLoad.A	 | 96919e9b166465c42eb7c5f714097763</f>
        <v/>
      </c>
    </row>
    <row r="3383">
      <c r="A3383">
        <f>=103073	 | Trojan.Win32.GameSpy.A	 | a7bc881a72f0a5c670abd0ae107e793e</f>
        <v/>
      </c>
    </row>
    <row r="3384">
      <c r="A3384">
        <f>=103074	 | Trojan.Win32.Gepys.R	 | </f>
        <v/>
      </c>
    </row>
    <row r="3385">
      <c r="A3385">
        <f>=103075	 | Trojan.Win32.Gofot.A	 | 2b62b69bb6b7697c0632375cd1199638</f>
        <v/>
      </c>
    </row>
    <row r="3386">
      <c r="A3386">
        <f>=103076	 | Trojan.Win32.KillAV.AU	 | </f>
        <v/>
      </c>
    </row>
    <row r="3387">
      <c r="A3387">
        <f>=103077	 | Trojan.Win32.MoleDownloader.E	 | </f>
        <v/>
      </c>
    </row>
    <row r="3388">
      <c r="A3388">
        <f>=103078	 | Trojan.Win32.QQlogger.A	 | </f>
        <v/>
      </c>
    </row>
    <row r="3389">
      <c r="A3389">
        <f>=103079	 | Trojan.Win32.QQPass.EC	 | </f>
        <v/>
      </c>
    </row>
    <row r="3390">
      <c r="A3390">
        <f>=103080	 | Trojan.Win32.QQPass.ED	 | </f>
        <v/>
      </c>
    </row>
    <row r="3391">
      <c r="A3391">
        <f>=103081	 | Trojan.Win32.QQPass.EE	 | 54cce3d6922eb18feccede38b0389ffa</f>
        <v/>
      </c>
    </row>
    <row r="3392">
      <c r="A3392">
        <f>=103082	 | Trojan.Win32.Scar.A	 | ebfe92d46f7c9c3d295d7e4c2335923c</f>
        <v/>
      </c>
    </row>
    <row r="3393">
      <c r="A3393">
        <f>=103083	 | Trojan.Win32.Spirit.AS	 | </f>
        <v/>
      </c>
    </row>
    <row r="3394">
      <c r="A3394">
        <f>=103084	 | Trojan.Win32.StartPage.CU	 | </f>
        <v/>
      </c>
    </row>
    <row r="3395">
      <c r="A3395">
        <f>=103085	 | Trojan.Win32.TaoJin.Q	 | </f>
        <v/>
      </c>
    </row>
    <row r="3396">
      <c r="A3396">
        <f>=103086	 | Worm.Win32.Conficker.AB	 | f0951829b8f0ad7c47d447a88dcb60c8</f>
        <v/>
      </c>
    </row>
    <row r="3397">
      <c r="A3397">
        <f>=103087	 | Trojan.Win32.Obfuscated.BT	 | 7fb6047a08df0407dea5d78d3a71f6a2</f>
        <v/>
      </c>
    </row>
    <row r="3398">
      <c r="A3398">
        <f>=103088	 | Worm.Win32.Autorun.AR	 | bade02132e72fa4405b6b16f70bc8dcc</f>
        <v/>
      </c>
    </row>
    <row r="3399">
      <c r="A3399">
        <f>=103090	 | Worm.Win32.Picsys.G	 | </f>
        <v/>
      </c>
    </row>
    <row r="3400">
      <c r="A3400">
        <f>=103091	 | Adware.Win32.DownloadGuide.G	 | </f>
        <v/>
      </c>
    </row>
    <row r="3401">
      <c r="A3401">
        <f>=103092	 | Ransom.Win32.GandCrab.AR	 | 8a73931abc6f4e73377179a6e50f173c</f>
        <v/>
      </c>
    </row>
    <row r="3402">
      <c r="A3402">
        <f>=103093	 | Trojan.Win32.Small.ACLM	 | 13f188237f432f7afd83d9fe1ffcc5be</f>
        <v/>
      </c>
    </row>
    <row r="3403">
      <c r="A3403">
        <f>=103094	 | Trojan.Win32.Upatre.AO	 | fcb3d2b63d0ccfb733964f2f401fd80b</f>
        <v/>
      </c>
    </row>
    <row r="3404">
      <c r="A3404">
        <f>=103095	 | Worm.Win32.Mira.F	 | </f>
        <v/>
      </c>
    </row>
    <row r="3405">
      <c r="A3405">
        <f>=103096	 | Trojan.Win32.Agent.OJ	 | </f>
        <v/>
      </c>
    </row>
    <row r="3406">
      <c r="A3406">
        <f>=103097	 | Worm.Win32.Socks.E	 | e869fd38d795316b4a551aa7f8a6b202</f>
        <v/>
      </c>
    </row>
    <row r="3407">
      <c r="A3407">
        <f>=103098	 | Trojan.Win32.Bancteian.A	 | 6a4d776d167b40dad018e42e93383d9a</f>
        <v/>
      </c>
    </row>
    <row r="3408">
      <c r="A3408">
        <f>=103099	 | Trojan.Win32.Unruy.L	 | fbd85683f7abd74796fb4f440c6fcba7</f>
        <v/>
      </c>
    </row>
    <row r="3409">
      <c r="A3409">
        <f>=103123	 | Trojan.Win32.Emote.B	 | </f>
        <v/>
      </c>
    </row>
    <row r="3410">
      <c r="A3410">
        <f>=103124	 | Trojan.Win32.Emote.C	 | </f>
        <v/>
      </c>
    </row>
    <row r="3411">
      <c r="A3411">
        <f>=103125	 | Trojan.Win32.Emote.D	 | </f>
        <v/>
      </c>
    </row>
    <row r="3412">
      <c r="A3412">
        <f>=103128	 | Worm.Win32.Soltern.A	 | 1053448bb6a3b06339c7253f8d0dc808</f>
        <v/>
      </c>
    </row>
    <row r="3413">
      <c r="A3413">
        <f>=103133	 | Trojan.Win32.ShipUp.FFHP	 | b24d0dca333916af225ccf6ec42d8e87</f>
        <v/>
      </c>
    </row>
    <row r="3414">
      <c r="A3414">
        <f>=103142	 | Adware.Win32.Fiseria.IL	 | 9cd7035c9f610f2822614be9a30dbf1b</f>
        <v/>
      </c>
    </row>
    <row r="3415">
      <c r="A3415">
        <f>=103143	 | Trojan.Win32.IcedID.PEF	 | 58745fef6cee4069b03d2776decbd208</f>
        <v/>
      </c>
    </row>
    <row r="3416">
      <c r="A3416">
        <f>=103146	 | Backdoor.Win32.General.A	 | 5b9843279137930ebe983af5ac12ad50</f>
        <v/>
      </c>
    </row>
    <row r="3417">
      <c r="A3417">
        <f>=103147	 | Trojan.Win32.MSIL_Generic.A	 | aed943a6861f656fb33d8a22d60540b3</f>
        <v/>
      </c>
    </row>
    <row r="3418">
      <c r="A3418">
        <f>=103149	 | Trojan.Win32.AutoIt.GEQ	 | 5bbe62b1ee390fa7a13475343fa9ffc7</f>
        <v/>
      </c>
    </row>
    <row r="3419">
      <c r="A3419">
        <f>=103150	 | Trojan.Win32.Biodata.A	 | 5c6b3622b5b01a78ebe10fa79197dcc6</f>
        <v/>
      </c>
    </row>
    <row r="3420">
      <c r="A3420">
        <f>=103151	 | Trojan.Win32.Biodata.B	 | 8ce0d10288a67c8c8d1ffa83710c0511</f>
        <v/>
      </c>
    </row>
    <row r="3421">
      <c r="A3421">
        <f>=103152	 | Trojan.Win32.MSIL_Lamer.A	 | 42c32f1a0674cd4e5a436469e8f63a85</f>
        <v/>
      </c>
    </row>
    <row r="3422">
      <c r="A3422">
        <f>=103153	 | Trojan.Win32.Agent.IBAS	 | 01743c131de9806ffb677065b4fe12d0</f>
        <v/>
      </c>
    </row>
    <row r="3423">
      <c r="A3423">
        <f>=103154	 | Trojan.Win32.Autoit.AZA	 | </f>
        <v/>
      </c>
    </row>
    <row r="3424">
      <c r="A3424">
        <f>=103155	 | Trojan.Win32.VB.DOSR	 | 1800ef421c5e9a0d28282933aefcc4c4</f>
        <v/>
      </c>
    </row>
    <row r="3425">
      <c r="A3425">
        <f>=103156	 | Trojan.Win32.Debris.B	 | caa8bbc2e32542f135a620f652d20340</f>
        <v/>
      </c>
    </row>
    <row r="3426">
      <c r="A3426">
        <f>=103165	 | Trojan.Win32.Agent.VHO	 | c7824c4d84b3abca7576ec3ece9c7f2e</f>
        <v/>
      </c>
    </row>
    <row r="3427">
      <c r="A3427">
        <f>=103166	 | Trojan.Win32.Pincav.A	 | 0b957ff8561fe08c36be1c423f44f4a6</f>
        <v/>
      </c>
    </row>
    <row r="3428">
      <c r="A3428">
        <f>=103167	 | Trojan.Win32.Pincav.B	 | 357c51ad5f6b57e097e264eb8acccdf5</f>
        <v/>
      </c>
    </row>
    <row r="3429">
      <c r="A3429">
        <f>=103169	 | Trojan.Win64.Johnnie.AB	 | a2350e15904fac03da8471b3b85d8fd5</f>
        <v/>
      </c>
    </row>
    <row r="3430">
      <c r="A3430">
        <f>=103170	 | Trojan.Win32.DownloaderAgent.HD	 | 7eaf9a4a6e9a3eb7ed63ca9ce10e525c</f>
        <v/>
      </c>
    </row>
    <row r="3431">
      <c r="A3431">
        <f>=103171	 | Trojan.Win32.Yakes.C	 | 4355bd2d93b2dd8b4e886ed55a61591f</f>
        <v/>
      </c>
    </row>
    <row r="3432">
      <c r="A3432">
        <f>=103172	 | Trojan.Win32.Lamer.A	 | 05611dac1d4e8f072d50752c6c6163e9</f>
        <v/>
      </c>
    </row>
    <row r="3433">
      <c r="A3433">
        <f>=103173	 | Trojan.Win32.Autoit.GER	 | d7e4a4e2cbed5fb9e537394878a48abd</f>
        <v/>
      </c>
    </row>
    <row r="3434">
      <c r="A3434">
        <f>=103174	 | Trojan.Win32.Upatre.FR	 | 785ed803fe965156c794e3d7ef38c611</f>
        <v/>
      </c>
    </row>
    <row r="3435">
      <c r="A3435">
        <f>=103175	 | Trojan.Win32.Daws.EH	 | 6a9de43a112adc8b20c0eb24526d2393</f>
        <v/>
      </c>
    </row>
    <row r="3436">
      <c r="A3436">
        <f>=103179	 | Trojan.Win32.Small.CWQL	 | 3f97d5d027939e327b3b595c9ba237e8</f>
        <v/>
      </c>
    </row>
    <row r="3437">
      <c r="A3437">
        <f>=103180	 | Worm.Win32.Fujack.DA	 | 1317398546329ed40fc47df7b03153ff</f>
        <v/>
      </c>
    </row>
    <row r="3438">
      <c r="A3438">
        <f>=103181	 | Worm.Win32.Brontok.AM	 | b10da4667a29f999fc282718c4d857ff</f>
        <v/>
      </c>
    </row>
    <row r="3439">
      <c r="A3439">
        <f>=103182	 | Trojan.Win32.ShipUp.PEF	 | </f>
        <v/>
      </c>
    </row>
    <row r="3440">
      <c r="A3440">
        <f>=103183	 | Trojan.Win32.Krap.AN	 | 36763659ff356f10a0e4d5ad278865aa</f>
        <v/>
      </c>
    </row>
    <row r="3441">
      <c r="A3441">
        <f>=103184	 | Trojan.Win32.Kykymber.DPIQ	 | 82102a3a5f78b15eee88ea6b6d8948f7</f>
        <v/>
      </c>
    </row>
    <row r="3442">
      <c r="A3442">
        <f>=103185	 | Trojan.Win32.ShipUp.BPM	 | f777a17d3261afd44653f1cf9d8fab59</f>
        <v/>
      </c>
    </row>
    <row r="3443">
      <c r="A3443">
        <f>=103186	 | Trojan.Win32.ShipUp.FFHT	 | 614a86ed57c7bc7578f1115ea2d209ac</f>
        <v/>
      </c>
    </row>
    <row r="3444">
      <c r="A3444">
        <f>=103187	 | Trojan.Win32.Zbot.QSQD	 | 18920556bbd7fd71235ede7b49308aa6</f>
        <v/>
      </c>
    </row>
    <row r="3445">
      <c r="A3445">
        <f>=103188	 | Trojan.Win32.Small.CVQS	 | 6196c3b2922de0d77d41519c7fe5f261</f>
        <v/>
      </c>
    </row>
    <row r="3446">
      <c r="A3446">
        <f>=103189	 | Trojan.Win32.DownloaderGuide.GEN	 | f8d96bf3ac169d50272ae73378242f63</f>
        <v/>
      </c>
    </row>
    <row r="3447">
      <c r="A3447">
        <f>=103190	 | Backdoor.Win32.Allaple.B	 | 5eee5534c84c7cefe447b85ff1e2c8aa</f>
        <v/>
      </c>
    </row>
    <row r="3448">
      <c r="A3448">
        <f>=103191	 | Adware.Win32.Xpyn.HEUR	 | 6596746dc5b0092ada43584bd8544951</f>
        <v/>
      </c>
    </row>
    <row r="3449">
      <c r="A3449">
        <f>=103193	 | Adware.Win32.Indirect.A	 | 29ea53b50fde1d6e77e88f115016a806</f>
        <v/>
      </c>
    </row>
    <row r="3450">
      <c r="A3450">
        <f>=103195	 | Adware.Win32.Agent.AB	 | 53e62aac467b32e8fc2f57fd669aa54b</f>
        <v/>
      </c>
    </row>
    <row r="3451">
      <c r="A3451">
        <f>=103197	 | Trojan.Win32.Bublik.BKGG	 | 3b562c2996241da3dab4fc9f05cf1ad0</f>
        <v/>
      </c>
    </row>
    <row r="3452">
      <c r="A3452">
        <f>=103198	 | Trojan.Win32.ShipUp.BOG	 | 044763a16be2d7d87206e8010bb5aab5</f>
        <v/>
      </c>
    </row>
    <row r="3453">
      <c r="A3453">
        <f>=103201	 | Trojan.Win32.Zbot.TBTK	 | 22e6012749780656d337393a7ec9968a</f>
        <v/>
      </c>
    </row>
    <row r="3454">
      <c r="A3454">
        <f>=103202	 | Adware.Win32.MultiPlug.MHDA	 | 87dd062b9790b5d9ec66dc916d148944</f>
        <v/>
      </c>
    </row>
    <row r="3455">
      <c r="A3455">
        <f>=103203	 | Adware.Win32.Agent.VHO	 | d5f96290c0ab63cb447a00c35d074121</f>
        <v/>
      </c>
    </row>
    <row r="3456">
      <c r="A3456">
        <f>=103204	 | Backdoor.Win32.Plite.BHUV	 | c6e39c943c0d65149fe5b33e3488fd4c</f>
        <v/>
      </c>
    </row>
    <row r="3457">
      <c r="A3457">
        <f>=103205	 | Trojan.Win32.Llac.LGNR	 | 6933817099203810522c650318524bd2</f>
        <v/>
      </c>
    </row>
    <row r="3458">
      <c r="A3458">
        <f>=103206	 | Trojan.Win32.Zbot.SWGX	 | beb014510bc0f6df746a449e17d5c39a</f>
        <v/>
      </c>
    </row>
    <row r="3459">
      <c r="A3459">
        <f>=103207	 | Backdoor.Win32.Plite.BHSX	 | fc15eaeb0d6b24e140be94d531c8666e</f>
        <v/>
      </c>
    </row>
    <row r="3460">
      <c r="A3460">
        <f>=103208	 | Adware.Win32.SoftPulse.YBR	 | 1a17198cebfd33902236eb9715926da9</f>
        <v/>
      </c>
    </row>
    <row r="3461">
      <c r="A3461">
        <f>=103210	 | Trojan.Win32.Agent.DFSW	 | 10f026563d5025d692586e0a578b1238</f>
        <v/>
      </c>
    </row>
    <row r="3462">
      <c r="A3462">
        <f>=103211	 | Worm.Win32.Luder.BQJA	 | a042acc5a6eef2904cb29c3884e4b75e</f>
        <v/>
      </c>
    </row>
    <row r="3463">
      <c r="A3463">
        <f>=103212	 | Backdoor.Win32.Plite.BHUG	 | e07cf10db7b88e0d7b12951ceefb0251</f>
        <v/>
      </c>
    </row>
    <row r="3464">
      <c r="A3464">
        <f>=103213	 | Backdoor.Win32.Gulpix.A	 | 87fc0f89cfbd78623c6ea62b026104ca</f>
        <v/>
      </c>
    </row>
    <row r="3465">
      <c r="A3465">
        <f>=103214	 | Trojan.Win32.Agent.NEYNGC	 | 00121b881ad6f5f50d0989da9d984b47</f>
        <v/>
      </c>
    </row>
    <row r="3466">
      <c r="A3466">
        <f>=103215	 | Trojan.Win32.Agent.ID	 | 9c02172c8519c7e7aa5587f7cd649a37</f>
        <v/>
      </c>
    </row>
    <row r="3467">
      <c r="A3467">
        <f>=103216	 | Trojan.Win32.Agent.NEZ	 | ba19d35712c3cbebc7d654ed3478a6a4</f>
        <v/>
      </c>
    </row>
    <row r="3468">
      <c r="A3468">
        <f>=103217	 | Trojan.Win32.Kykymber.DP	 | b2fe8d161e32c450532dbd5978708ae6</f>
        <v/>
      </c>
    </row>
    <row r="3469">
      <c r="A3469">
        <f>=103218	 | Trojan.Win32.Kykymber.DQ	 | f261d1bc3bab3727ec8dc9dfc0692d46</f>
        <v/>
      </c>
    </row>
    <row r="3470">
      <c r="A3470">
        <f>=103226	 | Trojan.Win32.DownloAdmin.DYXI	 | </f>
        <v/>
      </c>
    </row>
    <row r="3471">
      <c r="A3471">
        <f>=103227	 | Hackertool.Win32.Zango.GEO	 | fad9f72e35c10bea624551fb21725074</f>
        <v/>
      </c>
    </row>
    <row r="3472">
      <c r="A3472">
        <f>=103228	 | Trojan.Win32.ShipUp.FFGR	 | fec19c0b30a39bb407970610f96b3dc5</f>
        <v/>
      </c>
    </row>
    <row r="3473">
      <c r="A3473">
        <f>=103229	 | Trojan.Win32.Noon.GEN	 | 345b3d32330d8074eab292e70451f027</f>
        <v/>
      </c>
    </row>
    <row r="3474">
      <c r="A3474">
        <f>=103230	 | Backdoor.Win32.Plite.BHUK	 | aa849ac7aba49e0364a9e952f0faa529</f>
        <v/>
      </c>
    </row>
    <row r="3475">
      <c r="A3475">
        <f>=103231	 | Hackertool.Win32.CentrumLoader.A	 | 0168d3acaa7c0269125d4a8ba9686c27</f>
        <v/>
      </c>
    </row>
    <row r="3476">
      <c r="A3476">
        <f>=103232	 | Adware.Win32.OutBrowse.COM	 | 7e52195add1b813fe32797297c77da65</f>
        <v/>
      </c>
    </row>
    <row r="3477">
      <c r="A3477">
        <f>=103233	 | Trojan.Win32.Agent.XJGJ	 | baf2d2c62fc440f69afeb35a6f925613</f>
        <v/>
      </c>
    </row>
    <row r="3478">
      <c r="A3478">
        <f>=103234	 | Trojan.Win32.Autoit.AMS	 | 7b8e205931f1a49fa0b0deae9f74f3f4</f>
        <v/>
      </c>
    </row>
    <row r="3479">
      <c r="A3479">
        <f>=103236	 | Adware.Win32.LMN.ULFA	 | e3a234f9caf8480b8a45245bb187abab</f>
        <v/>
      </c>
    </row>
    <row r="3480">
      <c r="A3480">
        <f>=103237	 | Adware.Win32.Zango.GEN	 | 861cfc64144889c7e4e4dd5e77ddf895</f>
        <v/>
      </c>
    </row>
    <row r="3481">
      <c r="A3481">
        <f>=103238	 | Trojan.Win32.Agentb.BVIQ	 | 544f76bf7a566cdb0b7080fca62c9b9b</f>
        <v/>
      </c>
    </row>
    <row r="3482">
      <c r="A3482">
        <f>=103239	 | Trojan.Win32.Upatre.BLA	 | 1b8f033d6d6f26a6040d443410bbb017</f>
        <v/>
      </c>
    </row>
    <row r="3483">
      <c r="A3483">
        <f>=103240	 | Trojan.Win32.Injects.GEN	 | caeb2cd0dc133f3bb65ea672ad288079</f>
        <v/>
      </c>
    </row>
    <row r="3484">
      <c r="A3484">
        <f>=103241	 | Trojan.Win32.Upatre.DZVZ	 | 76ce4a322d0d9f69acf8faac1d40fd19</f>
        <v/>
      </c>
    </row>
    <row r="3485">
      <c r="A3485">
        <f>=103242	 | Trojan.Win32.Agent.XAANAS	 | 172068e1329dd53c212d5815da72a22a</f>
        <v/>
      </c>
    </row>
    <row r="3486">
      <c r="A3486">
        <f>=103243	 | Adware.Win32.Softonic.A	 | d40a53faa59cd74daca23ac6eb6ba48a</f>
        <v/>
      </c>
    </row>
    <row r="3487">
      <c r="A3487">
        <f>=103244	 | Trojan.Win32.Upatre.CUBU	 | 9fad0d7cbccf26ba34b0bc5bf355b242</f>
        <v/>
      </c>
    </row>
    <row r="3488">
      <c r="A3488">
        <f>=103245	 | Trojan.Win32.Dinwod.UNK	 | e8d0ef1861c92c044c27c07001ba2db9</f>
        <v/>
      </c>
    </row>
    <row r="3489">
      <c r="A3489">
        <f>=103246	 | Trojan.Win32.Agent.IFQX	 | f487c17fe9cf12a235f8e2d017bbfba1</f>
        <v/>
      </c>
    </row>
    <row r="3490">
      <c r="A3490">
        <f>=103248	 | Worm.Win32.Vobfus.EWUZ	 | 3b9532d0831f5980e80b5190c31aff15</f>
        <v/>
      </c>
    </row>
    <row r="3491">
      <c r="A3491">
        <f>=103250	 | Trojan.Win32.Sality.HB	 | 55679ef13ee8d28474bae67e088bb570</f>
        <v/>
      </c>
    </row>
    <row r="3492">
      <c r="A3492">
        <f>=103252	 | Trojan.Win32.Agentb.GEN	 | cc4e53965ec93b1ff9a96801252cad01</f>
        <v/>
      </c>
    </row>
    <row r="3493">
      <c r="A3493">
        <f>=103253	 | Trojan.Win32.Agent.GEN	 | 20d7bc7175629f03aa8c77e7d5bba166</f>
        <v/>
      </c>
    </row>
    <row r="3494">
      <c r="A3494">
        <f>=103254	 | Trojan.Win32.Roxer.GEN	 | 12505fed91265f50843e011526d58259</f>
        <v/>
      </c>
    </row>
    <row r="3495">
      <c r="A3495">
        <f>=103255	 | Trojan.Win32.Agent.XAANAT	 | 23bf28ca2d224b6a60b187a7ca1f125e</f>
        <v/>
      </c>
    </row>
    <row r="3496">
      <c r="A3496">
        <f>=103256	 | Trojan.Win32.Agent.XAANAU	 | a081eab44297ba08eb7b6324116eb6da</f>
        <v/>
      </c>
    </row>
    <row r="3497">
      <c r="A3497">
        <f>=103257	 | Ransom.Win32.Cryptor.CZ	 | 54ffc7a19f940937577450893aca3e74</f>
        <v/>
      </c>
    </row>
    <row r="3498">
      <c r="A3498">
        <f>=103258	 | Worm.Win32.Vobfus.DE	 | 84bf3db8b92c4e3241ac980a3b235e73</f>
        <v/>
      </c>
    </row>
    <row r="3499">
      <c r="A3499">
        <f>=103259	 | Worm.Win64.AutoRun.CT	 | c7ee19b579a0b5f164798b3a543abb4c</f>
        <v/>
      </c>
    </row>
    <row r="3500">
      <c r="A3500">
        <f>=103261	 | Worm.Win32.VBNA.BSMW	 | 56f487d659cd3ba61a2878cd5be96b34</f>
        <v/>
      </c>
    </row>
    <row r="3501">
      <c r="A3501">
        <f>=103262	 | Trojan.Win32.Agent.HFVV	 | d6aaef8cce5e8704717532c66823b089</f>
        <v/>
      </c>
    </row>
    <row r="3502">
      <c r="A3502">
        <f>=103263	 | Backdoor.Win32.Androm.GEN	 | 102df633ce5d64edfbb255e0837b6efd</f>
        <v/>
      </c>
    </row>
    <row r="3503">
      <c r="A3503">
        <f>=103264	 | Trojan.Win32.Agent.WUGTN	 | 0764101cf2365606b58cfc89a457b18d</f>
        <v/>
      </c>
    </row>
    <row r="3504">
      <c r="A3504">
        <f>=103265	 | Trojan.Win32.ShipUp.BOU	 | 519768027d277c695204675d18e1e651</f>
        <v/>
      </c>
    </row>
    <row r="3505">
      <c r="A3505">
        <f>=103266	 | Trojan.Win32.Kykymber.DNBZ	 | 4ecc51c7ab84b3c03daaa0a007809262</f>
        <v/>
      </c>
    </row>
    <row r="3506">
      <c r="A3506">
        <f>=103267	 | Worm.Win32.WBNA.GTA	 | 034f2a6685625f62436b5885d404c2da</f>
        <v/>
      </c>
    </row>
    <row r="3507">
      <c r="A3507">
        <f>=103268	 | Backdoor.Win32.Plite.BHTJ	 | 65038c8e0815c319bc002fcc1fa3f435</f>
        <v/>
      </c>
    </row>
    <row r="3508">
      <c r="A3508">
        <f>=103270	 | Trojan.Win32.Injector.MMJE	 | 286338994dd36b1bba93f51a02386999</f>
        <v/>
      </c>
    </row>
    <row r="3509">
      <c r="A3509">
        <f>=103272	 | Adware.Win32.Slimware.J	 | 798c8ea179cada9487660a0dc763c0ae</f>
        <v/>
      </c>
    </row>
    <row r="3510">
      <c r="A3510">
        <f>=103273	 | Adware.Win32.Slimware.K	 | cc8e3950952e8820230dc65ce51a019f</f>
        <v/>
      </c>
    </row>
    <row r="3511">
      <c r="A3511">
        <f>=103274	 | Adware.Win32.Slimware.L	 | bd5bb1caa92520ea1a92d9d8c472e1fd</f>
        <v/>
      </c>
    </row>
    <row r="3512">
      <c r="A3512">
        <f>=103276	 | Trojan.Win32.Slimware.C	 | 56d3644c5aee60ccc7272c8647452f81</f>
        <v/>
      </c>
    </row>
    <row r="3513">
      <c r="A3513">
        <f>=103278	 | Trojan.Win32.Obit.A	 | 2bf30b58338a079c8e090a671239986c</f>
        <v/>
      </c>
    </row>
    <row r="3514">
      <c r="A3514">
        <f>=103279	 | Trojan.Win32.Vilsel.BP	 | 8192653461dad4050cc9d0cf35994d20</f>
        <v/>
      </c>
    </row>
    <row r="3515">
      <c r="A3515">
        <f>=103280	 | Trojan.Win32.Autoit.GES	 | db69b3b0c3a524ae94d1dd42b03e7437</f>
        <v/>
      </c>
    </row>
    <row r="3516">
      <c r="A3516">
        <f>=103281	 | Adware.Win32.DLBoost.GEN	 | </f>
        <v/>
      </c>
    </row>
    <row r="3517">
      <c r="A3517">
        <f>=103283	 | Adware.Win32.Zango.ACIA	 | 0e5bb086175f5693240878178479658e</f>
        <v/>
      </c>
    </row>
    <row r="3518">
      <c r="A3518">
        <f>=103285	 | Worm.Win32.Infober.A	 | 4e1baeacc15cfda092ae95b529fb0a82</f>
        <v/>
      </c>
    </row>
    <row r="3519">
      <c r="A3519">
        <f>=103286	 | Trojan.Win32.Small.CWQM	 | a09f5aebadf350eb44c3b462a25d4f9a</f>
        <v/>
      </c>
    </row>
    <row r="3520">
      <c r="A3520">
        <f>=103292	 | Worm.Win32.Wannamine.C	 | 5d77ced49d0cfcbcc0dc267525f6825b</f>
        <v/>
      </c>
    </row>
    <row r="3521">
      <c r="A3521">
        <f>=103293	 | Worm.Win64.Wannamine.C	 | 8bf7fc695320b5cfbc1665a0ab5ffb72</f>
        <v/>
      </c>
    </row>
    <row r="3522">
      <c r="A3522">
        <f>=103295	 | Worm.Win32.Wannamine.A	 | 30ccb0b7770a2583f33e3e28400e8c6c</f>
        <v/>
      </c>
    </row>
    <row r="3523">
      <c r="A3523">
        <f>=103296	 | Worm.Win64.Wannamine.B	 | baa824c84e4385056f777759ef37092c</f>
        <v/>
      </c>
    </row>
    <row r="3524">
      <c r="A3524">
        <f>=103297	 | Worm.Win32.Wannamine.B	 | </f>
        <v/>
      </c>
    </row>
    <row r="3525">
      <c r="A3525">
        <f>=103301	 | Worm.Win32.Wannamine.BCF	 | d6d6ce7832f61fdf0b8be8cbdd38b10a</f>
        <v/>
      </c>
    </row>
    <row r="3526">
      <c r="A3526">
        <f>=103302	 | Worm.Win64.Wannamine.BCG	 | b9c16aadeed2f7bee3e28ae2c1f157a3</f>
        <v/>
      </c>
    </row>
    <row r="3527">
      <c r="A3527">
        <f>=103303	 | Worm.Win64.Wannamine.BCH	 | b29126c3836cd381caa609d65f26fce9</f>
        <v/>
      </c>
    </row>
    <row r="3528">
      <c r="A3528">
        <f>=103304	 | Worm.Win32.Wannamine.BCI	 | 5ce8ee418197544d54174c381c09faae</f>
        <v/>
      </c>
    </row>
    <row r="3529">
      <c r="A3529">
        <f>=103305	 | Worm.Win32.Wannamine.BCJ	 | 3b4907ce950be57d014b38ad717ccc32</f>
        <v/>
      </c>
    </row>
    <row r="3530">
      <c r="A3530">
        <f>=103306	 | Backdoor.Win32.CosmicDuke.BCD	 | fdd7043ab5176e3cd96cff00f04c6e48</f>
        <v/>
      </c>
    </row>
    <row r="3531">
      <c r="A3531">
        <f>=103307	 | Backdoor.Win32.CosmicDuke.BCE	 | </f>
        <v/>
      </c>
    </row>
    <row r="3532">
      <c r="A3532">
        <f>=103309	 | Backdoor.Win32.FakePlagueNotice.A	 | a30391c51e0f2e57aa38bbe079c64e26</f>
        <v/>
      </c>
    </row>
    <row r="3533">
      <c r="A3533">
        <f>=103317	 | Trojan.Win32.Gepys.S	 | 4be173cd374266451b633585614fb819</f>
        <v/>
      </c>
    </row>
    <row r="3534">
      <c r="A3534">
        <f>=103318	 | Trojan.Win32.Gepys.T	 | 42fdededed4a99284ab4b30aefece0d5</f>
        <v/>
      </c>
    </row>
    <row r="3535">
      <c r="A3535">
        <f>=103324	 | Backdoor.Win32.Agent.GEO	 | 5290dba5e49e07047d5c194b3afadbc0</f>
        <v/>
      </c>
    </row>
    <row r="3536">
      <c r="A3536">
        <f>=103326	 | Trojan.Win32.Agent.XAANBA	 | c23901e5960e95a54aa6430043a2b27f</f>
        <v/>
      </c>
    </row>
    <row r="3537">
      <c r="A3537">
        <f>=103330	 | Trojan.Win32.Agent.XAANBE	 | af697830ef03cdd3fc961c7ab2bb37d9</f>
        <v/>
      </c>
    </row>
    <row r="3538">
      <c r="A3538">
        <f>=103334	 | Trojan.Win32.Generic.B	 | 1f3cb0285433f28c24416d0084dc0fb4</f>
        <v/>
      </c>
    </row>
    <row r="3539">
      <c r="A3539">
        <f>=103341	 | Backdoor.Win32.vicious.A	 | </f>
        <v/>
      </c>
    </row>
    <row r="3540">
      <c r="A3540">
        <f>=103342	 | Backdoor.Win32.vicious.B	 | 4ab414eb8b2d2a952ca515e9948d49e3</f>
        <v/>
      </c>
    </row>
    <row r="3541">
      <c r="A3541">
        <f>=103346	 | Trojan.Win32.Vicious.A	 | 30c13ed8030dda8a578e822b60e3b24f</f>
        <v/>
      </c>
    </row>
    <row r="3542">
      <c r="A3542">
        <f>=103348	 | Trojan.Win64.FakePlagueNotice.A	 | 3a9e114ab25f2f1bdaf8edd1a4da446a</f>
        <v/>
      </c>
    </row>
    <row r="3543">
      <c r="A3543">
        <f>=103349	 | Ransom.Win32.Adduser.A	 | d232b7a3a7ffe381011daa2fe1bbeee2</f>
        <v/>
      </c>
    </row>
    <row r="3544">
      <c r="A3544">
        <f>=103351	 | Ransom.Win32.Locky.L	 | 16b4cd0beeccfdf6fba332c45ef1e6af</f>
        <v/>
      </c>
    </row>
    <row r="3545">
      <c r="A3545">
        <f>=103352	 | Ransom.Win32.Somhoveran.A	 | 14a6055689f38d9bc396e4e928d14667</f>
        <v/>
      </c>
    </row>
    <row r="3546">
      <c r="A3546">
        <f>=103353	 | Ransom.Win32.Tescrypt.E	 | 42a84b9bb152e53a7acd85b70181f896</f>
        <v/>
      </c>
    </row>
    <row r="3547">
      <c r="A3547">
        <f>=103354	 | Ransom.Win32.Weenloc.A	 | d1e73881c0573c4c123150f043be4909</f>
        <v/>
      </c>
    </row>
    <row r="3548">
      <c r="A3548">
        <f>=103357	 | Trojan.Win32.AutoIt.GEU	 | d89c6186c847b2bb977427ca3328cc36</f>
        <v/>
      </c>
    </row>
    <row r="3549">
      <c r="A3549">
        <f>=103358	 | Trojan.Win32.AutoIt.GEV	 | 36153d9705b62163a38849b9b17843ed</f>
        <v/>
      </c>
    </row>
    <row r="3550">
      <c r="A3550">
        <f>=103359	 | Trojan.Win32.ShipUp.FFHU	 | 85c5aa3c187bf9697ce8ba8280006c7d</f>
        <v/>
      </c>
    </row>
    <row r="3551">
      <c r="A3551">
        <f>=103360	 | Trojan.Win32.Emotet.C	 | </f>
        <v/>
      </c>
    </row>
    <row r="3552">
      <c r="A3552">
        <f>=103362	 | Trojan.Win32.StartSurf.B	 | 713615f16ec181eeb6a2052fcb3ec723</f>
        <v/>
      </c>
    </row>
    <row r="3553">
      <c r="A3553">
        <f>=103364	 | Trojan.Win64.BitCoinMiner.A	 | bf193a3b248f4f4635970a5ebe742a30</f>
        <v/>
      </c>
    </row>
    <row r="3554">
      <c r="A3554">
        <f>=103368	 | Trojan.Win32.Agent.XAANBI	 | 23f55c2f6186b229f6df647ee7ceabb7</f>
        <v/>
      </c>
    </row>
    <row r="3555">
      <c r="A3555">
        <f>=103369	 | Trojan.Win32.ShipUp.FFHV	 | 1a0f3f0ef7e5a8fe0a71f1e1459d4664</f>
        <v/>
      </c>
    </row>
    <row r="3556">
      <c r="A3556">
        <f>=103370	 | Trojan.Win64.General.A	 | 0470ce4d17fdfa9b90d482078a3696a4</f>
        <v/>
      </c>
    </row>
    <row r="3557">
      <c r="A3557">
        <f>=103372	 | Ransom.Win32.Tigger.A	 | c3ce5e8075f506e396ee601f2757a2bd</f>
        <v/>
      </c>
    </row>
    <row r="3558">
      <c r="A3558">
        <f>=103374	 | Backdoor.Win32.GreyWolf.B	 | </f>
        <v/>
      </c>
    </row>
    <row r="3559">
      <c r="A3559">
        <f>=103378	 | Trojan.Win32.Downloader.A	 | </f>
        <v/>
      </c>
    </row>
    <row r="3560">
      <c r="A3560">
        <f>=103379	 | Trojan.Win64.General.B	 | 2f234ca87983c357c82d72cdb9fba5a2</f>
        <v/>
      </c>
    </row>
    <row r="3561">
      <c r="A3561">
        <f>=103409	 | Trojan.Win32.Script_General.B	 | 82011e939cc93ef742e048e3e12b82c2</f>
        <v/>
      </c>
    </row>
    <row r="3562">
      <c r="A3562">
        <f>=103410	 | Trojan.Win32.Script_General.C	 | 1282dc8b74d1cfdf723cc248444a3c5f</f>
        <v/>
      </c>
    </row>
    <row r="3563">
      <c r="A3563">
        <f>=103411	 | Trojan.Win32.Script_General.D	 | </f>
        <v/>
      </c>
    </row>
    <row r="3564">
      <c r="A3564">
        <f>=103416	 | Backdoor.Win32.ghost.A	 | </f>
        <v/>
      </c>
    </row>
    <row r="3565">
      <c r="A3565">
        <f>=103420	 | Backdoor.Win32.ghost.E	 | 99dd93a189fd734fb00246a7a37014d3</f>
        <v/>
      </c>
    </row>
    <row r="3566">
      <c r="A3566">
        <f>=103431	 | Worm.Win32.Fearso.AJ	 | e755f913d7a574d9750f29af2f3c53de</f>
        <v/>
      </c>
    </row>
    <row r="3567">
      <c r="A3567">
        <f>=103432	 | Worm.Win32.Skybag.A	 | 9039b6444b726e1933258a6dd8466a47</f>
        <v/>
      </c>
    </row>
    <row r="3568">
      <c r="A3568">
        <f>=103433	 | Trojan.Win32.Packed.A	 | b27512cd7eebd6644752dc4a44fac3e7</f>
        <v/>
      </c>
    </row>
    <row r="3569">
      <c r="A3569">
        <f>=103434	 | Trojan.Win32.Packed.B	 | a15cd6b30646e284a74b9f8225780014</f>
        <v/>
      </c>
    </row>
    <row r="3570">
      <c r="A3570">
        <f>=103436	 | Trojan.Win32.Adond.A	 | 9113156eba5f10ef4edb7560d3da235b</f>
        <v/>
      </c>
    </row>
    <row r="3571">
      <c r="A3571">
        <f>=103437	 | Trojan.Win32.Buzus.E	 | 80f2325d9db4ef98fb9ed48e2b34c955</f>
        <v/>
      </c>
    </row>
    <row r="3572">
      <c r="A3572">
        <f>=103438	 | Trojan.Win32.Buzus.F	 | </f>
        <v/>
      </c>
    </row>
    <row r="3573">
      <c r="A3573">
        <f>=103439	 | Trojan.Win32.Buzus.C	 | </f>
        <v/>
      </c>
    </row>
    <row r="3574">
      <c r="A3574">
        <f>=103440	 | Trojan.Win32.Yakes.D	 | </f>
        <v/>
      </c>
    </row>
    <row r="3575">
      <c r="A3575">
        <f>=103441	 | Trojan.Win32.Yakes.E	 | </f>
        <v/>
      </c>
    </row>
    <row r="3576">
      <c r="A3576">
        <f>=103442	 | Trojan.Win32.Small.CWQN	 | ab859aedde7ae63a97d653a31a6d0ce8</f>
        <v/>
      </c>
    </row>
    <row r="3577">
      <c r="A3577">
        <f>=103443	 | Trojan.Win32.VB.DOSS	 | 47b102868b514f84bfa8026feeee615b</f>
        <v/>
      </c>
    </row>
    <row r="3578">
      <c r="A3578">
        <f>=103444	 | Trojan.Win32.Daws.EI	 | 74c214fe55a0959718eebc39b0af67b8</f>
        <v/>
      </c>
    </row>
    <row r="3579">
      <c r="A3579">
        <f>=103445	 | Ransom.Win32.Blocker.A	 | 0e404ace540a7a0730301c68a6aed4f7</f>
        <v/>
      </c>
    </row>
    <row r="3580">
      <c r="A3580">
        <f>=103446	 | Ransom.Win32.Blocker.B	 | a5b0a482f4948a650633d401ccfbc5e5</f>
        <v/>
      </c>
    </row>
    <row r="3581">
      <c r="A3581">
        <f>=103502	 | Ransom.Win32.GandCrab.AS	 | </f>
        <v/>
      </c>
    </row>
    <row r="3582">
      <c r="A3582">
        <f>=103503	 | Ransom.Win32.GandCrab.AT	 | </f>
        <v/>
      </c>
    </row>
    <row r="3583">
      <c r="A3583">
        <f>=103506	 | Trojan.Win32.Small.CWQO	 | </f>
        <v/>
      </c>
    </row>
    <row r="3584">
      <c r="A3584">
        <f>=103508	 | Adware.Win32.Trymedia.C	 | </f>
        <v/>
      </c>
    </row>
    <row r="3585">
      <c r="A3585">
        <f>=103509	 | Trojan.Win32.Generic.C	 | </f>
        <v/>
      </c>
    </row>
    <row r="3586">
      <c r="A3586">
        <f>=103511	 | Trojan.Win32.Fsysna.A	 | </f>
        <v/>
      </c>
    </row>
    <row r="3587">
      <c r="A3587">
        <f>=103545	 | Trojan.Win32.gandcrab.BA	 | 4005d4f312e2f8133bc11c90ca518678</f>
        <v/>
      </c>
    </row>
    <row r="3588">
      <c r="A3588">
        <f>=103547	 | Ransom.Win32.Hermes.A	 | 22DF2E6AE1B2D1500FA020D89DDE71FE</f>
        <v/>
      </c>
    </row>
    <row r="3589">
      <c r="A3589">
        <f>=103570	 | Trojan.Win32.Downloader.GFH	 | c87641a13843682ae16a5da18ffee654</f>
        <v/>
      </c>
    </row>
    <row r="3590">
      <c r="A3590">
        <f>=103572	 | Trojan.Win32.Downloader.GFJ	 | b284eed6807f41346f1e0b33945bd26b</f>
        <v/>
      </c>
    </row>
    <row r="3591">
      <c r="A3591">
        <f>=103575	 | Trojan.Win64.CoinMiner.E	 | c93cb5108a1e21e4ece7fd59afa9a51c</f>
        <v/>
      </c>
    </row>
    <row r="3592">
      <c r="A3592">
        <f>=103583	 | Trojan.Win32.Vilsel.BQ	 | 0d66c32250cbd0b6e46a5c5cabccd828</f>
        <v/>
      </c>
    </row>
    <row r="3593">
      <c r="A3593">
        <f>=103584	 | Trojan.Win32.Small.CWQP	 | 03DAD8B92433ECCCEF3DF908267DC5CA</f>
        <v/>
      </c>
    </row>
    <row r="3594">
      <c r="A3594">
        <f>=103593	 | Trojan.Win32.SRSale.A	 | 1b370a40ef34682bb8a105d429604b21</f>
        <v/>
      </c>
    </row>
    <row r="3595">
      <c r="A3595">
        <f>=103599	 | Trojan.Win32.Upatre.GELUC	 | 0A0939D5A018A6346C5DC6FC01C30CC7</f>
        <v/>
      </c>
    </row>
    <row r="3596">
      <c r="A3596">
        <f>=103665	 | Trojan.Win32.Jorik.A	 | 0E1EA182BFA0CA0B9491AA4DD0C7B3F7</f>
        <v/>
      </c>
    </row>
    <row r="3597">
      <c r="A3597">
        <f>=103666	 | Trojan.Win32.ShipUp.FFHX	 | 0AB54B333FF87B8395C971CC489600CB</f>
        <v/>
      </c>
    </row>
    <row r="3598">
      <c r="A3598">
        <f>=103667	 | Trojan.Win32.ShipUp.FFHY	 | 2A41F96F8FEC328B3C23BA1E7542BB23</f>
        <v/>
      </c>
    </row>
    <row r="3599">
      <c r="A3599">
        <f>=103668	 | Trojan.Win32.Mudrop.A	 | 0E1E793F0FB891959C248152C5C2D4D6</f>
        <v/>
      </c>
    </row>
    <row r="3600">
      <c r="A3600">
        <f>=103689	 | Trojan.Win32.ShipUp.FFIA	 | 0CB29DDE64CFE362637568467C7BBA22</f>
        <v/>
      </c>
    </row>
    <row r="3601">
      <c r="A3601">
        <f>=103690	 | Trojan.Win32.ShipUp.FFIB	 | 1A130DCC1A8A1B3641B823B0E0C9E3DF</f>
        <v/>
      </c>
    </row>
    <row r="3602">
      <c r="A3602">
        <f>=103692	 | Ransom.Win32.GandCrab.AU	 | 6DE1A307D1A95DE97B9F1D1D58BA2089</f>
        <v/>
      </c>
    </row>
    <row r="3603">
      <c r="A3603">
        <f>=103728	 | Ransom.Win32.nuclear.A	 | ab95f877d8fe99fa037a406087f9b71e</f>
        <v/>
      </c>
    </row>
    <row r="3604">
      <c r="A3604">
        <f>=103734	 | Backdoor.Win32.General.E	 | 7116def15715dd1d863298173d4d0419</f>
        <v/>
      </c>
    </row>
    <row r="3605">
      <c r="A3605">
        <f>=103735	 | Backdoor.Win32.General.F	 | 86ab85e93702ab3cb3209cb2ad30a6d6</f>
        <v/>
      </c>
    </row>
    <row r="3606">
      <c r="A3606">
        <f>=103736	 | Backdoor.Win32.General.G	 | 9ac8df9a4d647fcb4fc9888124ada050</f>
        <v/>
      </c>
    </row>
    <row r="3607">
      <c r="A3607">
        <f>=103739	 | Trojan.Win32.Autoit.GEX	 | ad547eb790b1330192467aa868f1ad3f</f>
        <v/>
      </c>
    </row>
    <row r="3608">
      <c r="A3608">
        <f>=103745	 | Trojan.Win32.CobaltStrike.A	 | b7bc1937832d0d42550179a4e43434d0</f>
        <v/>
      </c>
    </row>
    <row r="3609">
      <c r="A3609">
        <f>=103770	 | Trojan.Win32.Emotet.DBV!MTB	 | F7ED607B55CB114B324AD175F31DB0CE</f>
        <v/>
      </c>
    </row>
    <row r="3610">
      <c r="A3610">
        <f>=103771	 | Trojan.Win32.Pterodo.H	 | 14E67CB70964AE32149678FB1D00B324</f>
        <v/>
      </c>
    </row>
    <row r="3611">
      <c r="A3611">
        <f>=103790	 | Ransom.Win32.Blocker.F	 | 61abc0f9d0d508d9f7ec9d8f9f2f155d</f>
        <v/>
      </c>
    </row>
    <row r="3612">
      <c r="A3612">
        <f>=103795	 | Trojan.Win32.Bublik.BKGL	 | 107dfca7e32cbafe8c9508c5f1ab403a</f>
        <v/>
      </c>
    </row>
    <row r="3613">
      <c r="A3613">
        <f>=103798	 | Trojan.Win32.Chydo.C	 | 8cc051253d8f19f50c171731e344fca6</f>
        <v/>
      </c>
    </row>
    <row r="3614">
      <c r="A3614">
        <f>=103801	 | Trojan.Win32.Emotet.DBTUMTD	 | 3aa344db774d17bb58b0ca595cd8aeac</f>
        <v/>
      </c>
    </row>
    <row r="3615">
      <c r="A3615">
        <f>=103808	 | Trojan.Win32.ShipUp.FFID	 | 2bdf1fdade480d42a7bb333a5f575817</f>
        <v/>
      </c>
    </row>
    <row r="3616">
      <c r="A3616">
        <f>=103810	 | Trojan.Win32.Upatre.GELUE	 | 63aa150e9f99cea74b272dbdbe77efe2</f>
        <v/>
      </c>
    </row>
    <row r="3617">
      <c r="A3617">
        <f>=103815	 | Trojan.Win32.Agent.XAANBR	 | 5a7cb71b40afccdaef84bd5ad6ca8846</f>
        <v/>
      </c>
    </row>
    <row r="3618">
      <c r="A3618">
        <f>=103816	 | Trojan.Win32.BHOLamp.A	 | 37d6e68e9d59bbb01094f7ada99352f6</f>
        <v/>
      </c>
    </row>
    <row r="3619">
      <c r="A3619">
        <f>=103818	 | Trojan.Win32.Buzus.P	 | 00e253d027d840f400a46c7e286179cc</f>
        <v/>
      </c>
    </row>
    <row r="3620">
      <c r="A3620">
        <f>=103819	 | Trojan.Win32.Delf.K	 | 2b60e3ebcdae9d09169332d206480752</f>
        <v/>
      </c>
    </row>
    <row r="3621">
      <c r="A3621">
        <f>=103835	 | Trojan.Win32.Urelas.J	 | cdef7d63189112a104b56eb34a8cca8f</f>
        <v/>
      </c>
    </row>
    <row r="3622">
      <c r="A3622">
        <f>=103836	 | Trojan.Win32.CoinMiner.C	 | c3410a0d9cde57e62d0b59908a2c179d</f>
        <v/>
      </c>
    </row>
    <row r="3623">
      <c r="A3623">
        <f>=103837	 | Trojan.Win32.CoinMiner.D	 | fd3108a462d5b81ef7d60fae5cd5c5bb</f>
        <v/>
      </c>
    </row>
    <row r="3624">
      <c r="A3624">
        <f>=103838	 | Ransom.Win64.PornOAsset.A	 | 341eae5dac761e67d8e76a8f7239b4e1</f>
        <v/>
      </c>
    </row>
    <row r="3625">
      <c r="A3625">
        <f>=103839	 | Trojan.Win32.crc_1bdc.A	 | e446028a1d74ac5d653e184956498936</f>
        <v/>
      </c>
    </row>
    <row r="3626">
      <c r="A3626">
        <f>=103840	 | Ransom.Win32.Blocker.G	 | e53cb4b0b9a1ab9338ffd1a6ea3198d6</f>
        <v/>
      </c>
    </row>
    <row r="3627">
      <c r="A3627">
        <f>=103841	 | Ransom.Win32.Foreign.A	 | e42986e06dd766e6d8b8d111586c47de</f>
        <v/>
      </c>
    </row>
    <row r="3628">
      <c r="A3628">
        <f>=103842	 | Ransom.Win32.Foreign.B	 | bd28a5ede2bed68a901afea229d7affc</f>
        <v/>
      </c>
    </row>
    <row r="3629">
      <c r="A3629">
        <f>=103843	 | Ransom.Win32.GandCrab.AV	 | b1f648c2e1878939baa9e5e98fa24bda</f>
        <v/>
      </c>
    </row>
    <row r="3630">
      <c r="A3630">
        <f>=103845	 | Trojan.Win32.Banker.A	 | fd4a60f7666a445be4014a3646268496</f>
        <v/>
      </c>
    </row>
    <row r="3631">
      <c r="A3631">
        <f>=103846	 | Trojan.Win32.GandCrypt.B	 | c85184d35832301876f129fb3ad138c1</f>
        <v/>
      </c>
    </row>
    <row r="3632">
      <c r="A3632">
        <f>=103847	 | Trojan.Win64.CoinMiner.F	 | 787839723d822c157e0894431c21dc86</f>
        <v/>
      </c>
    </row>
    <row r="3633">
      <c r="A3633">
        <f>=103849	 | Ransom.Win32.GandCrab.AW	 | cc82ac709ed6df937a690a1864c2e8a5</f>
        <v/>
      </c>
    </row>
    <row r="3634">
      <c r="A3634">
        <f>=103850	 | Trojan.Win32.Crc36c0.A	 | 4d0e19b6db8d74e533cb1236681522b2</f>
        <v/>
      </c>
    </row>
    <row r="3635">
      <c r="A3635">
        <f>=103851	 | Ransom.Win32.Makop.B	 | f1189a0885d4a7146484d30ccf81d608</f>
        <v/>
      </c>
    </row>
    <row r="3636">
      <c r="A3636">
        <f>=103852	 | Ransom.Win32.Makop.A	 | edcefd70f93bf00849e336ea13a258f7</f>
        <v/>
      </c>
    </row>
    <row r="3637">
      <c r="A3637">
        <f>=103855	 | Trojan.Win32.Bublik.BKGM	 | 0d8ba9bc90d82e5cd85616d64a91f9a4</f>
        <v/>
      </c>
    </row>
    <row r="3638">
      <c r="A3638">
        <f>=103856	 | Trojan.Win32.Delf.L	 | 83be4c9f36c916344e9ded34665cee3a</f>
        <v/>
      </c>
    </row>
    <row r="3639">
      <c r="A3639">
        <f>=103857	 | Trojan.Win32.Vilsel.BS	 | 6acd46f1428ff9349113350570dd6b7c</f>
        <v/>
      </c>
    </row>
    <row r="3640">
      <c r="A3640">
        <f>=103866	 | Trojan.Win32.Bublik.BKGN	 | 2ed5b61ab2ebb06ff04a97dc4ee4c2e7</f>
        <v/>
      </c>
    </row>
    <row r="3641">
      <c r="A3641">
        <f>=103869	 | Trojan.Win32.Scar.OJNO	 | 7e253a6ead8667914ebd0a0eda2ad5b8</f>
        <v/>
      </c>
    </row>
    <row r="3642">
      <c r="A3642">
        <f>=103870	 | Trojan.Win32.ShipUp.FFIG	 | 0b8d45e1ac65d4ea1a241b36309c7e8c</f>
        <v/>
      </c>
    </row>
    <row r="3643">
      <c r="A3643">
        <f>=103871	 | Trojan.Win32.ShipUp.FFIH	 | 66369936e8cfe96c762f62941f3cef0a</f>
        <v/>
      </c>
    </row>
    <row r="3644">
      <c r="A3644">
        <f>=103872	 | Trojan.Win32.ShipUp.FFII	 | 4c2fe9803e5c70a24779218d97c4c594</f>
        <v/>
      </c>
    </row>
    <row r="3645">
      <c r="A3645">
        <f>=103873	 | Trojan.Win32.SuperThreat.C	 | 0b0ed880f0c954c508e5a74a79c107c0</f>
        <v/>
      </c>
    </row>
    <row r="3646">
      <c r="A3646">
        <f>=103874	 | Trojan.Win32.Upatre.GELUF	 | 1f6a7a086f01e13eed40f6a64bf11a53</f>
        <v/>
      </c>
    </row>
    <row r="3647">
      <c r="A3647">
        <f>=103875	 | Trojan.Win32.Zbot.TBTO	 | 15e50cbd65a1f32bb20316faec579abe</f>
        <v/>
      </c>
    </row>
    <row r="3648">
      <c r="A3648">
        <f>=103876	 | Ransom.Win32.Gandcrab.AX	 | fa0cccb129a1c99c45d9de933edcc3e3</f>
        <v/>
      </c>
    </row>
    <row r="3649">
      <c r="A3649">
        <f>=103877	 | Trojan.Win32.CoinMiner.G	 | e627af65ba5114b81bf840f9752eea55</f>
        <v/>
      </c>
    </row>
    <row r="3650">
      <c r="A3650">
        <f>=103878	 | Ransom.Win32.GandCrypt.A	 | bdd8275b078402f40868034dcf2fc381</f>
        <v/>
      </c>
    </row>
    <row r="3651">
      <c r="A3651">
        <f>=103879	 | Ransom.Win64.Crypmodadv.A	 | e6508328250a3e656d971af6c99d8520</f>
        <v/>
      </c>
    </row>
    <row r="3652">
      <c r="A3652">
        <f>=103880	 | Ransom.Win32.GandCrab.AY	 | feb595d6e139a249937791f0fd47cb50</f>
        <v/>
      </c>
    </row>
    <row r="3653">
      <c r="A3653">
        <f>=103881	 | Trojan.Win32.GandCrypt.C	 | fbc96d876aaf6afa8f09e4c377b3b916</f>
        <v/>
      </c>
    </row>
    <row r="3654">
      <c r="A3654">
        <f>=103882	 | Ransom.Win32.GandCrab.BA	 | e3d295803b5555b5c1eed09229167be8</f>
        <v/>
      </c>
    </row>
    <row r="3655">
      <c r="A3655">
        <f>=103883	 | Trojan.Win32.GandCrypt.D	 | e978f469db837859c31ad71d5f9dfd07</f>
        <v/>
      </c>
    </row>
    <row r="3656">
      <c r="A3656">
        <f>=103885	 | Trojan.Win32.General.A	 | f721ad77dfac6e8b9158ebd2baee5bcd</f>
        <v/>
      </c>
    </row>
    <row r="3657">
      <c r="A3657">
        <f>=103886	 | Trojan.Win64.BitCoinminer.B	 | d8fbb557ddd9d464c9e6dc610ffd41c8</f>
        <v/>
      </c>
    </row>
    <row r="3658">
      <c r="A3658">
        <f>=103887	 | Trojan.Win64.BitCoinminer.C	 | f54bef38483c84e6fb71debae824c04a</f>
        <v/>
      </c>
    </row>
    <row r="3659">
      <c r="A3659">
        <f>=103893	 | Trojan.Win32.Bublik.BKGO	 | 69bb92c6c801983070d5db5966b82f4a</f>
        <v/>
      </c>
    </row>
    <row r="3660">
      <c r="A3660">
        <f>=103895	 | Trojan.Win32.Magania.AL	 | 0e83bfa17e33f7f3f01586e428027830</f>
        <v/>
      </c>
    </row>
    <row r="3661">
      <c r="A3661">
        <f>=103896	 | Trojan.Win32.Danseed.A	 | 1bd6147972e1503bc9c8ab6737ba5693</f>
        <v/>
      </c>
    </row>
    <row r="3662">
      <c r="A3662">
        <f>=103937	 | Ransom.Win32.Vhd.A	 | 9bfd0f1a3f504a9254d2b7caf6c9ec8d</f>
        <v/>
      </c>
    </row>
    <row r="3663">
      <c r="A3663">
        <f>=103939	 | Trojan.Win32.Buzus.Q	 | 0a6be54371b743abc9b59388da4b85f7</f>
        <v/>
      </c>
    </row>
    <row r="3664">
      <c r="A3664">
        <f>=103940	 | Trojan.Win32.Buzus.R	 | 3fd6b355906b6ac2496c12dc84bf4f46</f>
        <v/>
      </c>
    </row>
    <row r="3665">
      <c r="A3665">
        <f>=103941	 | Ransom.Win32.Phobos.D	 | 8a36e365fd68f3faf5ee176b58e6f79b</f>
        <v/>
      </c>
    </row>
    <row r="3666">
      <c r="A3666">
        <f>=103942	 | Ransom.Win32.Phobos.E	 | c2bc5ece619e27e44162bcbd6a0f6511</f>
        <v/>
      </c>
    </row>
    <row r="3667">
      <c r="A3667">
        <f>=103943	 | Ransom.Win32.Phobos.F	 | f8e093f06eea9acb7bd6961533569720</f>
        <v/>
      </c>
    </row>
    <row r="3668">
      <c r="A3668">
        <f>=103946	 | Trojan.Win32.CoinMiner.H	 | daa1dc4aa5d91ef3fa200b589049007a</f>
        <v/>
      </c>
    </row>
    <row r="3669">
      <c r="A3669">
        <f>=103948	 | Trojan.Win32.Ramit.C	 | f14941e25795b8c9acd9ac12a393037d</f>
        <v/>
      </c>
    </row>
    <row r="3670">
      <c r="A3670">
        <f>=103950	 | Trojan.Win32.Blocker.C	 | e8c62c4eba541d297724c76ffe5340f5</f>
        <v/>
      </c>
    </row>
    <row r="3671">
      <c r="A3671">
        <f>=103951	 | Trojan.Win64.CoinMiner.G	 | a8903cc76327485e5c8660f88b55728e</f>
        <v/>
      </c>
    </row>
    <row r="3672">
      <c r="A3672">
        <f>=103953	 | Ransom.Win32.GandCrab.BB	 | fb32f3a0b3c6a3394b21be8b0508ef63</f>
        <v/>
      </c>
    </row>
    <row r="3673">
      <c r="A3673">
        <f>=103954	 | Worm.Win32.Morto.C	 | 8f1adc315b1f8b1e656b80f499505203</f>
        <v/>
      </c>
    </row>
    <row r="3674">
      <c r="A3674">
        <f>=103956	 | Ransom.Win32.Horseleader.B	 | 337cdd6d89e93362c8223fb8810dec2c</f>
        <v/>
      </c>
    </row>
    <row r="3675">
      <c r="A3675">
        <f>=103957	 | Ransom.Win64.Bugo.B	 | DD3F0BD96B1982BB57542F02695EC257</f>
        <v/>
      </c>
    </row>
    <row r="3676">
      <c r="A3676">
        <f>=103969	 | Trojan.Win32.Bublik.BKGP	 | 89a189fa1f08164b8485f771c924e101</f>
        <v/>
      </c>
    </row>
    <row r="3677">
      <c r="A3677">
        <f>=103970	 | Trojan.Win32.Bublik.BKGQ	 | 82943feea5efc7d08b53304809601f08</f>
        <v/>
      </c>
    </row>
    <row r="3678">
      <c r="A3678">
        <f>=103972	 | Trojan.Win32.Inject.GELUG	 | 6631c203bfbc7bb6bc917085e943a284</f>
        <v/>
      </c>
    </row>
    <row r="3679">
      <c r="A3679">
        <f>=103977	 | Trojan.Win32.LdPinch.A	 | 89c43136bf2848ec31b395084d2167aa</f>
        <v/>
      </c>
    </row>
    <row r="3680">
      <c r="A3680">
        <f>=103995	 | Trojan.Win32.Delf.M	 | 9891a9702cb9f6cf96141bb635191c73</f>
        <v/>
      </c>
    </row>
    <row r="3681">
      <c r="A3681">
        <f>=103997	 | Trojan.Win32.Patched.B	 | 4960c3c7987249a5427e9b2a2f657670</f>
        <v/>
      </c>
    </row>
    <row r="3682">
      <c r="A3682">
        <f>=103998	 | Trojan.Win32.Reconyc.FXMT	 | e349752c426e2294cb104d1c48beb1da</f>
        <v/>
      </c>
    </row>
    <row r="3683">
      <c r="A3683">
        <f>=104002	 | Backdoor.Win32.Farfli.B	 | 28f1dcd598cf2dacfa40c4f0ca000f25</f>
        <v/>
      </c>
    </row>
    <row r="3684">
      <c r="A3684">
        <f>=104009	 | Trojan.Win32.Gozi.B	 | b20f5952806da43dd13591a0e7f5c8c7</f>
        <v/>
      </c>
    </row>
    <row r="3685">
      <c r="A3685">
        <f>=104010	 | Trojan.Win32.Agent.XAANBW	 | 32ef81bf6ceae116bc6953efc5f49cc8</f>
        <v/>
      </c>
    </row>
    <row r="3686">
      <c r="A3686">
        <f>=104021	 | Backdoor.Win32.Plite.BHUX	 | 9d3ed149f4bce6c7aa18c9be07a80424</f>
        <v/>
      </c>
    </row>
    <row r="3687">
      <c r="A3687">
        <f>=104022	 | Backdoor.Win32.Plite.BHUY	 | 870be2de5b10e9f255ba4de9ec88d2b8</f>
        <v/>
      </c>
    </row>
    <row r="3688">
      <c r="A3688">
        <f>=104023	 | Trojan.Win32.Agent.XAANBX	 | 965e05bdb1bdb9d7c8b43baa092e8f6a</f>
        <v/>
      </c>
    </row>
    <row r="3689">
      <c r="A3689">
        <f>=104026	 | Trojan.Win32.Upatre.GELUH	 | 6859cee5d1b2ab3dbe2575f622f2d63b</f>
        <v/>
      </c>
    </row>
    <row r="3690">
      <c r="A3690">
        <f>=104028	 | Adware.Win32.CrossRider.A	 | 0c7f79a0d0185bb3ad57aeea68a085a1</f>
        <v/>
      </c>
    </row>
    <row r="3691">
      <c r="A3691">
        <f>=104030	 | Hackertool.Win32.CoinMiner.A	 | f4d5be4233b4736dac2afda6da4846d1</f>
        <v/>
      </c>
    </row>
    <row r="3692">
      <c r="A3692">
        <f>=104032	 | Trojan.Win32.Agent.XAANCA	 | 5b198576459849fe0e6cb9bda8e5cb3d</f>
        <v/>
      </c>
    </row>
    <row r="3693">
      <c r="A3693">
        <f>=104039	 | Backdoor.Win32.Hupigon.UAFU	 | d718d15c924d56589192f76c8575fc27</f>
        <v/>
      </c>
    </row>
    <row r="3694">
      <c r="A3694">
        <f>=104040	 | Backdoor.Win32.Plite.BHVA	 | 66a42b3abf84e399339f9184d093843b</f>
        <v/>
      </c>
    </row>
    <row r="3695">
      <c r="A3695">
        <f>=104041	 | Backdoor.Win32.Plite.BHVB	 | def5bd907e783d8897788b212368eb80</f>
        <v/>
      </c>
    </row>
    <row r="3696">
      <c r="A3696">
        <f>=104042	 | Trojan.Win32.Scar.OJNP	 | e7b625904516f9637587112206631826</f>
        <v/>
      </c>
    </row>
    <row r="3697">
      <c r="A3697">
        <f>=104043	 | Trojan.Win32.Upatre.GELUI	 | cd0b96c92ae47a7b262ccc099b472954</f>
        <v/>
      </c>
    </row>
    <row r="3698">
      <c r="A3698">
        <f>=104044	 | Trojan.Win32.Banbra.C	 | 5acc569653a13e87122a24dd01ed4877</f>
        <v/>
      </c>
    </row>
    <row r="3699">
      <c r="A3699">
        <f>=104045	 | Trojan.Win32.CoinMiner.J	 | fb0198eb0697c510b48a151a1f86b900</f>
        <v/>
      </c>
    </row>
    <row r="3700">
      <c r="A3700">
        <f>=104047	 | Trojan.Win32.Injector.GELUG	 | f8b22324071e6614e6e6108e99545b35</f>
        <v/>
      </c>
    </row>
    <row r="3701">
      <c r="A3701">
        <f>=104056	 | Hackertool.Win32.AutoKMS.A	 | fa99d89f0c747ba5122383fed0489ac0</f>
        <v/>
      </c>
    </row>
    <row r="3702">
      <c r="A3702">
        <f>=104061	 | Trojan.Win64.Generic.A	 | fefbe8a3bdfc191196c4c73a41858865</f>
        <v/>
      </c>
    </row>
    <row r="3703">
      <c r="A3703">
        <f>=104062	 | Worm.Win32.Mira.G	 | 90006c1d0d875022f73311ec949b8ab2</f>
        <v/>
      </c>
    </row>
    <row r="3704">
      <c r="A3704">
        <f>=104063	 | Worm.Win32.Picsys.H	 | fc8a74fdd29a3cedc09fff7caf4d5597</f>
        <v/>
      </c>
    </row>
    <row r="3705">
      <c r="A3705">
        <f>=104071	 | Backdoor.Win32.General.H	 | 967FCF185634DEF5177F74B0F703BDC0</f>
        <v/>
      </c>
    </row>
    <row r="3706">
      <c r="A3706">
        <f>=104072	 | Trojan.Win32.General.B	 | c682d295b524fede3979383d75e522d8</f>
        <v/>
      </c>
    </row>
    <row r="3707">
      <c r="A3707">
        <f>=104079	 | Backdoor.Win32.Androm.GEO	 | e51ceab7ef88d865b3ed18dc71768ba5</f>
        <v/>
      </c>
    </row>
    <row r="3708">
      <c r="A3708">
        <f>=104081	 | Trojan.Win32.Small.CWQU	 | b624b9e4616037d7f881527c8435f567</f>
        <v/>
      </c>
    </row>
    <row r="3709">
      <c r="A3709">
        <f>=104086	 | Trojan.Win32.Magania.AM	 | c4a692ad7f4169bc672a5faf44d7626a</f>
        <v/>
      </c>
    </row>
    <row r="3710">
      <c r="A3710">
        <f>=104089	 | Trojan.Win32.Adload.U	 | fed5d3e645233041915207060b76aa32</f>
        <v/>
      </c>
    </row>
    <row r="3711">
      <c r="A3711">
        <f>=104090	 | Trojan.Win32.Dorv.A	 | ea0dcee7afec5240141a49e8066df73a</f>
        <v/>
      </c>
    </row>
    <row r="3712">
      <c r="A3712">
        <f>=104092	 | Trojan.Win32.Zenpak.C	 | fdf003472228a62173359418464f9dfe</f>
        <v/>
      </c>
    </row>
    <row r="3713">
      <c r="A3713">
        <f>=104093	 | Trojan.Win32.Zenpak.D	 | 1cfca8d0410c33edec8ce3d1b2d38050</f>
        <v/>
      </c>
    </row>
    <row r="3714">
      <c r="A3714">
        <f>=104112	 | Trojan.Win32.Fosniw.B	 | e87b15bd7fa52c699c007111a94ea269</f>
        <v/>
      </c>
    </row>
    <row r="3715">
      <c r="A3715">
        <f>=104113	 | Trojan.Win32.Fosniw.C	 | e4f9f3c05c598f8f8d4053dbb6e487f7</f>
        <v/>
      </c>
    </row>
    <row r="3716">
      <c r="A3716">
        <f>=104114	 | Trojan.Win32.Musecador.A	 | f7b6258ef3cda2b4ab7ca88d894a9ad7</f>
        <v/>
      </c>
    </row>
    <row r="3717">
      <c r="A3717">
        <f>=104115	 | Trojan.Win32.Nitol.B	 | e8c30b44937f203dcd1944051e192c71</f>
        <v/>
      </c>
    </row>
    <row r="3718">
      <c r="A3718">
        <f>=104116	 | Trojan.Win32.Upatre.GELUM	 | fdcf56436dbb7b2a1255a9fa2e6b5245</f>
        <v/>
      </c>
    </row>
    <row r="3719">
      <c r="A3719">
        <f>=104119	 | Trojan.Win32.Upatre.GELUN	 | fb36e4f11bd1c99daa3bfcbcf143084c</f>
        <v/>
      </c>
    </row>
    <row r="3720">
      <c r="A3720">
        <f>=104121	 | Trojan.Win32.Upatre.GELUP	 | fc8fb33bdc5ac37fbf63a09cf418b828</f>
        <v/>
      </c>
    </row>
    <row r="3721">
      <c r="A3721">
        <f>=104124	 | Trojan.Win32.Urelas.M	 | 8c60d1770623cae1aabd342b602ddbe3</f>
        <v/>
      </c>
    </row>
    <row r="3722">
      <c r="A3722">
        <f>=104126	 | Trojan.Win32.Asacky.A	 | 0c44341a3ac1001428249e4f69c742fa</f>
        <v/>
      </c>
    </row>
    <row r="3723">
      <c r="A3723">
        <f>=104153	 | Trojan.Win32.Ulise.A	 | e2b0d50d56942d02ca667eea20f9b6dc</f>
        <v/>
      </c>
    </row>
    <row r="3724">
      <c r="A3724">
        <f>=104159	 | Trojan.Win32.Gepys.U	 | 1e50fe9e25632bb0f9020d41089ae6d1</f>
        <v/>
      </c>
    </row>
    <row r="3725">
      <c r="A3725">
        <f>=104160	 | Trojan.Win32.Gepys.V	 | 02d5bb697451424ccb23c5c9ce348b28</f>
        <v/>
      </c>
    </row>
    <row r="3726">
      <c r="A3726">
        <f>=104161	 | Ransom.Win32.Crysis.A	 | 197d2f901123f432e5f8a81944d80db4</f>
        <v/>
      </c>
    </row>
    <row r="3727">
      <c r="A3727">
        <f>=104162	 | Ransom.Win32.Crysis.B	 | 954dbbfda186c94736b4fe6394409949</f>
        <v/>
      </c>
    </row>
    <row r="3728">
      <c r="A3728">
        <f>=104163	 | Ransom.Win32.Crysis.C	 | ffa3e5567264f98110d7715fe4006d25</f>
        <v/>
      </c>
    </row>
    <row r="3729">
      <c r="A3729">
        <f>=104175	 | Trojan.Win32.Generic.G	 | 0bac251902c8d96b4e28a00476cd0ced</f>
        <v/>
      </c>
    </row>
    <row r="3730">
      <c r="A3730">
        <f>=104185	 | Adware.Win32.DownloadSponsor.C	 | 004e5aa4a6c90d71353929910400e255</f>
        <v/>
      </c>
    </row>
    <row r="3731">
      <c r="A3731">
        <f>=104975	 | Adware.Win32.Adposhel.K	 | 0a5bf7984317d2aefb2da3a1d07ca64d</f>
        <v/>
      </c>
    </row>
    <row r="3732">
      <c r="A3732">
        <f>=104977	 | Trojan.Win32.Generic.I	 | 1a3fa25a1dba65cd56d2a042b32890ce</f>
        <v/>
      </c>
    </row>
    <row r="3733">
      <c r="A3733">
        <f>=104978	 | Adware.Win32.SoftwareBundler.A	 | 566135069d19e09f5daf3ab4cada3ab8</f>
        <v/>
      </c>
    </row>
    <row r="3734">
      <c r="A3734">
        <f>=104985	 | Adware.Win32.Dartsmound.A	 | 352fa8903b55b0ab636667c1feb9a050</f>
        <v/>
      </c>
    </row>
    <row r="3735">
      <c r="A3735">
        <f>=104987	 | Adware.Win32.FileTour.B	 | 058267f44600b3dd6fb4d567bfcbb4f7</f>
        <v/>
      </c>
    </row>
    <row r="3736">
      <c r="A3736">
        <f>=104993	 | Adware.Win32.Clean.B	 | c004127566a53c1f97c784cd4d0d27a1</f>
        <v/>
      </c>
    </row>
    <row r="3737">
      <c r="A3737">
        <f>=104995	 | Adware.Win32.SoftwareBundler.B	 | 4ad11100b1695d80d5213ac4445e30fb</f>
        <v/>
      </c>
    </row>
    <row r="3738">
      <c r="A3738">
        <f>=104996	 | Trojan.Win32.Wacatac.A	 | 0d390516acf23d386bb6918905fd5a6a</f>
        <v/>
      </c>
    </row>
    <row r="3739">
      <c r="A3739">
        <f>=104998	 | Trojan.Win32.Upatre.GELUR	 | 792da3c990712e122b9b2e71e789ab22</f>
        <v/>
      </c>
    </row>
    <row r="3740">
      <c r="A3740">
        <f>=104999	 | Trojan.Win32.SmaCod.A	 | 762252900510fd88f290b833b8cafe49</f>
        <v/>
      </c>
    </row>
    <row r="3741">
      <c r="A3741">
        <f>=105000	 | Trojan.Win32.Wacatac.D	 | 0d390516acf23d386bb6918905fd5a6a</f>
        <v/>
      </c>
    </row>
    <row r="3742">
      <c r="A3742">
        <f>=105002	 | Trojan.Win32.Generic.K	 | 00d3d53e32fc9beec2c6fe8827557ca8</f>
        <v/>
      </c>
    </row>
    <row r="3743">
      <c r="A3743">
        <f>=105003	 | Ransom.Win32.Ergop.A	 | 3af2e34e2b5e3632c0c99de82ac5a6e4</f>
        <v/>
      </c>
    </row>
    <row r="3744">
      <c r="A3744">
        <f>=105004	 | Ransom.Win32.Maoloa.A	 | 927496ccf3dc88b65c864d3e8d28c248</f>
        <v/>
      </c>
    </row>
    <row r="3745">
      <c r="A3745">
        <f>=105005	 | Ransom.Win32.Purgen.A	 | 97f27561bb754a980092ee052da3802d</f>
        <v/>
      </c>
    </row>
    <row r="3746">
      <c r="A3746">
        <f>=105010	 | Trojan.Win32.Alinaos.A	 | FC77954B2588654A76E1F4A308719A0B</f>
        <v/>
      </c>
    </row>
    <row r="3747">
      <c r="A3747">
        <f>=105012	 | Trojan.Win32.Generic.L	 | 0b2eb6255e58a8fc0205825d90ec7f34</f>
        <v/>
      </c>
    </row>
    <row r="3748">
      <c r="A3748">
        <f>=105013	 | Trojan.Win32.Generic.M	 | 000ee61810e2e0fd41b7566f722c09da</f>
        <v/>
      </c>
    </row>
    <row r="3749">
      <c r="A3749">
        <f>=105014	 | Backdoor.Win32.Generic.A	 | df80db45b12e9f94732e044a0c0136ad</f>
        <v/>
      </c>
    </row>
    <row r="3750">
      <c r="A3750">
        <f>=105018	 | Trojan.Win32.Skeeyah.B	 | 0b4ca846af98a36efdb71d93805b625f</f>
        <v/>
      </c>
    </row>
    <row r="3751">
      <c r="A3751">
        <f>=105019	 | Backdoor.Win32.IRCbot.G	 | AA4D6B0BFB9D5ED0F21186B0BDFC6601</f>
        <v/>
      </c>
    </row>
    <row r="3752">
      <c r="A3752">
        <f>=105021	 | Trojan.Win32.Qbot.B	 | 35903b4a06c4aaf53bf533d21b3b70e2</f>
        <v/>
      </c>
    </row>
    <row r="3753">
      <c r="A3753">
        <f>=105023	 | Adware.Win32.VKDJ.B	 | 2a627a8085e8e5752459e173e05e0ef7</f>
        <v/>
      </c>
    </row>
    <row r="3754">
      <c r="A3754">
        <f>=105024	 | Trojan.Win32.Generic.N	 | 5c7651f6a7c91880aa635a1e1d669704</f>
        <v/>
      </c>
    </row>
    <row r="3755">
      <c r="A3755">
        <f>=105025	 | Trojan.Win32.Generic.O	 | ffe01ee93d910cc0f1a58eeeeeb2bf29</f>
        <v/>
      </c>
    </row>
    <row r="3756">
      <c r="A3756">
        <f>=105026	 | Trojan.Win32.Zenpak.E	 | 85d231d1dfa1c22dab1a2463c2578fca</f>
        <v/>
      </c>
    </row>
    <row r="3757">
      <c r="A3757">
        <f>=105029	 | Trojan.Win64.Generic.B	 | 1a04f968d0aa2564635d692aaa57ba8a</f>
        <v/>
      </c>
    </row>
    <row r="3758">
      <c r="A3758">
        <f>=105030	 | Ransom.Win32.Filecoder.A	 | 28991de4ef6d97b324503991adb6bc0b</f>
        <v/>
      </c>
    </row>
    <row r="3759">
      <c r="A3759">
        <f>=105091	 | Trojan.Win32.Generic.Q	 | 067c0cff2c970d8798c89fcf91379778</f>
        <v/>
      </c>
    </row>
    <row r="3760">
      <c r="A3760">
        <f>=105092	 | Trojan.Win32.Qbot.C	 | 07446e279888e8272e4ddac730ea2524</f>
        <v/>
      </c>
    </row>
    <row r="3761">
      <c r="A3761">
        <f>=105093	 | Trojan.Win32.Dartsmound.A	 | 4c1460f40941b852869cc7464a4c3c61</f>
        <v/>
      </c>
    </row>
    <row r="3762">
      <c r="A3762">
        <f>=105096	 | VirTool.Win32.AutInject.C	 | 8fcdb34511b93fa9434202fd40aae96a</f>
        <v/>
      </c>
    </row>
    <row r="3763">
      <c r="A3763">
        <f>=105101	 | Ransom.Win32.Cerber.N	 | c8f4bab81894150787114bd7acb8b7f3</f>
        <v/>
      </c>
    </row>
    <row r="3764">
      <c r="A3764">
        <f>=105106	 | Ransom.Win32.Lukitus.A	 | 09d9b98e7a52bff3a4199be36341424f</f>
        <v/>
      </c>
    </row>
    <row r="3765">
      <c r="A3765">
        <f>=105107	 | Ransom.Win32.Cerber.A	 | efac2c00b3d352ccd41948ff29406811</f>
        <v/>
      </c>
    </row>
    <row r="3766">
      <c r="A3766">
        <f>=105118	 | Trojan.Win32.Qbot.D	 | 0d4a24c1b785dbb1c888b69591347268</f>
        <v/>
      </c>
    </row>
    <row r="3767">
      <c r="A3767">
        <f>=105133	 | Trojan.Win32.Siscos.A	 | 8856b6726c4d090ca8ef118ff42a6aef</f>
        <v/>
      </c>
    </row>
    <row r="3768">
      <c r="A3768">
        <f>=105134	 | Trojan.Win32.Vilsel.BT	 | 0320d1320092243c04cedaff6b6d70bd</f>
        <v/>
      </c>
    </row>
    <row r="3769">
      <c r="A3769">
        <f>=105135	 | Trojan.Win32.Vilsel.BU	 | 00145f1650d1f6308726af0ddb13aec3</f>
        <v/>
      </c>
    </row>
    <row r="3770">
      <c r="A3770">
        <f>=105141	 | Trojan.Win32.Siscos.B	 | 13A9799E4991DB0C070660EB9E9F32EB</f>
        <v/>
      </c>
    </row>
    <row r="3771">
      <c r="A3771">
        <f>=105142	 | Trojan.Win32.NoSpace.A	 | e84e704a37aa5e6551a3b5fe7bdd226d</f>
        <v/>
      </c>
    </row>
    <row r="3772">
      <c r="A3772">
        <f>=105143	 | Trojan.Win32.KeyBoy.A	 | 907332f3ef48e78da851f8adcc0dd92a</f>
        <v/>
      </c>
    </row>
    <row r="3773">
      <c r="A3773">
        <f>=105144	 | Trojan.Win32.Netlog.A	 | ffd737fb96e8cf7fddbefc14c2b23558</f>
        <v/>
      </c>
    </row>
    <row r="3774">
      <c r="A3774">
        <f>=105145	 | Trojan.Win32.Pakes.B	 | 6b5735a5edf074e00910cbc6137a3953</f>
        <v/>
      </c>
    </row>
    <row r="3775">
      <c r="A3775">
        <f>=105159	 | Trojan.Win32.Pakes.C	 | 6b5735a5edf074e00910cbc6137a3953</f>
        <v/>
      </c>
    </row>
    <row r="3776">
      <c r="A3776">
        <f>=105165	 | Trojan.Win32.Agent.XAANCJ	 | 9805c1289ce48e2a5a320224056fb703</f>
        <v/>
      </c>
    </row>
    <row r="3777">
      <c r="A3777">
        <f>=105166	 | Trojan.Win32.Agent.XAANCK	 | 71440a897e30f221cbd41aa83cfa9313</f>
        <v/>
      </c>
    </row>
    <row r="3778">
      <c r="A3778">
        <f>=105167	 | Trojan.Win32.Cabby.A	 | 91a6c30454e1cf127d07fe5d8a206c7b</f>
        <v/>
      </c>
    </row>
    <row r="3779">
      <c r="A3779">
        <f>=105168	 | Trojan.Win32.Delf.O	 | b5b67c2366bd4129ac3fd6bc06f9cf29</f>
        <v/>
      </c>
    </row>
    <row r="3780">
      <c r="A3780">
        <f>=105169	 | Trojan.Win32.Delf.P	 | ac35bfc138082107f5ca94344ce4fc02</f>
        <v/>
      </c>
    </row>
    <row r="3781">
      <c r="A3781">
        <f>=105170	 | Trojan.Win32.Murlo.A	 | f053f34368d82590ed0276b8afe4c546</f>
        <v/>
      </c>
    </row>
    <row r="3782">
      <c r="A3782">
        <f>=105171	 | Trojan.Win32.MBRKill.A	 | 0A8032CD6B4A710B1771A080FA09FB87</f>
        <v/>
      </c>
    </row>
    <row r="3783">
      <c r="A3783">
        <f>=105172	 | Backdoor.Win32.PcClient.A	 | 680C79373F0E2FCEDB30CDAB0EF77022</f>
        <v/>
      </c>
    </row>
    <row r="3784">
      <c r="A3784">
        <f>=105173	 | Hackertool.Win32.XPCSpyPro.A	 | d170846cdc9c8c729d925476ad0719a3</f>
        <v/>
      </c>
    </row>
    <row r="3785">
      <c r="A3785">
        <f>=105174	 | Trojan.Win32.PackerMystic.A	 | 6004d1d4074cab0235b9363a976e12bb</f>
        <v/>
      </c>
    </row>
    <row r="3786">
      <c r="A3786">
        <f>=105175	 | Trojan.Win32.Agent.XAANCL	 | 41ebc82f9ac68ce6b86226dec6424cf3</f>
        <v/>
      </c>
    </row>
    <row r="3787">
      <c r="A3787">
        <f>=105176	 | Trojan.Win32.Agent.XAANCM	 | 45a9a1ce876303d653e6361afae27ddb</f>
        <v/>
      </c>
    </row>
    <row r="3788">
      <c r="A3788">
        <f>=105177	 | Trojan.Win32.Agent.XAANCN	 | f1d0fb1385d89d05283bbfd7dbe756cd</f>
        <v/>
      </c>
    </row>
    <row r="3789">
      <c r="A3789">
        <f>=105178	 | Backdoor.Win32.Siluhdur.A	 | 069DA8623926080445507F45E9084CD7</f>
        <v/>
      </c>
    </row>
    <row r="3790">
      <c r="A3790">
        <f>=105179	 | Trojan.Win32.Bublik.BKGS	 | 782cddc8e9c8b528778c1b642b5db3cf</f>
        <v/>
      </c>
    </row>
    <row r="3791">
      <c r="A3791">
        <f>=105180	 | Trojan.Win32.DesktopPuzzle.A	 | e27e8287917a663b89681fbb7bccfc95</f>
        <v/>
      </c>
    </row>
    <row r="3792">
      <c r="A3792">
        <f>=105181	 | Trojan.Win32.Inject.GELUH	 | 249a6a1572eeb06f26a6b57d838760d1</f>
        <v/>
      </c>
    </row>
    <row r="3793">
      <c r="A3793">
        <f>=105182	 | Trojan.Win32.Vobfus.E	 | 0088ae61363f88baed8ab004fec55767</f>
        <v/>
      </c>
    </row>
    <row r="3794">
      <c r="A3794">
        <f>=105183	 | Hackertool.Win32.ZXProxy.A	 | D2BE29A66AF2871F862233F3551B81EE</f>
        <v/>
      </c>
    </row>
    <row r="3795">
      <c r="A3795">
        <f>=105184	 | Trojan.Win32.PackerNSAnti.A	 | 157cf099f44362eb6a89a7f84d54cd59</f>
        <v/>
      </c>
    </row>
    <row r="3796">
      <c r="A3796">
        <f>=105185	 | Trojan.Win32.PackerNSAnti.B	 | 48edf03505fe2b5dfa5e5ff57679087d</f>
        <v/>
      </c>
    </row>
    <row r="3797">
      <c r="A3797">
        <f>=105187	 | Trojan.Win32.PackerNSAnti.C	 | 955B398A5821396AA64045E758102295</f>
        <v/>
      </c>
    </row>
    <row r="3798">
      <c r="A3798">
        <f>=105188	 | Trojan.Win32.PackerNSAnti.D	 | 4D84129D428ED9C09EF3E11AE1E3DE3E</f>
        <v/>
      </c>
    </row>
    <row r="3799">
      <c r="A3799">
        <f>=105189	 | Trojan.Win32.PackerNSAnti.E	 | 955B398A5821396AA64045E758102295</f>
        <v/>
      </c>
    </row>
    <row r="3800">
      <c r="A3800">
        <f>=105190	 | Trojan.Win32.PackerNSAnti.F	 | 157cf099f44362eb6a89a7f84d54cd59</f>
        <v/>
      </c>
    </row>
    <row r="3801">
      <c r="A3801">
        <f>=105191	 | Trojan.Win32.PackerNSAnti.G	 | 02d4816308da707605e66dad652efa6e</f>
        <v/>
      </c>
    </row>
    <row r="3802">
      <c r="A3802">
        <f>=105192	 | Trojan.Win32.PackerNSAnti.H	 | 48267a335356f3caac1d3910de540020</f>
        <v/>
      </c>
    </row>
    <row r="3803">
      <c r="A3803">
        <f>=105194	 | Trojan.Win32.PackerMM520.A	 | EDE74913B214671FB66D2B75DC482608</f>
        <v/>
      </c>
    </row>
    <row r="3804">
      <c r="A3804">
        <f>=105198	 | Trojan.Win32.Small.CWQV	 | 606c69d5a74bf4a8e096b542fa25966f</f>
        <v/>
      </c>
    </row>
    <row r="3805">
      <c r="A3805">
        <f>=105199	 | Trojan.Win32.Tiny.A	 | 163ae08aee46eb81b4b140f79ddfeadc</f>
        <v/>
      </c>
    </row>
    <row r="3806">
      <c r="A3806">
        <f>=105200	 | Trojan.Win32.ExeBind.A	 | 12e4549c282e0fba00e6ddecc8af3c07</f>
        <v/>
      </c>
    </row>
    <row r="3807">
      <c r="A3807">
        <f>=105201	 | Trojan.Win32.Flystud.B	 | 8b1aa73f839f698a110385f939cc0d51</f>
        <v/>
      </c>
    </row>
    <row r="3808">
      <c r="A3808">
        <f>=105203	 | Trojan.Win32.Necurs.A	 | 9dfb530f4f02f8423b7b695f5406fce9</f>
        <v/>
      </c>
    </row>
    <row r="3809">
      <c r="A3809">
        <f>=105204	 | Trojan.Win32.Magania.AN	 | 48dfa2ee284cf2c2d69cbcacc1215710</f>
        <v/>
      </c>
    </row>
    <row r="3810">
      <c r="A3810">
        <f>=105205	 | Trojan.Win32.Magania.AO	 | 203d6c5f2d37ccc4cad1ee111b38ac0c</f>
        <v/>
      </c>
    </row>
    <row r="3811">
      <c r="A3811">
        <f>=105206	 | Trojan.Win32.Magania.AP	 | 0C2340C0D728A1B7482D8B5BB1373273</f>
        <v/>
      </c>
    </row>
    <row r="3812">
      <c r="A3812">
        <f>=105208	 | Backdoor.Win32.IRCbot.H	 | 01c8e2b26265c9ec2c1c0628c03125ac</f>
        <v/>
      </c>
    </row>
    <row r="3813">
      <c r="A3813">
        <f>=105209	 | Backdoor.Win32.IRCbot.I	 | 1b52145cb9e96b59ac536d26595fb625</f>
        <v/>
      </c>
    </row>
    <row r="3814">
      <c r="A3814">
        <f>=105210	 | Backdoor.Win32.NBSpy.A	 | d8b379868b37d57faffe1e8f5ef0ed07</f>
        <v/>
      </c>
    </row>
    <row r="3815">
      <c r="A3815">
        <f>=105211	 | Backdoor.Win32.Nuclear.A	 | 96a277670c13e6fc42e3a2da119f3be1</f>
        <v/>
      </c>
    </row>
    <row r="3816">
      <c r="A3816">
        <f>=105212	 | Backdoor.Win32.Radar.A	 | 4d87543d4d7f73c1529c9f8066b475ab</f>
        <v/>
      </c>
    </row>
    <row r="3817">
      <c r="A3817">
        <f>=105213	 | Backdoor.Win32.Radar.B	 | 0edc3a3ac4cfde90b99af27cf7eab0eb</f>
        <v/>
      </c>
    </row>
    <row r="3818">
      <c r="A3818">
        <f>=105214	 | Backdoor.Win32.Radar.C	 | 989aeb6de47eb2222acc7c0f7e151c0a</f>
        <v/>
      </c>
    </row>
    <row r="3819">
      <c r="A3819">
        <f>=105215	 | Backdoor.Win32.Radar.D	 | 26cee6894be1ee8fb6a063329418e501</f>
        <v/>
      </c>
    </row>
    <row r="3820">
      <c r="A3820">
        <f>=105216	 | Worm.Win32.Viking.A	 | 4b21e16f184f0804d7d45932a7473304</f>
        <v/>
      </c>
    </row>
    <row r="3821">
      <c r="A3821">
        <f>=105217	 | Trojan.Win32.Pakes.D	 | 65fe1a1da687ec75473c36146d0208c4</f>
        <v/>
      </c>
    </row>
    <row r="3822">
      <c r="A3822">
        <f>=105218	 | Backdoor.Win32.Zegost.A	 | 00f6c45d9c38b9ee96491f6fedfe6397</f>
        <v/>
      </c>
    </row>
    <row r="3823">
      <c r="A3823">
        <f>=105219	 | Trojan.Win32.Cgsi.A	 | 0b3dc18d9762bdbf0806c45075dd0862</f>
        <v/>
      </c>
    </row>
    <row r="3824">
      <c r="A3824">
        <f>=105220	 | Trojan.Win32.Tonmye.A	 | 5a2a65690a8bf1b33765c0246c5b6e6c</f>
        <v/>
      </c>
    </row>
    <row r="3825">
      <c r="A3825">
        <f>=105221	 | Trojan.Win32.Generic.R	 | 000946b8179f431fa605678bdf8402e2</f>
        <v/>
      </c>
    </row>
    <row r="3826">
      <c r="A3826">
        <f>=105222	 | Worm.Win32.Viking.B	 | 4b21e16f184f0804d7d45932a7473304</f>
        <v/>
      </c>
    </row>
    <row r="3827">
      <c r="A3827">
        <f>=105223	 | Trojan.Win32.Farfli.D	 | 5cafbb593b42ab690141d292fbd4bf79</f>
        <v/>
      </c>
    </row>
    <row r="3828">
      <c r="A3828">
        <f>=105224	 | Trojan.Win32.Generic.S	 | 6ef4bcb638527fcc3128848220830c2a</f>
        <v/>
      </c>
    </row>
    <row r="3829">
      <c r="A3829">
        <f>=105225	 | Trojan.Win32.Generic.T	 | 6ef4bcb638527fcc3128848220830c2a</f>
        <v/>
      </c>
    </row>
    <row r="3830">
      <c r="A3830">
        <f>=105226	 | Trojan.Win32.KernelBot.A	 | f10b3758a690a57f84487c42ebb78fbc</f>
        <v/>
      </c>
    </row>
    <row r="3831">
      <c r="A3831">
        <f>=105227	 | Backdoor.Win32.Bifrose.B	 | ca6b77fc5a8f3dd95118c9f7ba268247</f>
        <v/>
      </c>
    </row>
    <row r="3832">
      <c r="A3832">
        <f>=105228	 | Trojan.Win32.QQpass.EF	 | 3efc06689e6c9e7d498e55c1ca04b994</f>
        <v/>
      </c>
    </row>
    <row r="3833">
      <c r="A3833">
        <f>=105229	 | Backdoor.Win32.Coolvidoor.A	 | c7564cefde3efd54abd3752e2d9ec6bc</f>
        <v/>
      </c>
    </row>
    <row r="3834">
      <c r="A3834">
        <f>=105230	 | Backdoor.Win32.Bredavi.A	 | 00e1b71d12b15b663fe0dbd88d7879b0</f>
        <v/>
      </c>
    </row>
    <row r="3835">
      <c r="A3835">
        <f>=105231	 | Trojan.Win32.Generic.U	 | 0128d8d21777e29b6ffd15fdf9e41f68</f>
        <v/>
      </c>
    </row>
    <row r="3836">
      <c r="A3836">
        <f>=105232	 | Backdoor.Win32.Delfsnif.A	 | d35d3afb94f119bd4f40a67efc5db336</f>
        <v/>
      </c>
    </row>
    <row r="3837">
      <c r="A3837">
        <f>=105233	 | Worm.Win32.Happy.A	 | fef36d7c5e9254286ec8f315aff6c0e4</f>
        <v/>
      </c>
    </row>
    <row r="3838">
      <c r="A3838">
        <f>=105234	 | Worm.Win32.Navidad.A	 | 3d315a99f004456296546d7ee6cd3e28</f>
        <v/>
      </c>
    </row>
    <row r="3839">
      <c r="A3839">
        <f>=105235	 | Trojan.Win32.Generic.V	 | 0174df50f1fb4fd4172539ccc0b427ed</f>
        <v/>
      </c>
    </row>
    <row r="3840">
      <c r="A3840">
        <f>=105236	 | Trojan.Win32.Farfli.E	 | 10986ff6127e280d51a370360e04d3d1</f>
        <v/>
      </c>
    </row>
    <row r="3841">
      <c r="A3841">
        <f>=105237	 | Trojan.Win32.PackerNSAnti.I	 | 4b21e16f184f0804d7d45932a7473304</f>
        <v/>
      </c>
    </row>
    <row r="3842">
      <c r="A3842">
        <f>=105238	 | Trojan.Win32.Genome.A	 | def92d4aebc7b0d41b16fc301e11c864</f>
        <v/>
      </c>
    </row>
    <row r="3843">
      <c r="A3843">
        <f>=105239	 | Trojan.Win32.Generic.W	 | 0251f572fc93d9f27fdfb75a4440730f</f>
        <v/>
      </c>
    </row>
    <row r="3844">
      <c r="A3844">
        <f>=105240	 | Backdoor.Win32.BO2K.A	 | 2a0c1790eb5c6c7becc8359b1a980171</f>
        <v/>
      </c>
    </row>
    <row r="3845">
      <c r="A3845">
        <f>=105241	 | Trojan.Win32.Generic.X	 | 0286b21301dd4e88e63518d64c48df5c</f>
        <v/>
      </c>
    </row>
    <row r="3846">
      <c r="A3846">
        <f>=105242	 | Trojan.Win32.Generic.Y	 | 0175f259a5b26172d90cf5ae95aa1ad0</f>
        <v/>
      </c>
    </row>
    <row r="3847">
      <c r="A3847">
        <f>=105243	 | Worm.Win32.ZippedFiles.A	 | 0e10993050e5ed199e90f7372259e44b</f>
        <v/>
      </c>
    </row>
    <row r="3848">
      <c r="A3848">
        <f>=105244	 | Backdoor.Win32.Cruel.A	 | 2e201a5dccbede5780d6ccbae45f5eab</f>
        <v/>
      </c>
    </row>
    <row r="3849">
      <c r="A3849">
        <f>=105246	 | Backdoor.Win32.Banito.A	 | 4ae2995fd855beef89fbafa540da6b39</f>
        <v/>
      </c>
    </row>
    <row r="3850">
      <c r="A3850">
        <f>=105247	 | Backdoor.Win32.BO.A	 | 5e8911b07c26d39c6f58c1d5dd56af37</f>
        <v/>
      </c>
    </row>
    <row r="3851">
      <c r="A3851">
        <f>=105248	 | Trojan.Win32.Ditertag.A	 | 0067c2ef351c57f830c86f5a91776f03</f>
        <v/>
      </c>
    </row>
    <row r="3852">
      <c r="A3852">
        <f>=105249	 | Worm.Win32.Appaple.A	 | 9652527c872b7795dadf670d4d19569e</f>
        <v/>
      </c>
    </row>
    <row r="3853">
      <c r="A3853">
        <f>=105250	 | Worm.Win32.Badtrans.A	 | 39c85a0d847aa21c7dedd69dca7ae9bc</f>
        <v/>
      </c>
    </row>
    <row r="3854">
      <c r="A3854">
        <f>=105252	 | Worm.Win32.Gop.A	 | 7a5f155a493a9b210d7f0a7fa6420a2f</f>
        <v/>
      </c>
    </row>
    <row r="3855">
      <c r="A3855">
        <f>=105253	 | Worm.Win32.Sircam.A	 | 57b8949b1829b71d1ef71f7e7224b2af</f>
        <v/>
      </c>
    </row>
    <row r="3856">
      <c r="A3856">
        <f>=105254	 | Trojan.Win32.Generic.AA	 | 0054eb2558843da322dcd3c713287826</f>
        <v/>
      </c>
    </row>
    <row r="3857">
      <c r="A3857">
        <f>=105255	 | Backdoor.Win32.Havar.A	 | cabf8b119aa8354bdf312d549c62911a</f>
        <v/>
      </c>
    </row>
    <row r="3858">
      <c r="A3858">
        <f>=105256	 | Backdoor.Win32.Hupigon.UAFV	 | 7d6d3804551d26ac9fe73fab394a7366</f>
        <v/>
      </c>
    </row>
    <row r="3859">
      <c r="A3859">
        <f>=105257	 | Backdoor.Win32.BO.D	 | 92b4b239f5190de44ed15c58a3ef68df</f>
        <v/>
      </c>
    </row>
    <row r="3860">
      <c r="A3860">
        <f>=105258	 | Worm.Win32.Viking.D	 | 188495b9bd179fedeed912003eea89ca</f>
        <v/>
      </c>
    </row>
    <row r="3861">
      <c r="A3861">
        <f>=105259	 | Backdoor.Win32.PcClient.T	 | ccc6bca8cc4f9c40d7192924cc7a19a6</f>
        <v/>
      </c>
    </row>
    <row r="3862">
      <c r="A3862">
        <f>=105260	 | Backdoor.Win32.Delf.CSU	 | 144f057423d6ca2ab0e9e44b26701a22</f>
        <v/>
      </c>
    </row>
    <row r="3863">
      <c r="A3863">
        <f>=105261	 | Backdoor.Win32.Hupigon.UAFW	 | 936de686ba4c8016ed87b454555b1838</f>
        <v/>
      </c>
    </row>
    <row r="3864">
      <c r="A3864">
        <f>=105262	 | Worm.Win32.Viking.F	 | 38a10fdbb84ffb132dee40ee0456895a</f>
        <v/>
      </c>
    </row>
    <row r="3865">
      <c r="A3865">
        <f>=105263	 | Backdoor.Win32.Home.A	 | d32fcbbedb103386c77ad39bd581bfb6</f>
        <v/>
      </c>
    </row>
    <row r="3866">
      <c r="A3866">
        <f>=105264	 | Trojan.Win32.Magania.AR	 | 676a2e234f5a0468d1011cc217e9903b</f>
        <v/>
      </c>
    </row>
    <row r="3867">
      <c r="A3867">
        <f>=105265	 | Trojan.Win32.Magania.AS	 | 1a3d720404fe71430d03aca171d6d410</f>
        <v/>
      </c>
    </row>
    <row r="3868">
      <c r="A3868">
        <f>=105266	 | Backdoor.Win32.Hupigon.UAFX	 | 4349ca39e246b0f37cf646a53a85e4fe</f>
        <v/>
      </c>
    </row>
    <row r="3869">
      <c r="A3869">
        <f>=105267	 | Backdoor.Win32.Bifrose.C	 | 35691731068ffae98316961cbf423ea7</f>
        <v/>
      </c>
    </row>
    <row r="3870">
      <c r="A3870">
        <f>=105268	 | Backdoor.Win32.G_Door.A	 | a62753e8bdd40ec6ddf46c53eedd3a53</f>
        <v/>
      </c>
    </row>
    <row r="3871">
      <c r="A3871">
        <f>=105269	 | Backdoor.Win32.BO.E	 | aaab755d9baf21baf05de8f32af2c996</f>
        <v/>
      </c>
    </row>
    <row r="3872">
      <c r="A3872">
        <f>=105270	 | Backdoor.Win32.Hupigon.UAFY	 | b77335f0273c3979933adbf7ffb69507</f>
        <v/>
      </c>
    </row>
    <row r="3873">
      <c r="A3873">
        <f>=105271	 | Backdoor.Win32.G_Door.B	 | c951f81328dd55351e4c87dd6b77a80e</f>
        <v/>
      </c>
    </row>
    <row r="3874">
      <c r="A3874">
        <f>=105272	 | Trojan.Win32.Small.CWQW	 | e7ff78c0a1bd1d7e4fda67e7e0535aa5</f>
        <v/>
      </c>
    </row>
    <row r="3875">
      <c r="A3875">
        <f>=105273	 | Trojan.Win32.AutoIt.GEY	 | fe5ecbc8df7179a8403c317ee048ef86</f>
        <v/>
      </c>
    </row>
    <row r="3876">
      <c r="A3876">
        <f>=105274	 | Backdoor.Win32.Prosti.A	 | e27fe2aacbd79e843516d41232451a62</f>
        <v/>
      </c>
    </row>
    <row r="3877">
      <c r="A3877">
        <f>=105275	 | Trojan.Win32.OnLineGames.A	 | b93caa97330a332d0ee7fd2ee0158f29</f>
        <v/>
      </c>
    </row>
    <row r="3878">
      <c r="A3878">
        <f>=105276	 | Backdoor.Win32.BO.F	 | cce3ec17bbaeffe4f660687dd1cd81b2</f>
        <v/>
      </c>
    </row>
    <row r="3879">
      <c r="A3879">
        <f>=105277	 | Worm.Win32.Sohanad.A	 | 013cffce1a6eff217bd65d165755765e</f>
        <v/>
      </c>
    </row>
    <row r="3880">
      <c r="A3880">
        <f>=105280	 | Worm.Win32.Viking.G	 | 177db1b89969ee33074755185d83f86b</f>
        <v/>
      </c>
    </row>
    <row r="3881">
      <c r="A3881">
        <f>=105283	 | Trojan.Win32.Tiggre!rfn.A	 | 8237497ddb43fafdc58863ec56caf2a3</f>
        <v/>
      </c>
    </row>
    <row r="3882">
      <c r="A3882">
        <f>=105285	 | Backdoor.Win32.G_Door.C	 | 0edb1943992f9bfad9d79642f27d80a4</f>
        <v/>
      </c>
    </row>
    <row r="3883">
      <c r="A3883">
        <f>=105286	 | Worm.Win32.gen!A.A	 | 1bb053f681708dbd47072d9c353dfad7</f>
        <v/>
      </c>
    </row>
    <row r="3884">
      <c r="A3884">
        <f>=105287	 | Backdoor.Win32.Delf.CSV	 | 2e38f6461670b1a6d44bcda81f4a8dab</f>
        <v/>
      </c>
    </row>
    <row r="3885">
      <c r="A3885">
        <f>=105288	 | Backdoor.Win32.Hupigon.UAGA	 | 99c19d70b183290bdd047a09e771a7a8</f>
        <v/>
      </c>
    </row>
    <row r="3886">
      <c r="A3886">
        <f>=105289	 | Trojan.Win32.gen!G.A	 | 341b83ce9b539a3c205f6d3a1f139490</f>
        <v/>
      </c>
    </row>
    <row r="3887">
      <c r="A3887">
        <f>=105290	 | Trojan.Win32.Generic.AB	 | 0965ae33918481e076edef2664cc6bf1</f>
        <v/>
      </c>
    </row>
    <row r="3888">
      <c r="A3888">
        <f>=105291	 | Trojan.Win32.gen!W.A	 | e6c2487efe6351fd72b1ddd7b474c470</f>
        <v/>
      </c>
    </row>
    <row r="3889">
      <c r="A3889">
        <f>=105292	 | VirTool.Win32.gen!X.A	 | ec67c39b389cf432a784ab7691323b1f</f>
        <v/>
      </c>
    </row>
    <row r="3890">
      <c r="A3890">
        <f>=105293	 | Trojan.Win32.Nitol.C	 | 8a8bb31c3a83be534fd5948751965968</f>
        <v/>
      </c>
    </row>
    <row r="3891">
      <c r="A3891">
        <f>=105294	 | Hackertool.Win32.XPCSpyPro.B	 | d170846cdc9c8c729d925476ad0719a3</f>
        <v/>
      </c>
    </row>
    <row r="3892">
      <c r="A3892">
        <f>=105295	 | Trojan.Win32.Generic.AC	 | 04073fd2e2c2b86f4f8f61c681da30d3</f>
        <v/>
      </c>
    </row>
    <row r="3893">
      <c r="A3893">
        <f>=105296	 | Trojan.Win32.Generic.AD	 | 2491b18bb2b334beadd841be66ef76dc</f>
        <v/>
      </c>
    </row>
    <row r="3894">
      <c r="A3894">
        <f>=105297	 | Backdoor.Win32.Bifrose.D	 | 4af920396bf9f3f7f2deb1115827676e</f>
        <v/>
      </c>
    </row>
    <row r="3895">
      <c r="A3895">
        <f>=105298	 | Trojan.Win32.MBRKill.B	 | 0A8032CD6B4A710B1771A080FA09FB87</f>
        <v/>
      </c>
    </row>
    <row r="3896">
      <c r="A3896">
        <f>=105299	 | Trojan.Win32.LMN.A	 | 0088f56996aad79fb4fc8d36c9a2946f</f>
        <v/>
      </c>
    </row>
    <row r="3897">
      <c r="A3897">
        <f>=105300	 | Hackertool.Win32.XPCSpy.A	 | 19b6137fdccccd8838a1d3fc9f8498ea</f>
        <v/>
      </c>
    </row>
    <row r="3898">
      <c r="A3898">
        <f>=105301	 | Trojan.Win32.AdLoad.W	 | 902a5e06b20badf80e7f39cdf420ecbb</f>
        <v/>
      </c>
    </row>
    <row r="3899">
      <c r="A3899">
        <f>=105302	 | Backdoor.Win32.PcClient.U	 | 680C79373F0E2FCEDB30CDAB0EF77022</f>
        <v/>
      </c>
    </row>
    <row r="3900">
      <c r="A3900">
        <f>=105303	 | Backdoor.Win32.Delf.CSW	 | d6b6e497c217042e0e83285a65e68995</f>
        <v/>
      </c>
    </row>
    <row r="3901">
      <c r="A3901">
        <f>=105304	 | Backdoor.Win32.Agent.GER	 | d735d60840b2f1ac3654a4f802aa5527</f>
        <v/>
      </c>
    </row>
    <row r="3902">
      <c r="A3902">
        <f>=105305	 | Backdoor.Win32.Hupigon.UAGB	 | d3907ca8e6e2e0eea56a9dad39fda6a8</f>
        <v/>
      </c>
    </row>
    <row r="3903">
      <c r="A3903">
        <f>=105306	 | Trojan.Win32.Agent.XAANCP	 | 41ebc82f9ac68ce6b86226dec6424cf3</f>
        <v/>
      </c>
    </row>
    <row r="3904">
      <c r="A3904">
        <f>=105307	 | Trojan.Win32.Agent.XAANCQ	 | 45a9a1ce876303d653e6361afae27ddb</f>
        <v/>
      </c>
    </row>
    <row r="3905">
      <c r="A3905">
        <f>=105308	 | Trojan.Win32.Agent.XAANCR	 | f1d0fb1385d89d05283bbfd7dbe756cd</f>
        <v/>
      </c>
    </row>
    <row r="3906">
      <c r="A3906">
        <f>=105309	 | Backdoor.Win32.Siluhdur.C	 | 069DA8623926080445507F45E9084CD7</f>
        <v/>
      </c>
    </row>
    <row r="3907">
      <c r="A3907">
        <f>=105310	 | Trojan.Win32.Alpasoq.A	 | 9ffff56d809abf5c020330e1f0f96073</f>
        <v/>
      </c>
    </row>
    <row r="3908">
      <c r="A3908">
        <f>=105311	 | Trojan.Win32.Bublik.BKGT	 | 782cddc8e9c8b528778c1b642b5db3cf</f>
        <v/>
      </c>
    </row>
    <row r="3909">
      <c r="A3909">
        <f>=105312	 | Trojan.Win32.DesktopPuzzle.B	 | e27e8287917a663b89681fbb7bccfc95</f>
        <v/>
      </c>
    </row>
    <row r="3910">
      <c r="A3910">
        <f>=105313	 | Trojan.Win32.Generic.AE	 | 6d334eb74b11fc1967f6a0341085bc8c</f>
        <v/>
      </c>
    </row>
    <row r="3911">
      <c r="A3911">
        <f>=105314	 | Trojan.Win32.Heur2.A	 | 0c0f81384c085d0ee40f04d04f84f3a6</f>
        <v/>
      </c>
    </row>
    <row r="3912">
      <c r="A3912">
        <f>=105315	 | Trojan.Win32.Inject.GELUI	 | 249a6a1572eeb06f26a6b57d838760d1</f>
        <v/>
      </c>
    </row>
    <row r="3913">
      <c r="A3913">
        <f>=105316	 | Trojan.Win32.Vobfus.F	 | 0088ae61363f88baed8ab004fec55767</f>
        <v/>
      </c>
    </row>
    <row r="3914">
      <c r="A3914">
        <f>=105317	 | Trojan.Win32.Script.A	 | 403f362b5be86e501e0a24057cf02c51</f>
        <v/>
      </c>
    </row>
    <row r="3915">
      <c r="A3915">
        <f>=105318	 | Trojan.Win32.Subseven.A	 | bba17040dba7afc61bfd3dd93b9d3656</f>
        <v/>
      </c>
    </row>
    <row r="3916">
      <c r="A3916">
        <f>=105319	 | Trojan.Win32.Voob.A	 | ddbcba7083b039792c3ccfb5ca969686</f>
        <v/>
      </c>
    </row>
    <row r="3917">
      <c r="A3917">
        <f>=105320	 | Trojan.Win32.PackerMystic.B	 | 6004d1d4074cab0235b9363a976e12bb</f>
        <v/>
      </c>
    </row>
    <row r="3918">
      <c r="A3918">
        <f>=105321	 | Trojan.Win32.PackerNSAnti.J	 | 157cf099f44362eb6a89a7f84d54cd59</f>
        <v/>
      </c>
    </row>
    <row r="3919">
      <c r="A3919">
        <f>=105322	 | Trojan.Win32.PackerNSAnti.K	 | 48edf03505fe2b5dfa5e5ff57679087d</f>
        <v/>
      </c>
    </row>
    <row r="3920">
      <c r="A3920">
        <f>=105323	 | Trojan.Win32.PackerNSAnti.L	 | 02d4816308da707605e66dad652efa6e</f>
        <v/>
      </c>
    </row>
    <row r="3921">
      <c r="A3921">
        <f>=105324	 | Trojan.Win32.PackerNSAnti.M	 | 48267a335356f3caac1d3910de540020</f>
        <v/>
      </c>
    </row>
    <row r="3922">
      <c r="A3922">
        <f>=105325	 | Trojan.Win32.PackerNSAnti.N	 | 955B398A5821396AA64045E758102295</f>
        <v/>
      </c>
    </row>
    <row r="3923">
      <c r="A3923">
        <f>=105326	 | Trojan.Win32.PackerNSAnti.O	 | 955B398A5821396AA64045E758102295</f>
        <v/>
      </c>
    </row>
    <row r="3924">
      <c r="A3924">
        <f>=105327	 | Trojan.Win32.PackerNSAnti.P	 | 4D84129D428ED9C09EF3E11AE1E3DE3E</f>
        <v/>
      </c>
    </row>
    <row r="3925">
      <c r="A3925">
        <f>=105328	 | Trojan.Win32.PackerMM520.B	 | EDE74913B214671FB66D2B75DC482608</f>
        <v/>
      </c>
    </row>
    <row r="3926">
      <c r="A3926">
        <f>=105329	 | AdWare.Win32.AdMoke.A	 | c8b5710c7755cef762b0cd3581cf29a0</f>
        <v/>
      </c>
    </row>
    <row r="3927">
      <c r="A3927">
        <f>=105330	 | Trojan.Win32.Dropper.D	 | 00b6d032ee1f962c30532740b405923a</f>
        <v/>
      </c>
    </row>
    <row r="3928">
      <c r="A3928">
        <f>=105331	 | Trojan.Win32.Invader.A	 | c4853490864fe8bfb7e9cf9f3a9e402d</f>
        <v/>
      </c>
    </row>
    <row r="3929">
      <c r="A3929">
        <f>=105332	 | Trojan.Win32.Generic.AF	 | 96e8272aea76b0f904c78629be0d3110</f>
        <v/>
      </c>
    </row>
    <row r="3930">
      <c r="A3930">
        <f>=105333	 | Trojan.Win32.7cf.A	 | ee45b792b0cd69fee3fa7ebcd08609a0</f>
        <v/>
      </c>
    </row>
    <row r="3931">
      <c r="A3931">
        <f>=105334	 | Backdoor.Win32.Lostorin.A	 | ef869e9f32bdfda7bd00857254f335f7</f>
        <v/>
      </c>
    </row>
    <row r="3932">
      <c r="A3932">
        <f>=105335	 | Trojan.Win32.Unruy.M	 | 014a95c144a02f7bfcf0b1e4d0114870</f>
        <v/>
      </c>
    </row>
    <row r="3933">
      <c r="A3933">
        <f>=105336	 | Hackertool.Win32.ZXProxy.B	 | D2BE29A66AF2871F862233F3551B81EE</f>
        <v/>
      </c>
    </row>
    <row r="3934">
      <c r="A3934">
        <f>=105337	 | Trojan.Win32.PSW.A	 | 7c3939a6368ede4ca86cdea880ac95c1</f>
        <v/>
      </c>
    </row>
    <row r="3935">
      <c r="A3935">
        <f>=105338	 | Trojan.Win32.Gamec.A	 | 1755d3b57b39f54078ea7c1293655d70</f>
        <v/>
      </c>
    </row>
    <row r="3936">
      <c r="A3936">
        <f>=105339	 | Trojan.Win32.Glacier.A	 | 03cced5631212340ab76a033f24fb39f</f>
        <v/>
      </c>
    </row>
    <row r="3937">
      <c r="A3937">
        <f>=105340	 | Trojan.Win32.Hooker.A	 | 1b66bb705c65452946d3e63b2b62678f</f>
        <v/>
      </c>
    </row>
    <row r="3938">
      <c r="A3938">
        <f>=105341	 | Trojan.Win32.Hooker.B	 | 1164b76cbaf8c5e1b3067cb823be0cec</f>
        <v/>
      </c>
    </row>
    <row r="3939">
      <c r="A3939">
        <f>=105342	 | Trojan.Win32.Likuner.A	 | 4d2ec6131ae926e9e7681b48f400a254</f>
        <v/>
      </c>
    </row>
    <row r="3940">
      <c r="A3940">
        <f>=105343	 | Trojan.Win32.Prostor.A	 | 22a81403572e2af88d0f64b1a664b8a5</f>
        <v/>
      </c>
    </row>
    <row r="3941">
      <c r="A3941">
        <f>=105344	 | Trojan.Win32.QQPass.EG	 | 0295c2af08478f91a05cff670ad51fd5</f>
        <v/>
      </c>
    </row>
    <row r="3942">
      <c r="A3942">
        <f>=105345	 | Trojan.Win32.QQPass.EH	 | ed900c10aa93a089f0647531cbf67d85</f>
        <v/>
      </c>
    </row>
    <row r="3943">
      <c r="A3943">
        <f>=105346	 | Trojan.Win32.VB.DOSW	 | d9239fa11571153ed40967193064636b</f>
        <v/>
      </c>
    </row>
    <row r="3944">
      <c r="A3944">
        <f>=105347	 | Ransom.Win32.Agent.A	 | 9698b2a8539f6d40eceb372e7f1343e6</f>
        <v/>
      </c>
    </row>
    <row r="3945">
      <c r="A3945">
        <f>=105348	 | Ransom.Win32.Locky.A	 | 71b746eab43a804417aab11c12f6a02e</f>
        <v/>
      </c>
    </row>
    <row r="3946">
      <c r="A3946">
        <f>=105349	 | Trojan.Win32.Delf.Q	 | e6b036c4995de15a50afac7696db07f7</f>
        <v/>
      </c>
    </row>
    <row r="3947">
      <c r="A3947">
        <f>=105350	 | Trojan.Win32.Flux.A	 | feb73cdf4fcc63a2af2d164280d574e2</f>
        <v/>
      </c>
    </row>
    <row r="3948">
      <c r="A3948">
        <f>=105351	 | Trojan.Win32.FlyStudio.B	 | 55dac10d339f9195562da876952ba5cb</f>
        <v/>
      </c>
    </row>
    <row r="3949">
      <c r="A3949">
        <f>=105352	 | Trojan.Win32.KeyLogger.E	 | d6f46f472fcea6092d0cdfa904413b1a</f>
        <v/>
      </c>
    </row>
    <row r="3950">
      <c r="A3950">
        <f>=105353	 | Trojan.Win32.VB.DOSX	 | 59137f497534b152e83f102eaf1f0d1d</f>
        <v/>
      </c>
    </row>
    <row r="3951">
      <c r="A3951">
        <f>=105354	 | Trojan.Win32.Generic.AG	 | 8385193fd14e5fd02108428005f59bf5</f>
        <v/>
      </c>
    </row>
    <row r="3952">
      <c r="A3952">
        <f>=105355	 | Trojan.Win32.Generic.AH	 | 0054eb2558843da322dcd3c713287826</f>
        <v/>
      </c>
    </row>
    <row r="3953">
      <c r="A3953">
        <f>=105356	 | Backdoor.Win32.Assasin.A	 | 178120e0d40829d73dbe5e4da7cc0867</f>
        <v/>
      </c>
    </row>
    <row r="3954">
      <c r="A3954">
        <f>=105357	 | Trojan.Win32.Logsnif.A	 | ff226381870d994aa475f1aa2f53a6ee</f>
        <v/>
      </c>
    </row>
    <row r="3955">
      <c r="A3955">
        <f>=105358	 | Backdoor.Win32.Spy.A	 | dd5461a7767a21041a1f90781ea3c5a0</f>
        <v/>
      </c>
    </row>
    <row r="3956">
      <c r="A3956">
        <f>=105359	 | Trojan.Win32.Explorezip.A	 | 2868382729d9aecf3ca77f9ac0292751</f>
        <v/>
      </c>
    </row>
    <row r="3957">
      <c r="A3957">
        <f>=105360	 | Worm.Win32.Fujack.A	 | 8d3fbbc66de98afbdeb8d334b7038097</f>
        <v/>
      </c>
    </row>
    <row r="3958">
      <c r="A3958">
        <f>=105361	 | Worm.Win32.Runfer.A	 | 4f4d7dac90e9d4f43a07693e44d72040</f>
        <v/>
      </c>
    </row>
    <row r="3959">
      <c r="A3959">
        <f>=105362	 | Worm.Win32.Viking.H	 | e0609143a71154ea39877701e44b0237</f>
        <v/>
      </c>
    </row>
    <row r="3960">
      <c r="A3960">
        <f>=105363	 | Worm.Win32.Viking.I	 | 60e3f8f256024e34d4cc5ca4b112dca2</f>
        <v/>
      </c>
    </row>
    <row r="3961">
      <c r="A3961">
        <f>=105364	 | Worm.Win32.Viking.J	 | 9da9c4ef98b2e6cba33ee14dccaf734d</f>
        <v/>
      </c>
    </row>
    <row r="3962">
      <c r="A3962">
        <f>=105365	 | Worm.Win32.WBNA.IPC	 | 0255ea29f338b165750e79e6e5787eb9</f>
        <v/>
      </c>
    </row>
    <row r="3963">
      <c r="A3963">
        <f>=105366	 | Worm.Win32.Fujack.DB	 | 409d71c3c45d5691c0b1c817c6ee9e20</f>
        <v/>
      </c>
    </row>
    <row r="3964">
      <c r="A3964">
        <f>=105367	 | Worm.Win32.Antinny.A	 | 57fc4fe9d1313db5d80555aee5c157a5</f>
        <v/>
      </c>
    </row>
    <row r="3965">
      <c r="A3965">
        <f>=105368	 | Worm.Win32.AutoIt.A	 | 012d22057800146a6f208b9e001b1a72</f>
        <v/>
      </c>
    </row>
    <row r="3966">
      <c r="A3966">
        <f>=105369	 | Worm.Win32.AutoRun.DA	 | 4e392136d15600a0192b9b6bc85ca066</f>
        <v/>
      </c>
    </row>
    <row r="3967">
      <c r="A3967">
        <f>=105370	 | Worm.Win32.AutoRun.DB	 | 5a185407b0b0c0cc16455f641d1fd8c5</f>
        <v/>
      </c>
    </row>
    <row r="3968">
      <c r="A3968">
        <f>=105371	 | Worm.Win32.AutoRun.DC	 | 6feb9bf1467892bf9047218ecd5b32b3</f>
        <v/>
      </c>
    </row>
    <row r="3969">
      <c r="A3969">
        <f>=105372	 | Worm.Win32.AutoRun.DD	 | b9ede35b154514f532240cd5a1e8f194</f>
        <v/>
      </c>
    </row>
    <row r="3970">
      <c r="A3970">
        <f>=105373	 | Worm.Win32.AutoRun.DE	 | c05462928fc3682dfbbc3379da085308</f>
        <v/>
      </c>
    </row>
    <row r="3971">
      <c r="A3971">
        <f>=105374	 | Worm.Win32.AutoRun.DF	 | f4fa1c5398cf676eb124ffc73e7a56f2</f>
        <v/>
      </c>
    </row>
    <row r="3972">
      <c r="A3972">
        <f>=105375	 | Worm.Win32.Delf.I	 | b85b40730968a833190a1d94057f87bf</f>
        <v/>
      </c>
    </row>
    <row r="3973">
      <c r="A3973">
        <f>=105390	 | Trojan.Win32.Loader.Y	 | 6BACE88014D06BA8CD5B5BBCA240D8B9</f>
        <v/>
      </c>
    </row>
    <row r="3974">
      <c r="A3974">
        <f>=105394	 | Trojan.Win32.Sdum.A	 | 0d4d67c8c7196ad8ac187704c2f0f26c</f>
        <v/>
      </c>
    </row>
    <row r="3975">
      <c r="A3975">
        <f>=105395	 | Trojan.Win32.Qbot.E	 | ff407e727c8a3f9c3653066c38820a71</f>
        <v/>
      </c>
    </row>
    <row r="3976">
      <c r="A3976">
        <f>=105396	 | Worm.Win32.Generic.C	 | 00f066336c7a1b67e9766b1d105b3b15</f>
        <v/>
      </c>
    </row>
    <row r="3977">
      <c r="A3977">
        <f>=105397	 | Trojan.Win32.Bunitu.A	 | F218A180774A2EFCE60E3F904AB47EA5</f>
        <v/>
      </c>
    </row>
    <row r="3978">
      <c r="A3978">
        <f>=105398	 | Trojan.Win32.Qbot.F	 | 8540E1753E14FD4192264BBE23A921E4</f>
        <v/>
      </c>
    </row>
    <row r="3979">
      <c r="A3979">
        <f>=105399	 | Trojan.Win64.Dridex.A	 | 2EAABC169C1EAF0B5B6641E17FE37D2C</f>
        <v/>
      </c>
    </row>
    <row r="3980">
      <c r="A3980">
        <f>=105401	 | Trojan.Win32.Banker.B	 | 0c58f8b9936348ef985bf5772a0e032f</f>
        <v/>
      </c>
    </row>
    <row r="3981">
      <c r="A3981">
        <f>=105402	 | Backdoor.Win32.Protux.A	 | 0c5bab420314030b1d9d4c561a6991fd</f>
        <v/>
      </c>
    </row>
    <row r="3982">
      <c r="A3982">
        <f>=105404	 | Trojan.Win32.Qbot.G	 | 8540E1753E14FD4192264BBE23A921E4</f>
        <v/>
      </c>
    </row>
    <row r="3983">
      <c r="A3983">
        <f>=105405	 | Trojan.Win64.Dridex.B	 | 2EAABC169C1EAF0B5B6641E17FE37D2C</f>
        <v/>
      </c>
    </row>
    <row r="3984">
      <c r="A3984">
        <f>=105406	 | Trojan.Win32.Magania.AT	 | 42aae4c612327ee27e3aa81af7790e5d</f>
        <v/>
      </c>
    </row>
    <row r="3985">
      <c r="A3985">
        <f>=105407	 | Ransom.Win32.Sodinokibi.A	 | 0ae77d606609c1f0fc3f1fbac91cf140</f>
        <v/>
      </c>
    </row>
    <row r="3986">
      <c r="A3986">
        <f>=105408	 | Ransom.Win32.Sodinokibi.B	 | c8a136b9ab1c0d8bfcfddd54ba48b4ce</f>
        <v/>
      </c>
    </row>
    <row r="3987">
      <c r="A3987">
        <f>=105409	 | Backdoor.Win32.Hupigon.UAGD	 | 1e9a0e34b7d08dc71ab920d93eb4997d</f>
        <v/>
      </c>
    </row>
    <row r="3988">
      <c r="A3988">
        <f>=105410	 | Trojan.Win32.Buzus.U	 | 3aeaaa7c6c27fc39e5464f25ed84b399</f>
        <v/>
      </c>
    </row>
    <row r="3989">
      <c r="A3989">
        <f>=105411	 | Trojan.Win32.Buzus.V	 | 3f995a492303eae9a932d78b9b26717d</f>
        <v/>
      </c>
    </row>
    <row r="3990">
      <c r="A3990">
        <f>=105412	 | Trojan.Win32.Buzus.W	 | ace776a2b8d2467b1e86a9f0180a92b9</f>
        <v/>
      </c>
    </row>
    <row r="3991">
      <c r="A3991">
        <f>=105413	 | Trojan.Win32.Cridex.J	 | 0c3edf712ea5fb75b2d898b1e4feec01</f>
        <v/>
      </c>
    </row>
    <row r="3992">
      <c r="A3992">
        <f>=105414	 | Trojan.Win32.Cridex.K	 | 1c77086c86d288f7660e7f3795f9ef0d</f>
        <v/>
      </c>
    </row>
    <row r="3993">
      <c r="A3993">
        <f>=105416	 | Trojan.Win32.Dialer.F	 | 0ffece9bcd88c3a783025b4a5ccd4ff8</f>
        <v/>
      </c>
    </row>
    <row r="3994">
      <c r="A3994">
        <f>=105417	 | Trojan.Win32.Gofot.G	 | 1c2b958b32276db942c2b2cc1d37062f</f>
        <v/>
      </c>
    </row>
    <row r="3995">
      <c r="A3995">
        <f>=105418	 | Trojan.Win32.Magania.AU	 | 1d73c0b791b6f0c88a490ba74cf383dd</f>
        <v/>
      </c>
    </row>
    <row r="3996">
      <c r="A3996">
        <f>=105419	 | Trojan.Win32.ShipUp.FFIK	 | 86dc76957905c43823feebed4af867ae</f>
        <v/>
      </c>
    </row>
    <row r="3997">
      <c r="A3997">
        <f>=105420	 | Trojan.Win32.Zbot.TBTS	 | 0fc95f36fa6d2d11d91030b645e40cfb</f>
        <v/>
      </c>
    </row>
    <row r="3998">
      <c r="A3998">
        <f>=105421	 | Worm.Win32.AutoRun.DG	 | 1dc2ba2d7ba6d7f33ff56d83d582fe65</f>
        <v/>
      </c>
    </row>
    <row r="3999">
      <c r="A3999">
        <f>=105422	 | Worm.Win32.Moarider.B	 | 0a5e53c68633b2818fcd2e7325e6f62d</f>
        <v/>
      </c>
    </row>
    <row r="4000">
      <c r="A4000">
        <f>=105423	 | Backdoor.Win32.Sinowal.C	 | 5b3f559c4eac6a34d90ae759cd69f449</f>
        <v/>
      </c>
    </row>
    <row r="4001">
      <c r="A4001">
        <f>=105424	 | Worm.Win32.Skybag.C	 | fbfd7d30d8b27cd440a8a37ebb65bbca</f>
        <v/>
      </c>
    </row>
    <row r="4002">
      <c r="A4002">
        <f>=105425	 | Trojan.Win32.Autoit.GFA	 | 0a5e53c68633b2818fcd2e7325e6f62d</f>
        <v/>
      </c>
    </row>
    <row r="4003">
      <c r="A4003">
        <f>=105426	 | Trojan.Win64.CoinMiner.H	 | 12bd65ec592250363140999c105d4f61</f>
        <v/>
      </c>
    </row>
    <row r="4004">
      <c r="A4004">
        <f>=105429	 | Trojan.Win32.QQPass.EI	 | 9A3604139C29A67DE5FF512D16D8782F</f>
        <v/>
      </c>
    </row>
    <row r="4005">
      <c r="A4005">
        <f>=105432	 | Trojan.Win32.Generic.AK	 | 6E8834CAF712A57530C36925F2023726</f>
        <v/>
      </c>
    </row>
    <row r="4006">
      <c r="A4006">
        <f>=105433	 | Trojan.Win32.Generic.AL	 | b0e140d1cf3fcc16daa729d1c5c89557</f>
        <v/>
      </c>
    </row>
    <row r="4007">
      <c r="A4007">
        <f>=105434	 | Trojan.Win32.Dorkbot.B	 | 6bc7759b65a059e65c59ea8a10a27891</f>
        <v/>
      </c>
    </row>
    <row r="4008">
      <c r="A4008">
        <f>=105435	 | Backdoor.Win32.Farfli.C	 | D21FCE5429A8F2CC694DE02AE5C0EC07</f>
        <v/>
      </c>
    </row>
    <row r="4009">
      <c r="A4009">
        <f>=105437	 | Adware.Win32.Razy.A	 | 06e487282caa4df47cdfb1b92fbbff6e</f>
        <v/>
      </c>
    </row>
    <row r="4010">
      <c r="A4010">
        <f>=105438	 | Adware.Win32.Razy.B	 | 06e487282caa4df47cdfb1b92fbbff6e</f>
        <v/>
      </c>
    </row>
    <row r="4011">
      <c r="A4011">
        <f>=105439	 | Adware.Win32.Generic.A	 | 08c26ba6d75356f48052438726da6174</f>
        <v/>
      </c>
    </row>
    <row r="4012">
      <c r="A4012">
        <f>=105440	 | Adware.Win32.Generic.B	 | dd0c0dfed8da70c4cc4cec35f1e93830</f>
        <v/>
      </c>
    </row>
    <row r="4013">
      <c r="A4013">
        <f>=105441	 | Trojan.Win32.Dridex.A	 | 8EA2171896710B9CCE573A6CFFE43650</f>
        <v/>
      </c>
    </row>
    <row r="4014">
      <c r="A4014">
        <f>=105442	 | Trojan.Win64.Agent.A	 | 217BAEFD4595CCFC84569BF5D6ADB606</f>
        <v/>
      </c>
    </row>
    <row r="4015">
      <c r="A4015">
        <f>=105444	 | Trojan.Win32.Generic.AM	 | eb1286a56db40c1d1f0666f13c2011ec</f>
        <v/>
      </c>
    </row>
    <row r="4016">
      <c r="A4016">
        <f>=105445	 | Worm.Win32.Ganelp.A	 | 0fcbe3a3467e9ead6fe8172f8f8474fc</f>
        <v/>
      </c>
    </row>
    <row r="4017">
      <c r="A4017">
        <f>=105447	 | Trojan.Win32.Generic.AN	 | DBCFE5F5B568537450E9FC7B686ADFFD</f>
        <v/>
      </c>
    </row>
    <row r="4018">
      <c r="A4018">
        <f>=105448	 | Trojan.Win32.Agentb.BVIT	 | 03bd34a9ba4890f37ac8fed78feac199</f>
        <v/>
      </c>
    </row>
    <row r="4019">
      <c r="A4019">
        <f>=105451	 | Trojan.Win32.Ramsay.A	 | 8413ab4d5a950f81b40ceebc3f1e7273</f>
        <v/>
      </c>
    </row>
    <row r="4020">
      <c r="A4020">
        <f>=105452	 | Trojan.Win32.Ramsay.B	 | 3654C3FA86F19D253E4C70BDF5F3D158</f>
        <v/>
      </c>
    </row>
    <row r="4021">
      <c r="A4021">
        <f>=105453	 | Trojan.Win64.Ramsay.A	 | bb72720bc4583c6c4c3caa883a7dec95</f>
        <v/>
      </c>
    </row>
    <row r="4022">
      <c r="A4022">
        <f>=105454	 | Trojan.Win32.Ramsay.C	 | E61BA12C33DB1696715401D8FD0BAAE9</f>
        <v/>
      </c>
    </row>
    <row r="4023">
      <c r="A4023">
        <f>=105455	 | Trojan.Win32.Agent.XAANCS	 | 7130d68b2b259a3907249a13f5a9b7dd</f>
        <v/>
      </c>
    </row>
    <row r="4024">
      <c r="A4024">
        <f>=105459	 | Trojan.Win32.VB.DOSY	 | 010219025d4a09a7619547a474fb41f6</f>
        <v/>
      </c>
    </row>
    <row r="4025">
      <c r="A4025">
        <f>=105466	 | Trojan.Win32.Generic.AQ	 | fe1f2271cba31363afc4fe9336042139</f>
        <v/>
      </c>
    </row>
    <row r="4026">
      <c r="A4026">
        <f>=105467	 | Trojan.Win32.Generic.AR	 | fea18626e3aca0201cf11e8a89ab8a73</f>
        <v/>
      </c>
    </row>
    <row r="4027">
      <c r="A4027">
        <f>=105468	 | Trojan.Win64.Generic.C	 | afebbe88978a3d12149a30679a8a8428</f>
        <v/>
      </c>
    </row>
    <row r="4028">
      <c r="A4028">
        <f>=105469	 | Trojan.Win32.Shakblades.A	 | ff671c10b6888dabbc8540496caf64c4</f>
        <v/>
      </c>
    </row>
    <row r="4029">
      <c r="A4029">
        <f>=105471	 | Trojan.Win32.Zbot.TBTT	 | BA43A5289490785E788B746473254E1D</f>
        <v/>
      </c>
    </row>
    <row r="4030">
      <c r="A4030">
        <f>=105472	 | Backdoor.Win32.IRCbot.J	 | 1B13E93C6E015FA78914291959310455</f>
        <v/>
      </c>
    </row>
    <row r="4031">
      <c r="A4031">
        <f>=105473	 | Backdoor.Win32.Berbew.A	 | 3EAD653A5F1290767EB652DDB234D4C3</f>
        <v/>
      </c>
    </row>
    <row r="4032">
      <c r="A4032">
        <f>=105474	 | Trojan.Win32.AutInject.A	 | 0db9fba2e43259d02eda1203acc9ab81</f>
        <v/>
      </c>
    </row>
    <row r="4033">
      <c r="A4033">
        <f>=105475	 | Trojan.Win32.CoinMiner.K	 | 0208928577cd0758b22071a35eab7925</f>
        <v/>
      </c>
    </row>
    <row r="4034">
      <c r="A4034">
        <f>=105477	 | Trojan.Win32.Dridex.B	 | 0ad8e7de5ce54e1b8c7d0dbc747cf6af</f>
        <v/>
      </c>
    </row>
    <row r="4035">
      <c r="A4035">
        <f>=105487	 | Trojan.Win32.Generic.AS	 | 7e0ba3e36a8de480cbc1e571628a506c</f>
        <v/>
      </c>
    </row>
    <row r="4036">
      <c r="A4036">
        <f>=105488	 | Trojan.Win64.Generic.D	 | d70cf4bc99e30617eb6b18bff2f33d53</f>
        <v/>
      </c>
    </row>
    <row r="4037">
      <c r="A4037">
        <f>=105491	 | Trojan.Win32.Generic.AT	 | 04701fb61b0d41051a271f9340a1fa00</f>
        <v/>
      </c>
    </row>
    <row r="4038">
      <c r="A4038">
        <f>=105495	 | Backdoor.Win32.Wabot.D	 | f136bd53bb510b1c79d899f880759ce8</f>
        <v/>
      </c>
    </row>
    <row r="4039">
      <c r="A4039">
        <f>=105496	 | Trojan.Win32.DownloaderGuide.A	 | ff526b19e8ba6ef7b66add23b6edaebe</f>
        <v/>
      </c>
    </row>
    <row r="4040">
      <c r="A4040">
        <f>=105497	 | Trojan.Win32.Injexa.A	 | 252e99c7993d71e493aaba01890d25b5</f>
        <v/>
      </c>
    </row>
    <row r="4041">
      <c r="A4041">
        <f>=105498	 | Trojan.Win32.Cridex.M	 | feedc642a80bab8cfb6977fe6b0f50b3</f>
        <v/>
      </c>
    </row>
    <row r="4042">
      <c r="A4042">
        <f>=105499	 | Trojan.Win32.Cridex.N	 | ffa90b9f365a0d9fba4f47e0dd7af02f</f>
        <v/>
      </c>
    </row>
    <row r="4043">
      <c r="A4043">
        <f>=105500	 | Trojan.Win32.Qbot.H	 | 056c03d9436cabded61dacca8aace58f</f>
        <v/>
      </c>
    </row>
    <row r="4044">
      <c r="A4044">
        <f>=105501	 | VirTool.Win32.AutInject.D	 | 5b9bdf007eecc9ec194f9e019564eefd</f>
        <v/>
      </c>
    </row>
    <row r="4045">
      <c r="A4045">
        <f>=105502	 | VirTool.Win32.AutInject.E	 | eb767754829fd1c0e5a1083e4e5bac6a</f>
        <v/>
      </c>
    </row>
    <row r="4046">
      <c r="A4046">
        <f>=105504	 | Ransom.Win32.Agent.B	 | d16c4f8d0bdcc9742fd3636a72584a17</f>
        <v/>
      </c>
    </row>
    <row r="4047">
      <c r="A4047">
        <f>=105510	 | Ransom.Win32.Avaddon.A	 | c9ec0d9ff44f445ce5614cc87398b38d</f>
        <v/>
      </c>
    </row>
    <row r="4048">
      <c r="A4048">
        <f>=105512	 | Trojan.Win32.Banload.A	 | 0ba5113c0c663c3a75e891cd121e797b</f>
        <v/>
      </c>
    </row>
    <row r="4049">
      <c r="A4049">
        <f>=105513	 | Trojan.Win64.Meterpreter.A	 | cccf872e671e4715bc9587ec2c2ebb28</f>
        <v/>
      </c>
    </row>
    <row r="4050">
      <c r="A4050">
        <f>=105514	 | Trojan.Win32.MalBehav.A	 | 01e437d7249b5bd663e4563e4f6d9aed</f>
        <v/>
      </c>
    </row>
    <row r="4051">
      <c r="A4051">
        <f>=105516	 | Trojan.Win32.Generic.AW	 | ae2a08285e8662e9a67f15dcd2d3b443</f>
        <v/>
      </c>
    </row>
    <row r="4052">
      <c r="A4052">
        <f>=105517	 | Trojan.Win32.Generic.AX	 | 0b7fafd68c07e471bedebeec52f2a362</f>
        <v/>
      </c>
    </row>
    <row r="4053">
      <c r="A4053">
        <f>=105523	 | Trojan.Win32.Patched.C	 | 1b6ebf6a9950b85444e7e76554077c80</f>
        <v/>
      </c>
    </row>
    <row r="4054">
      <c r="A4054">
        <f>=105524	 | Trojan.Win32.Sdum.B	 | 0c28be7844c3d6b79d7294f98846d6f3</f>
        <v/>
      </c>
    </row>
    <row r="4055">
      <c r="A4055">
        <f>=105525	 | Trojan.Win32.Agent.XAANCT	 | 78D3C8705F8BAF7D34E6A6737D1CFA18</f>
        <v/>
      </c>
    </row>
    <row r="4056">
      <c r="A4056">
        <f>=105526	 | Trojan.Win32.Patched.D	 | 4b3ef5925be897a361dacbc7652956e8</f>
        <v/>
      </c>
    </row>
    <row r="4057">
      <c r="A4057">
        <f>=105527	 | Ransom.Win32.Snake.B	 | 7ddb09db3fb9b01fa931c2a1a41e13e1</f>
        <v/>
      </c>
    </row>
    <row r="4058">
      <c r="A4058">
        <f>=105528	 | Trojan.Win32.Generic.BA	 | 3961b2fc22a2aa30bb0b1a23e6916674</f>
        <v/>
      </c>
    </row>
    <row r="4059">
      <c r="A4059">
        <f>=105529	 | Trojan.Win32.Predator.A	 | 082b4fac101d6e4993ba796df4d6ea10</f>
        <v/>
      </c>
    </row>
    <row r="4060">
      <c r="A4060">
        <f>=105531	 | Trojan.Win32.LokiBot.B	 | 073c08c8b1e85492e3ba6cbc73082155</f>
        <v/>
      </c>
    </row>
    <row r="4061">
      <c r="A4061">
        <f>=105532	 | Trojan.Win32.Zloader.A	 | fe6c57037b21e6c5171e597d4971fdb8</f>
        <v/>
      </c>
    </row>
    <row r="4062">
      <c r="A4062">
        <f>=105535	 | Worm.Win32.Sfone.C	 | 5da1a8fd6ca71d6854533b17a4828384</f>
        <v/>
      </c>
    </row>
    <row r="4063">
      <c r="A4063">
        <f>=105536	 | Trojan.Win32.Generic.BB	 | 5b14a7fdbfe85db114ce6214e81514ec</f>
        <v/>
      </c>
    </row>
    <row r="4064">
      <c r="A4064">
        <f>=105538	 | Backdoor.Win32.Androm.GEP	 | 3d5429f11f8953e9f1205f535f2c655c</f>
        <v/>
      </c>
    </row>
    <row r="4065">
      <c r="A4065">
        <f>=105540	 | Backdoor.Win32.Androm.GEQ	 | 4a0375a2db22b0d47ffe8ca196cf0716</f>
        <v/>
      </c>
    </row>
    <row r="4066">
      <c r="A4066">
        <f>=105541	 | Adware.Win32.ICLoader.A	 | 0a28c3013e13b270008cf28c24cd7365</f>
        <v/>
      </c>
    </row>
    <row r="4067">
      <c r="A4067">
        <f>=105542	 | Adware.Win32.ICLoader.B	 | 0aaf8ab4c875f10aff6c4b6513b0afdc</f>
        <v/>
      </c>
    </row>
    <row r="4068">
      <c r="A4068">
        <f>=105543	 | Trojan.Win32.Axespec.A	 | 0aafe23271a69807fc12e2636986ab8b</f>
        <v/>
      </c>
    </row>
    <row r="4069">
      <c r="A4069">
        <f>=105544	 | Adware.Win32.ICLoader.C	 | a1c2b6ee14523f1bde3f9e04dfa52862</f>
        <v/>
      </c>
    </row>
    <row r="4070">
      <c r="A4070">
        <f>=105545	 | Adware.Win32.InstallMonster.A	 | 08a374dabc6beb9dd8ec5eafbac3bb3d</f>
        <v/>
      </c>
    </row>
    <row r="4071">
      <c r="A4071">
        <f>=105546	 | Trojan.Win32.Salgorea.A	 | 23b5004c420a71ad6c332ed1fa4e9fd5</f>
        <v/>
      </c>
    </row>
    <row r="4072">
      <c r="A4072">
        <f>=105547	 | Trojan.Win32.Generic.BC	 | 768d41cb14fd594c0c2798bb7716043a</f>
        <v/>
      </c>
    </row>
    <row r="4073">
      <c r="A4073">
        <f>=105548	 | Trojan.Win32.Qbot.I	 | 66b4343450f439b074223099abbc7f1b</f>
        <v/>
      </c>
    </row>
    <row r="4074">
      <c r="A4074">
        <f>=105549	 | Trojan.Win32.Wacatac.E	 | c04a98584e2a432f36c640d5488c1530</f>
        <v/>
      </c>
    </row>
    <row r="4075">
      <c r="A4075">
        <f>=105552	 | Trojan.Win32.Axespec.C	 | ad9a045e9d6f7f128233b770be6ca48f</f>
        <v/>
      </c>
    </row>
    <row r="4076">
      <c r="A4076">
        <f>=105553	 | Trojan.Win32.Sality.HC	 | 1fd8c5bfce0a23c554d214a26d78d762</f>
        <v/>
      </c>
    </row>
    <row r="4077">
      <c r="A4077">
        <f>=105554	 | Trojan.Win32.Agensla.A	 | 8db3c52956f3ff7b6b82a2739a1617e4</f>
        <v/>
      </c>
    </row>
    <row r="4078">
      <c r="A4078">
        <f>=105555	 | Trojan.Win32.Agensla.B	 | ed9a1be2273d5f88aeb43def70213708</f>
        <v/>
      </c>
    </row>
    <row r="4079">
      <c r="A4079">
        <f>=105557	 | Trojan.Win32.Generic.BE	 | 2a952325fdec446b429534021545d49f</f>
        <v/>
      </c>
    </row>
    <row r="4080">
      <c r="A4080">
        <f>=105558	 | Trojan.Win32.Senta.A	 | fc33b44fef4ed4cd64e8e4694dd98659</f>
        <v/>
      </c>
    </row>
    <row r="4081">
      <c r="A4081">
        <f>=105559	 | Trojan.Win32.LokiBot.C	 | 0b7501df1360a84e3d36edd83b481cbc</f>
        <v/>
      </c>
    </row>
    <row r="4082">
      <c r="A4082">
        <f>=105560	 | Trojan.Win32.Generic.BF	 | 3d1cc4ef33bad0e39c757fce317ef82a</f>
        <v/>
      </c>
    </row>
    <row r="4083">
      <c r="A4083">
        <f>=105561	 | Trojan.Win32.Generic.BG	 | 1ca735edfb586d2a8b06396a1f51af94</f>
        <v/>
      </c>
    </row>
    <row r="4084">
      <c r="A4084">
        <f>=105563	 | Trojan.Win32.Generic.BH	 | 06d9680882210b28bb5b34c04967541e</f>
        <v/>
      </c>
    </row>
    <row r="4085">
      <c r="A4085">
        <f>=105564	 | Virtool.Win32.Injector.A	 | 0d0445a3dd7a72fdb75e94dcfe2d167a</f>
        <v/>
      </c>
    </row>
    <row r="4086">
      <c r="A4086">
        <f>=105566	 | Trojan.Win64.Generic.E	 | 2a551b1a3cbda7fedc365a05884b4a7b</f>
        <v/>
      </c>
    </row>
    <row r="4087">
      <c r="A4087">
        <f>=105569	 | Adware.Win32.Mailru.C	 | 135713928b675575bfb484a61a0d6ce8</f>
        <v/>
      </c>
    </row>
    <row r="4088">
      <c r="A4088">
        <f>=105571	 | Trojan.Win32.Zloader.B	 | 9BC579D302D26D4A6F5705F36655A471</f>
        <v/>
      </c>
    </row>
    <row r="4089">
      <c r="A4089">
        <f>=105574	 | Trojan.Win32.Generic.BK	 | 1104f2deb3c7a4064d0f55f7bfa2daa7</f>
        <v/>
      </c>
    </row>
    <row r="4090">
      <c r="A4090">
        <f>=105575	 | Trojan.Win32.Cridex.O	 | 0bf6c50b387488ea6e101f67f22975dd</f>
        <v/>
      </c>
    </row>
    <row r="4091">
      <c r="A4091">
        <f>=105576	 | Trojan.Win32.Agensla.C	 | 10f96e8cfe5d7254e6d0bf1cd0e4ca86</f>
        <v/>
      </c>
    </row>
    <row r="4092">
      <c r="A4092">
        <f>=105578	 | Trojan.Win32.CoinMiner.M	 | ce854dd32e1d931cd6a791b30dcd9458</f>
        <v/>
      </c>
    </row>
    <row r="4093">
      <c r="A4093">
        <f>=105579	 | Trojan.Win64.CoinMiner.I	 | ce854dd32e1d931cd6a791b30dcd9458</f>
        <v/>
      </c>
    </row>
    <row r="4094">
      <c r="A4094">
        <f>=105590	 | Trojan.Win32.Generic.BL	 | 04683473852567d5e7a54894bc43bdc9</f>
        <v/>
      </c>
    </row>
    <row r="4095">
      <c r="A4095">
        <f>=105591	 | Trojan.Win64.Generic.F	 | b9065a71572e72e145239aab0326a72c</f>
        <v/>
      </c>
    </row>
    <row r="4096">
      <c r="A4096">
        <f>=105592	 | Trojan.Win64.Generic.G	 | f54cdf8f6945ea3af77451b3a7d2ff82</f>
        <v/>
      </c>
    </row>
    <row r="4097">
      <c r="A4097">
        <f>=105594	 | Trojan.Win32.Generic.BM	 | 95efe83b90650acc4620129a8081c720</f>
        <v/>
      </c>
    </row>
    <row r="4098">
      <c r="A4098">
        <f>=105598	 | Trojan.Win32.Generic.BN	 | eabff44fea1205b2142fc75aff94d295</f>
        <v/>
      </c>
    </row>
    <row r="4099">
      <c r="A4099">
        <f>=105599	 | Trojan.Win32.Generic.BO	 | 7bcb37208f6e5534d5fdefad0c0ba589</f>
        <v/>
      </c>
    </row>
    <row r="4100">
      <c r="A4100">
        <f>=105601	 | Trojan.Win32.Generic.BP	 | be6fb209abc0ff38d0ed9d142d3e2e53</f>
        <v/>
      </c>
    </row>
    <row r="4101">
      <c r="A4101">
        <f>=105602	 | Trojan.Win32.Generic.BQ	 | c0c1aabe2c7514fcade32dd59a194533</f>
        <v/>
      </c>
    </row>
    <row r="4102">
      <c r="A4102">
        <f>=105603	 | Trojan.Win32.Generic.BR	 | 0dcd083cc7f20c5a86556a3470bbed1c</f>
        <v/>
      </c>
    </row>
    <row r="4103">
      <c r="A4103">
        <f>=105604	 | Trojan.Win32.Generic.BS	 | 2852218de872345c479d134931524454</f>
        <v/>
      </c>
    </row>
    <row r="4104">
      <c r="A4104">
        <f>=105605	 | Trojan.Win32.Generic.BT	 | 8dbf4d72704e103a49f09743a033e6e8</f>
        <v/>
      </c>
    </row>
    <row r="4105">
      <c r="A4105">
        <f>=105629	 | Trojan.Win32.Yakes.L	 | 5db3b2e61e89327960ec56edb7545308</f>
        <v/>
      </c>
    </row>
    <row r="4106">
      <c r="A4106">
        <f>=105630	 | Trojan.Win32.NanoCore.B	 | 107c2ce5a7442f54b4d968ce5a5582b6</f>
        <v/>
      </c>
    </row>
    <row r="4107">
      <c r="A4107">
        <f>=105631	 | Trojan.Win32.Agent.XAANCV	 | 1259a4eeaaf04ec1f6cb51b09652b527</f>
        <v/>
      </c>
    </row>
    <row r="4108">
      <c r="A4108">
        <f>=105632	 | Trojan.Win32.Generic.CP	 | 88ac23fcd271e1d46c805d4497f79e8f</f>
        <v/>
      </c>
    </row>
    <row r="4109">
      <c r="A4109">
        <f>=105633	 | Trojan.Win32.Generic.CQ	 | 2a49dfd5801f05d07f9459194c3d91ef</f>
        <v/>
      </c>
    </row>
    <row r="4110">
      <c r="A4110">
        <f>=105634	 | Trojan.Win32.Generic.CR	 | 88ac23fcd271e1d46c805d4497f79e8f</f>
        <v/>
      </c>
    </row>
    <row r="4111">
      <c r="A4111">
        <f>=105641	 | Trojan.Win32.Generic.CS	 | 26db73516082bb88684e80d325c667f3</f>
        <v/>
      </c>
    </row>
    <row r="4112">
      <c r="A4112">
        <f>=105642	 | Trojan.Win32.Generic.CT	 | 24fedda6795198a2177fe141b17d876b</f>
        <v/>
      </c>
    </row>
    <row r="4113">
      <c r="A4113">
        <f>=105643	 | Worm.Win32.Zombaque.A	 | b076073fea51de5a6666bc7d86b38a62</f>
        <v/>
      </c>
    </row>
    <row r="4114">
      <c r="A4114">
        <f>=105644	 | Trojan.Win32.Banker.C	 | 4be9a82b4c8d8331671342492b192676</f>
        <v/>
      </c>
    </row>
    <row r="4115">
      <c r="A4115">
        <f>=105647	 | Trojan.Win32.Skeeyah.C	 | 0b1e7cbe1b2eddb9e4b9a0beb21c6555</f>
        <v/>
      </c>
    </row>
    <row r="4116">
      <c r="A4116">
        <f>=105648	 | Trojan.Win32.Qakbot.A	 | 785E10F2052C26C8C504FB2C40EB6AD5</f>
        <v/>
      </c>
    </row>
    <row r="4117">
      <c r="A4117">
        <f>=105649	 | Trojan.Win32.Obfuscator.D	 | 2b51a2d61c56811b45153824a5ea1e18</f>
        <v/>
      </c>
    </row>
    <row r="4118">
      <c r="A4118">
        <f>=105650	 | Adware.Win32.StartSurf.B	 | 71beae4a3f3f15c3ac5a369ed85f45f4</f>
        <v/>
      </c>
    </row>
    <row r="4119">
      <c r="A4119">
        <f>=105651	 | Trojan.Win32.Generic.CV	 | 286eb462a3743d210a152771e1151b3f</f>
        <v/>
      </c>
    </row>
    <row r="4120">
      <c r="A4120">
        <f>=105652	 | Trojan.Win32.Generic.CW	 | 01242ca937e364ba5f8d3e81b0ce25c4</f>
        <v/>
      </c>
    </row>
    <row r="4121">
      <c r="A4121">
        <f>=105653	 | Trojan.Win32.Generic.CX	 | 8b019db6729436d1373434c2641d187b</f>
        <v/>
      </c>
    </row>
    <row r="4122">
      <c r="A4122">
        <f>=105654	 | Trojan.Win32.Vebzenpak.A	 | 475f1e60dd8b0d56a1e20931c3616b05</f>
        <v/>
      </c>
    </row>
    <row r="4123">
      <c r="A4123">
        <f>=105655	 | Trojan.Win32.Zenpak.F	 | 8daa7295549f2a2add4e9e09ef8e2d96</f>
        <v/>
      </c>
    </row>
    <row r="4124">
      <c r="A4124">
        <f>=105656	 | Trojan.Win32.Generic.CY	 | 4f2142020b00bdc12301837309f7338b</f>
        <v/>
      </c>
    </row>
    <row r="4125">
      <c r="A4125">
        <f>=105657	 | Trojan.Win32.Patched.E	 | 0e247c9e44b6afb9201f40206160c679</f>
        <v/>
      </c>
    </row>
    <row r="4126">
      <c r="A4126">
        <f>=105661	 | Adware.Win32.Prepscram.B	 | 441f6af45db9fd752c8bb593958d0487</f>
        <v/>
      </c>
    </row>
    <row r="4127">
      <c r="A4127">
        <f>=105664	 | Adware.Win32.Prepscram.D	 | 1c46e56bb558cb529affdb30f31f2d9a</f>
        <v/>
      </c>
    </row>
    <row r="4128">
      <c r="A4128">
        <f>=105665	 | Trojan.Win32.CryptInject.A	 | cbfad51afdbe7d82de79cbe84dd4a24c</f>
        <v/>
      </c>
    </row>
    <row r="4129">
      <c r="A4129">
        <f>=105666	 | Trojan.Win32.GameHack.C	 | 0dfc109484125e6403fd1be622bd68bc</f>
        <v/>
      </c>
    </row>
    <row r="4130">
      <c r="A4130">
        <f>=105667	 | Trojan.Win32.GameHack.D	 | ff8bd0beb407b4f54ffe0e8773d8b9a0</f>
        <v/>
      </c>
    </row>
    <row r="4131">
      <c r="A4131">
        <f>=105669	 | Backdoor.Win32.Nanocore.BCE	 | 19d62b632ac9a12f5d007388e13080a9</f>
        <v/>
      </c>
    </row>
    <row r="4132">
      <c r="A4132">
        <f>=105672	 | Trojan.Win32.Agensla.D	 | 2e94ef6c43d08caab1c88bb5dd598839</f>
        <v/>
      </c>
    </row>
    <row r="4133">
      <c r="A4133">
        <f>=105674	 | Trojan.Win32.Agensla.E	 | 2e72b333fe39054bf48baa5ce8f3ef80</f>
        <v/>
      </c>
    </row>
    <row r="4134">
      <c r="A4134">
        <f>=105675	 | Trojan.Win32.Generic.DD	 | 0d748a24ea79b476248b8b7a52a0c7c3</f>
        <v/>
      </c>
    </row>
    <row r="4135">
      <c r="A4135">
        <f>=105677	 | Trojan.Win32.Agensla.F	 | 8cc78b99285f4f4c527c0ea786410f5a</f>
        <v/>
      </c>
    </row>
    <row r="4136">
      <c r="A4136">
        <f>=105679	 | Trojan.Win32.Generic.DG	 | 84d14ffcf87f61429c2b692bd79f9c6e</f>
        <v/>
      </c>
    </row>
    <row r="4137">
      <c r="A4137">
        <f>=105680	 | Trojan.Win32.NanoBot.A	 | 02e466d985e426c33ce2234115575e24</f>
        <v/>
      </c>
    </row>
    <row r="4138">
      <c r="A4138">
        <f>=105681	 | Trojan.Win32.Formbook.B	 | ffe452c0ddf8d7c335f5e6f1708d606c</f>
        <v/>
      </c>
    </row>
    <row r="4139">
      <c r="A4139">
        <f>=105682	 | Trojan.Win32.Agensla.G	 | 4f17251eaff88b6a3986ca7442ff4409</f>
        <v/>
      </c>
    </row>
    <row r="4140">
      <c r="A4140">
        <f>=105685	 | Backdoor.Win32.Remcos.B	 | 52d743ed582ce38af6f64d6f462a094e</f>
        <v/>
      </c>
    </row>
    <row r="4141">
      <c r="A4141">
        <f>=105686	 | Trojan.Win32.Agensla.H	 | c0479f3086ccffbbf18fb370104e7005</f>
        <v/>
      </c>
    </row>
    <row r="4142">
      <c r="A4142">
        <f>=105687	 | Trojan.Win32.Agensla.I	 | 751eb985ce055ec5d64c8d4260ac5060</f>
        <v/>
      </c>
    </row>
    <row r="4143">
      <c r="A4143">
        <f>=105688	 | Worm.Win32.Viking.K	 | 4f9381090bef28b5d913a25e6e1c3574</f>
        <v/>
      </c>
    </row>
    <row r="4144">
      <c r="A4144">
        <f>=105689	 | Backdoor.Win32.NanoBot.A	 | 1133c5fe7cff13cd9d3128fd5aa84794</f>
        <v/>
      </c>
    </row>
    <row r="4145">
      <c r="A4145">
        <f>=105691	 | Trojan.Win32.Gandcrab.BE	 | d803e68e58c9c9ae05969d3c9e6ff7a0</f>
        <v/>
      </c>
    </row>
    <row r="4146">
      <c r="A4146">
        <f>=105692	 | Trojan.Win32.Generic.DJ	 | 1fea1d04ad791f61dcfd100680da1ebf</f>
        <v/>
      </c>
    </row>
    <row r="4147">
      <c r="A4147">
        <f>=105693	 | Trojan.Win32.Generic.DK	 | 15e3f435aafb8bfb0a1d17ffdecbf51f</f>
        <v/>
      </c>
    </row>
    <row r="4148">
      <c r="A4148">
        <f>=105694	 | Trojan.Win32.Generic.DL	 | 4fff2e73fe6c89041ef78fec27b729a6</f>
        <v/>
      </c>
    </row>
    <row r="4149">
      <c r="A4149">
        <f>=105696	 | Trojan.Win32.Generic.DM	 | 5e7bd3df461f113b34b6a945fdec7f9a</f>
        <v/>
      </c>
    </row>
    <row r="4150">
      <c r="A4150">
        <f>=105697	 | Trojan.Win32.Generic.DN	 | d1c03b29684a4e71fd67a1a4d6fc35d2</f>
        <v/>
      </c>
    </row>
    <row r="4151">
      <c r="A4151">
        <f>=105698	 | Trojan.Win32.Generic.DO	 | 9b2dfb3c619cd74fef7110f7f6f53a29</f>
        <v/>
      </c>
    </row>
    <row r="4152">
      <c r="A4152">
        <f>=105699	 | Backdoor.Win32.Plite.BHVC	 | 0048d6127e07fd4332dc3b4bc6eb5f14</f>
        <v/>
      </c>
    </row>
    <row r="4153">
      <c r="A4153">
        <f>=105700	 | Ransom.Win32.GandCrab.BC	 | 215bf761e2568deedb6437c9afaa655d</f>
        <v/>
      </c>
    </row>
    <row r="4154">
      <c r="A4154">
        <f>=105701	 | Trojan.Win32.Generic.DP	 | 003e8746fc3abc5b0c1ba3606368c75c</f>
        <v/>
      </c>
    </row>
    <row r="4155">
      <c r="A4155">
        <f>=105702	 | Trojan.Win32.GenericCryptor.A	 | cafa17a964c0d90e36e5863a2143b5c0</f>
        <v/>
      </c>
    </row>
    <row r="4156">
      <c r="A4156">
        <f>=105703	 | Ransom.Win32.GandCrab.BD	 | 3c4696596987005ce2ca666bd468213f</f>
        <v/>
      </c>
    </row>
    <row r="4157">
      <c r="A4157">
        <f>=105704	 | Trojan.Win32.Scar.OJNQ	 | 2725a18aac73877c5dfd1e1b949f42c5</f>
        <v/>
      </c>
    </row>
    <row r="4158">
      <c r="A4158">
        <f>=105705	 | Ransom.Win32.GandCrab.BE	 | 03b9df869a07c9af071d7190434e68b3</f>
        <v/>
      </c>
    </row>
    <row r="4159">
      <c r="A4159">
        <f>=105706	 | Trojan.Win32.upatre.GELUS	 | 2fa99054bef893bf8de966d68e6e10ef</f>
        <v/>
      </c>
    </row>
    <row r="4160">
      <c r="A4160">
        <f>=105707	 | Trojan.Win32.golf.J	 | 1e43a759083c6f922b7e83f2fd97fb34</f>
        <v/>
      </c>
    </row>
    <row r="4161">
      <c r="A4161">
        <f>=105708	 | Trojan.Win32.golf.K	 | 11d2d82c3258b5ed34fbe0829d906b76</f>
        <v/>
      </c>
    </row>
    <row r="4162">
      <c r="A4162">
        <f>=105710	 | Trojan.Win32.Generic.DQ	 | 0cdda8d0d294839c739889c2ffe96bbe</f>
        <v/>
      </c>
    </row>
    <row r="4163">
      <c r="A4163">
        <f>=105711	 | worm.Win32.Conficker.AC	 | 0a87a1330c3b759df65b4911bf0c1df6</f>
        <v/>
      </c>
    </row>
    <row r="4164">
      <c r="A4164">
        <f>=105712	 | Trojan.Win32.Generic.DR	 | 0307a2e32c7f84b08a93c79574206085</f>
        <v/>
      </c>
    </row>
    <row r="4165">
      <c r="A4165">
        <f>=105713	 | Trojan.Win32.Gamespy.B	 | 1ffbb42a9bc82fde74b1d2bcfdde1d7c</f>
        <v/>
      </c>
    </row>
    <row r="4166">
      <c r="A4166">
        <f>=105715	 | Trojan.Win32.Golf.L	 | d56661b4b78a5396ede5c0c832447c79</f>
        <v/>
      </c>
    </row>
    <row r="4167">
      <c r="A4167">
        <f>=105716	 | Trojan.Win32.Golf.M	 | cfee5c1b7a5f0bcb574e781de2abcaf7</f>
        <v/>
      </c>
    </row>
    <row r="4168">
      <c r="A4168">
        <f>=105717	 | Worm.Win32.Grenam.A	 | d301896bc81fe4159a4509dacdde4da9</f>
        <v/>
      </c>
    </row>
    <row r="4169">
      <c r="A4169">
        <f>=105718	 | Virtool.Win32.Obfuscator.DA	 | 38a0e9318fd817fcac7760cb11fb897d</f>
        <v/>
      </c>
    </row>
    <row r="4170">
      <c r="A4170">
        <f>=105719	 | Trojan.Win32.Unruy.N	 | 00b2f1de1dd90b2a2fbb72fa153b5cc8</f>
        <v/>
      </c>
    </row>
    <row r="4171">
      <c r="A4171">
        <f>=105726	 | Virtool.Win32.Upatre.B	 | 15cd2e50ef67ba49754627595d168fb4</f>
        <v/>
      </c>
    </row>
    <row r="4172">
      <c r="A4172">
        <f>=105728	 | Trojan.Win32.Golf.N	 | 04ffc71e6fa48447a5f66f7318a171e8</f>
        <v/>
      </c>
    </row>
    <row r="4173">
      <c r="A4173">
        <f>=105729	 | Trojan.Win32.Gepys.W	 | 07221119965cb45917a14dc1919471da</f>
        <v/>
      </c>
    </row>
    <row r="4174">
      <c r="A4174">
        <f>=105730	 | Trojan.Win32.Generic.DT	 | 6b9384c0ac38376388d84277290ee405</f>
        <v/>
      </c>
    </row>
    <row r="4175">
      <c r="A4175">
        <f>=105731	 | Trojan.Win32.Generic.DU	 | 9e0dbe5d600976e4fc037e763421aa38</f>
        <v/>
      </c>
    </row>
    <row r="4176">
      <c r="A4176">
        <f>=105732	 | Ransom.Win32.Gandcrab.BF	 | a37d6c8d9934eaf88bf3ed5dc15f863d</f>
        <v/>
      </c>
    </row>
    <row r="4177">
      <c r="A4177">
        <f>=105733	 | Ransom.Win32.Gandcrab.BG	 | 124546eca2514bef184cc9e2d8f9bbea</f>
        <v/>
      </c>
    </row>
    <row r="4178">
      <c r="A4178">
        <f>=105739	 | Trojan.Win32.Generic.DW	 | 00b242b8d04b1b233442277b7485df97</f>
        <v/>
      </c>
    </row>
    <row r="4179">
      <c r="A4179">
        <f>=105740	 | Trojan.Win32.Downloader.GFM	 | 0e0bf31f6d7906d3aef41d64996818e7</f>
        <v/>
      </c>
    </row>
    <row r="4180">
      <c r="A4180">
        <f>=105741	 | Worm.Win32.Autorun.DH	 | 07cd0ebe57bcbdc4eaf1027abf568396</f>
        <v/>
      </c>
    </row>
    <row r="4181">
      <c r="A4181">
        <f>=105742	 | Backdoor.Win32.Sopic.A	 | 03bcf69cc0e66a15f430c9e2e7eb6ebc</f>
        <v/>
      </c>
    </row>
    <row r="4182">
      <c r="A4182">
        <f>=105743	 | Trojan.Win32.NetWire.GEO	 | 0e43a6badc4e046570ae03ddb5802e92</f>
        <v/>
      </c>
    </row>
    <row r="4183">
      <c r="A4183">
        <f>=105745	 | Trojan.Win64.Generic.I	 | 9fa7b1aa0febe748b9a05fb098cb899a</f>
        <v/>
      </c>
    </row>
    <row r="4184">
      <c r="A4184">
        <f>=105746	 | Trojan.Win32.Generic.DX	 | 1a4556a50dc58063e363e9e91c83e334</f>
        <v/>
      </c>
    </row>
    <row r="4185">
      <c r="A4185">
        <f>=105748	 | Trojan.Win32.Generic.DY	 | ee3cbadae7d556ec47e773455f0a41ca</f>
        <v/>
      </c>
    </row>
    <row r="4186">
      <c r="A4186">
        <f>=105749	 | Trojan.Win32.Generic.EA	 | ef63f7b6d827e48ba59ddc332bfdbed5</f>
        <v/>
      </c>
    </row>
    <row r="4187">
      <c r="A4187">
        <f>=105750	 | Trojan.Win32.Generic.EB	 | f7e8658d8ee33614093cdfa93da98ca2</f>
        <v/>
      </c>
    </row>
    <row r="4188">
      <c r="A4188">
        <f>=105753	 | Trojan.Win32.Generic.EE	 | fdf233ef5173abfac8b7851d72f00da2</f>
        <v/>
      </c>
    </row>
    <row r="4189">
      <c r="A4189">
        <f>=105754	 | Trojan.Win32.Agent.XAANCW	 | f72f42d4354904de0dfb9f81a0d4ad22</f>
        <v/>
      </c>
    </row>
    <row r="4190">
      <c r="A4190">
        <f>=105755	 | Trojan.Win32.Agent.XAANCX	 | fb1ca46ee4a46d317531e1d78f8e8e91</f>
        <v/>
      </c>
    </row>
    <row r="4191">
      <c r="A4191">
        <f>=105756	 | Trojan.Win32.Starter.B	 | 9d27bde5ab9209e66530fb4a0c035ce7</f>
        <v/>
      </c>
    </row>
    <row r="4192">
      <c r="A4192">
        <f>=105757	 | Trojan.Win32.AutoRun.CE	 | 2c801e445f56f910c4b796e06682a5c3</f>
        <v/>
      </c>
    </row>
    <row r="4193">
      <c r="A4193">
        <f>=105758	 | VirTool.Win32.Meterpreter.A	 | 0a5f742dad3c92cc8cc742fa52c4c83c</f>
        <v/>
      </c>
    </row>
    <row r="4194">
      <c r="A4194">
        <f>=105760	 | Adware.Win32.SoftonicDownloader.A	 | e7a79da857d0d11dae95d702acb17f9c</f>
        <v/>
      </c>
    </row>
    <row r="4195">
      <c r="A4195">
        <f>=105761	 | Backdoor.Win32.Remcos.C	 | fdc4cdadba1421568f4f3dfc1725e4eb</f>
        <v/>
      </c>
    </row>
    <row r="4196">
      <c r="A4196">
        <f>=105763	 | Trojan.Win32.Agent.XAANCY	 | fd26d88179a94191c859c923cfdb490c</f>
        <v/>
      </c>
    </row>
    <row r="4197">
      <c r="A4197">
        <f>=105764	 | Backdoor.Win32.Remcos.D	 | 78d83096ef64689ea09093093e1e3eae</f>
        <v/>
      </c>
    </row>
    <row r="4198">
      <c r="A4198">
        <f>=105765	 | Trojan.Win32.Generic.EF	 | b75127c143fb71a3def19cbab1e50291</f>
        <v/>
      </c>
    </row>
    <row r="4199">
      <c r="A4199">
        <f>=105769	 | Backdoor.Win32.Remcos.E	 | 0776079a4d2894da8eab46bede5e15a4</f>
        <v/>
      </c>
    </row>
    <row r="4200">
      <c r="A4200">
        <f>=105770	 | Trojan.Win32.Wacatac.F	 | 0cc0877dcbb9add786ddfdc1846c6e83</f>
        <v/>
      </c>
    </row>
    <row r="4201">
      <c r="A4201">
        <f>=105771	 | Trojan.Win32.Occamy.A	 | caab1819bdd7b66001a9b834e5e6808d</f>
        <v/>
      </c>
    </row>
    <row r="4202">
      <c r="A4202">
        <f>=105772	 | Trojan.Win32.DecryptLoader.A	 | 703b48ccd05c363ac493ca22acad0c17</f>
        <v/>
      </c>
    </row>
    <row r="4203">
      <c r="A4203">
        <f>=105773	 | Trojan.Win32.DecryptLoader.B	 | 703b48ccd05c363ac493ca22acad0c17</f>
        <v/>
      </c>
    </row>
    <row r="4204">
      <c r="A4204">
        <f>=105774	 | Trojan.Win32.Generic.EG	 | 0a65554a9ba4a2eb9a068e2c43621ccd</f>
        <v/>
      </c>
    </row>
    <row r="4205">
      <c r="A4205">
        <f>=105776	 | Trojan.Win32.Generic.EI	 | 1f7ee25b154a9dfe742a7be74ef3fa0c</f>
        <v/>
      </c>
    </row>
    <row r="4206">
      <c r="A4206">
        <f>=105777	 | Trojan.Win32.Generic.EJ	 | 352519d31b161d65e508c9714e48ade2</f>
        <v/>
      </c>
    </row>
    <row r="4207">
      <c r="A4207">
        <f>=105779	 | Trojan.Win32.ZEGhost.A	 | 6c4318e53374bf778820c3e0deb1b9a2</f>
        <v/>
      </c>
    </row>
    <row r="4208">
      <c r="A4208">
        <f>=105780	 | Trojan.Win32.ZEGhost.E	 | 25a145d44ca1146a21d5e30ddbc8fc26</f>
        <v/>
      </c>
    </row>
    <row r="4209">
      <c r="A4209">
        <f>=105781	 | Trojan.Win32.ZEGhost.B	 | 15e3f03b638c0716a2d01da55df673b4</f>
        <v/>
      </c>
    </row>
    <row r="4210">
      <c r="A4210">
        <f>=105782	 | Trojan.Win32.ZEGhost.F	 | 8f0a17ba06abf4a62ddb55e84966de7e</f>
        <v/>
      </c>
    </row>
    <row r="4211">
      <c r="A4211">
        <f>=105783	 | Trojan.Win32.Injector.GELUH	 | 67fb862e8e03f785ff2ab9f66f315d88</f>
        <v/>
      </c>
    </row>
    <row r="4212">
      <c r="A4212">
        <f>=105784	 | Adware.Win32.Mailru.D	 | 20c91bded03df2750a333c6a1ab6f001</f>
        <v/>
      </c>
    </row>
    <row r="4213">
      <c r="A4213">
        <f>=105785	 | Backdoor.Win32.Androm.GER	 | f9e73faa2422b19d49f6d1b70c99e17a</f>
        <v/>
      </c>
    </row>
    <row r="4214">
      <c r="A4214">
        <f>=105787	 | Trojan.Win32.Patched.F	 | f7d5e280e718a531560d27135ca9cffe</f>
        <v/>
      </c>
    </row>
    <row r="4215">
      <c r="A4215">
        <f>=105788	 | Trojan.Win32.Generic.EK	 | 3ef6ce59ac141a0680783730579300fb</f>
        <v/>
      </c>
    </row>
    <row r="4216">
      <c r="A4216">
        <f>=105789	 | Trojan.Win32.Generic.EL	 | 8be2ce031ef3f873e74be42998952f4d</f>
        <v/>
      </c>
    </row>
    <row r="4217">
      <c r="A4217">
        <f>=105790	 | Trojan.Win32.Generic.EM	 | 13d253beaeab7dc0feab143f1bf21f1f</f>
        <v/>
      </c>
    </row>
    <row r="4218">
      <c r="A4218">
        <f>=105791	 | Trojan.Win64.Generic.J	 | f189332c7e4e0cb142f4fd4211b74dd3</f>
        <v/>
      </c>
    </row>
    <row r="4219">
      <c r="A4219">
        <f>=105792	 | Trojan.Win32.Generic.EN	 | 6a3347381beea999a6eab80e4e48d7a2</f>
        <v/>
      </c>
    </row>
    <row r="4220">
      <c r="A4220">
        <f>=105793	 | Hackertool.Win64.CoinMiner.BCE	 | 41ee992709aa5edee477c7dc392b9326</f>
        <v/>
      </c>
    </row>
    <row r="4221">
      <c r="A4221">
        <f>=105796	 | Adware.Win32.Syncopate.C	 | d182f3b8a46ff702bb76ab7477d2e404</f>
        <v/>
      </c>
    </row>
    <row r="4222">
      <c r="A4222">
        <f>=105797	 | Hackertool.Win32.CoinMiner.D	 | f3979b2bce63d47513eafb10a4df5f2f</f>
        <v/>
      </c>
    </row>
    <row r="4223">
      <c r="A4223">
        <f>=105798	 | Trojan.Win32.NetWire.GEP	 | e4a911eae905f98e74d1a3d4e6f08c5e</f>
        <v/>
      </c>
    </row>
    <row r="4224">
      <c r="A4224">
        <f>=105799	 | Trojan.Win32.Upatre.GELUT	 | 02cfd8cddab0d627e5a1cf3390057048</f>
        <v/>
      </c>
    </row>
    <row r="4225">
      <c r="A4225">
        <f>=105800	 | Trojan.Win32.Generic.EO	 | ecb61ba10d129762f554a87addb8a8f2</f>
        <v/>
      </c>
    </row>
    <row r="4226">
      <c r="A4226">
        <f>=105801	 | Hackertool.Win64.CoinMiner.BCF	 | 0b9410ee3db2af6bd5bdfc361efee059</f>
        <v/>
      </c>
    </row>
    <row r="4227">
      <c r="A4227">
        <f>=105803	 | Trojan.Win32.Bigwolf.B	 | f98b142d0440eba6b37ae90526bb5ad0</f>
        <v/>
      </c>
    </row>
    <row r="4228">
      <c r="A4228">
        <f>=105807	 | Trojan.Win32.Generic.EP	 | fb2898c3daa94f682e51adf074d09e48</f>
        <v/>
      </c>
    </row>
    <row r="4229">
      <c r="A4229">
        <f>=105810	 | Adware.Win32.DownloadHelper.A	 | 2a5b807d8ed7d2cd5053d0ef5a63e284</f>
        <v/>
      </c>
    </row>
    <row r="4230">
      <c r="A4230">
        <f>=105811	 | Trojan.Win32.Generic.EQ	 | 7a929066fec5ecf1a2bc8577be8a73fb</f>
        <v/>
      </c>
    </row>
    <row r="4231">
      <c r="A4231">
        <f>=105813	 | Adware.Win32.StartSurf.C	 | 5f3d39edf4c237f43d99be62b6c89002</f>
        <v/>
      </c>
    </row>
    <row r="4232">
      <c r="A4232">
        <f>=105816	 | Trojan.Win32.Generic.ES	 | 1104f2deb3c7a4064d0f55f7bfa2daa7</f>
        <v/>
      </c>
    </row>
    <row r="4233">
      <c r="A4233">
        <f>=105817	 | Trojan.Win64.Generic.K	 | 1104f2deb3c7a4064d0f55f7bfa2daa7</f>
        <v/>
      </c>
    </row>
    <row r="4234">
      <c r="A4234">
        <f>=105818	 | Trojan.Win32.Generic.ET	 | 3f7793afde25d0c7f71045d0f6aa7eed</f>
        <v/>
      </c>
    </row>
    <row r="4235">
      <c r="A4235">
        <f>=105827	 | Trojan.Win32.Generic.EU	 | 0c97ef4c9816133591fd58442f47781e</f>
        <v/>
      </c>
    </row>
    <row r="4236">
      <c r="A4236">
        <f>=105828	 | Trojan.Win32.Generic.EV	 | 4d6d17634fd1a2fef2ac4a2fbfe910bc</f>
        <v/>
      </c>
    </row>
    <row r="4237">
      <c r="A4237">
        <f>=105829	 | Trojan.Win32.Injector.GELUI	 | 8f69e4e9063b3a37090161040e10da09</f>
        <v/>
      </c>
    </row>
    <row r="4238">
      <c r="A4238">
        <f>=105830	 | Trojan.Win32.Upatre.GELUU	 | 37db95a5a4abe48e2e41183bf97514aa</f>
        <v/>
      </c>
    </row>
    <row r="4239">
      <c r="A4239">
        <f>=105832	 | Adware.Win32.Adposhel.N	 | bd65fe75465a6af372574021ed4701c4</f>
        <v/>
      </c>
    </row>
    <row r="4240">
      <c r="A4240">
        <f>=105834	 | VirTool.Win32.DelfObfuscator.B	 | f2236c436cda895b8dec873ec1768401</f>
        <v/>
      </c>
    </row>
    <row r="4241">
      <c r="A4241">
        <f>=105835	 | Trojan.Win32.Pistolar.A	 | ebe482e18f8c1deca0ddd2449592e9ec</f>
        <v/>
      </c>
    </row>
    <row r="4242">
      <c r="A4242">
        <f>=105837	 | Trojan.Win32.Blocker.D	 | 4c8ba55636340da1c48546b5cf162ee7</f>
        <v/>
      </c>
    </row>
    <row r="4243">
      <c r="A4243">
        <f>=105838	 | Trojan.Win32.Generic.EW	 | a1f394fa2376737128e20fc9f6144ab0</f>
        <v/>
      </c>
    </row>
    <row r="4244">
      <c r="A4244">
        <f>=105840	 | Trojan.Win32.Agent.XAANDA	 | f97494b88673e20fe08152dc27b8102c</f>
        <v/>
      </c>
    </row>
    <row r="4245">
      <c r="A4245">
        <f>=105844	 | Trojan.Win32.Lokibot.E	 | eea6b7402f7b91027ad8b4089c212fce</f>
        <v/>
      </c>
    </row>
    <row r="4246">
      <c r="A4246">
        <f>=105846	 | Adware.Win32.Adposhel.O	 | edcf0ddea41ff411d40cc78ba8e46228</f>
        <v/>
      </c>
    </row>
    <row r="4247">
      <c r="A4247">
        <f>=105847	 | Trojan.Win32.Deceiver.A	 | fde78eec46d1bf2a0f436fde2ecb864d</f>
        <v/>
      </c>
    </row>
    <row r="4248">
      <c r="A4248">
        <f>=105848	 | Trojan.Win32.Mogoogwi.A	 | 298c88637caf15dfbbab91e4be1302e5</f>
        <v/>
      </c>
    </row>
    <row r="4249">
      <c r="A4249">
        <f>=105849	 | VirTool.Win32.Obfuscator.DB	 | 000d4971cc9244279c4558f0c8b2ee83</f>
        <v/>
      </c>
    </row>
    <row r="4250">
      <c r="A4250">
        <f>=105850	 | VirTool.Win32.Obfuscator.DC	 | 3f6e393b1ca953ecb67ebd0f69afdf7f</f>
        <v/>
      </c>
    </row>
    <row r="4251">
      <c r="A4251">
        <f>=105851	 | Adware.Win32.BrowseFox.C	 | 6ab8ef5a0bdc1c1865a367c32a607fda</f>
        <v/>
      </c>
    </row>
    <row r="4252">
      <c r="A4252">
        <f>=105852	 | Trojan.Win32.Obfuscated.BU	 | 759fbe7a11feaec484071bc1aacc0220</f>
        <v/>
      </c>
    </row>
    <row r="4253">
      <c r="A4253">
        <f>=105853	 | VirTool.Win32.Obfuscator.DD	 | 0fd30c51197e7f3b2b11f8515aaef888</f>
        <v/>
      </c>
    </row>
    <row r="4254">
      <c r="A4254">
        <f>=105854	 | VirTool.Win32.Obfuscator.DE	 | 7fbd11b7dffc3c4e80afe86e7a4eece8</f>
        <v/>
      </c>
    </row>
    <row r="4255">
      <c r="A4255">
        <f>=105855	 | Worm.Win32.Ainslot.A	 | 352ae174c016c29438571005faee7d2f</f>
        <v/>
      </c>
    </row>
    <row r="4256">
      <c r="A4256">
        <f>=105856	 | Trojan.Win32.injector.GELUJ	 | 3c6fe56e4fdfd10687ca4bbf2c33696a</f>
        <v/>
      </c>
    </row>
    <row r="4257">
      <c r="A4257">
        <f>=105858	 | Adware.Win32.BrowseFox.E	 | 2d1ec4fda8247c0aac67ff7fd01115ef</f>
        <v/>
      </c>
    </row>
    <row r="4258">
      <c r="A4258">
        <f>=105859	 | Trojan.Win32.AveMaria.B	 | 3b7586be4577874299e94f3888b5a6e6</f>
        <v/>
      </c>
    </row>
    <row r="4259">
      <c r="A4259">
        <f>=105860	 | Trojan.Win32.Noon.GEP	 | 1ee8779df434ed9d6d4440e341f578de</f>
        <v/>
      </c>
    </row>
    <row r="4260">
      <c r="A4260">
        <f>=105862	 | Adware.Win32.Adposhel.P	 | eb5c16476a3bfc079dda067e6e05d24e</f>
        <v/>
      </c>
    </row>
    <row r="4261">
      <c r="A4261">
        <f>=105864	 | Trojan.Win32.Dorv.B	 | cf3cf6ef6649cd1fac50264708f543e1</f>
        <v/>
      </c>
    </row>
    <row r="4262">
      <c r="A4262">
        <f>=105866	 | Trojan.Win32.Patched.G	 | d49d2e7bd714fe3572ad40635e155c78</f>
        <v/>
      </c>
    </row>
    <row r="4263">
      <c r="A4263">
        <f>=105867	 | Backdoor.Win32.Kirts.A	 | 50b1df5ddcf2467a5605e5a31fa7a713</f>
        <v/>
      </c>
    </row>
    <row r="4264">
      <c r="A4264">
        <f>=105868	 | Trojan.Win32.Generic.EX	 | 3b1758a4cc0a1f1c10ea84cdc435c52d</f>
        <v/>
      </c>
    </row>
    <row r="4265">
      <c r="A4265">
        <f>=105869	 | Trojan.Win32.Noon.GER	 | 08f6d230a75002e4a266c6e122a46638</f>
        <v/>
      </c>
    </row>
    <row r="4266">
      <c r="A4266">
        <f>=105871	 | Trojan.Win32.Agensla.K	 | 6a900ab5687467da9d41d82776c80567</f>
        <v/>
      </c>
    </row>
    <row r="4267">
      <c r="A4267">
        <f>=105872	 | Trojan.Win32.Agent.XAANDC	 | fdc9779b5093bc6ef7b014bce73b0562</f>
        <v/>
      </c>
    </row>
    <row r="4268">
      <c r="A4268">
        <f>=105873	 | Trojan.Win32.Noon.GET	 | 4a4d29b055d786c3d1d21138e609611d</f>
        <v/>
      </c>
    </row>
    <row r="4269">
      <c r="A4269">
        <f>=105874	 | Trojan.Win32.Fake.BCI	 | d69c696c748412d07b1c615eb5adaf9e</f>
        <v/>
      </c>
    </row>
    <row r="4270">
      <c r="A4270">
        <f>=105875	 | Trojan.Win32.Formbook.C	 | 09534a1ddfc4bd3cb7e0263f8f49633d</f>
        <v/>
      </c>
    </row>
    <row r="4271">
      <c r="A4271">
        <f>=105876	 | Trojan.Win32.Injector.GELUK	 | 4f9b1e57ba908291fad9b2c3be6a61f3</f>
        <v/>
      </c>
    </row>
    <row r="4272">
      <c r="A4272">
        <f>=105877	 | Trojan.Win32.Injector.GELUL	 | 07532088dfc43f18dccb9ae2b8ed6b3a</f>
        <v/>
      </c>
    </row>
    <row r="4273">
      <c r="A4273">
        <f>=105879	 | Trojan.Win32.Aenjaris.A	 | d580f680b7c7d69d67c146fd402219d9</f>
        <v/>
      </c>
    </row>
    <row r="4274">
      <c r="A4274">
        <f>=105880	 | Trojan.Win32.Downloader.GFQ	 | da0f193bf60658223faa5ab68497da86</f>
        <v/>
      </c>
    </row>
    <row r="4275">
      <c r="A4275">
        <f>=105881	 | VirTool.Win32.EmulEvader.A	 | f0ed277873cc3111e8d71c06c0680515</f>
        <v/>
      </c>
    </row>
    <row r="4276">
      <c r="A4276">
        <f>=105882	 | Worm.Win32.Ainslot.B	 | c5473d6fa40c69b1500bfc1bd533afa9</f>
        <v/>
      </c>
    </row>
    <row r="4277">
      <c r="A4277">
        <f>=105886	 | Trojan.Win32.Beaugrit.A	 | ec1fcf572c14f0c5ed41537768aa8e74</f>
        <v/>
      </c>
    </row>
    <row r="4278">
      <c r="A4278">
        <f>=105887	 | Trojan.Win32.Estiwir.A	 | f15c7aaf6adbd19bc9c915f142633a52</f>
        <v/>
      </c>
    </row>
    <row r="4279">
      <c r="A4279">
        <f>=105888	 | Trojan.Win32.Generic.FA	 | c5445f56aaa1c02f105dc0a28fbf925e</f>
        <v/>
      </c>
    </row>
    <row r="4280">
      <c r="A4280">
        <f>=105889	 | Trojan.Win32.injector.GELUM	 | f2cfbcaf64491c43b3a20972948dd841</f>
        <v/>
      </c>
    </row>
    <row r="4281">
      <c r="A4281">
        <f>=105890	 | Trojan.Win32.Injector.GELUN	 | b60e237b55601fd012b72747edacb569</f>
        <v/>
      </c>
    </row>
    <row r="4282">
      <c r="A4282">
        <f>=105892	 | Trojan.Win32.Fakewmi.A	 | 667A3848B411AF0B6C944D47B559150F</f>
        <v/>
      </c>
    </row>
    <row r="4283">
      <c r="A4283">
        <f>=105893	 | Trojan.Win64.Agent.C	 | 5ab6f8ca1f22d88b8ef9a4e39fca0c03</f>
        <v/>
      </c>
    </row>
    <row r="4284">
      <c r="A4284">
        <f>=105894	 | Trojan.Win32.Agensla.L	 | f9b6187b8d9c3d80cd0a092cd5bc91dc</f>
        <v/>
      </c>
    </row>
    <row r="4285">
      <c r="A4285">
        <f>=105895	 | Backdoor.Win32.NanoBot.B	 | f60b9844224e01456f03f6ec8ce69087</f>
        <v/>
      </c>
    </row>
    <row r="4286">
      <c r="A4286">
        <f>=105896	 | Trojan.Win32.Fsysna.FCPT	 | 30429a24f312153c0ec271ca3feabf3d</f>
        <v/>
      </c>
    </row>
    <row r="4287">
      <c r="A4287">
        <f>=105898	 | Trojan.Win32.Occamy.B	 | cce36235a525858eb55070847296c4c8</f>
        <v/>
      </c>
    </row>
    <row r="4288">
      <c r="A4288">
        <f>=105900	 | Trojan.Win32.Agent.XAANDE	 | f62e1e403e5a29049ede0bc7e601a9e4</f>
        <v/>
      </c>
    </row>
    <row r="4289">
      <c r="A4289">
        <f>=105905	 | Backdoor.Win32.Bladabindi.B	 | C02381B58DBC4045F52818852DC7D2A8</f>
        <v/>
      </c>
    </row>
    <row r="4290">
      <c r="A4290">
        <f>=105907	 | Backdoor.Win32.Agent.D	 | ffdc589b30c6efc865b63dc1d37203b3</f>
        <v/>
      </c>
    </row>
    <row r="4291">
      <c r="A4291">
        <f>=105908	 | Backdoor.Win32.Agent.E	 | 10a18812662bbd5d9021bf4826af5190</f>
        <v/>
      </c>
    </row>
    <row r="4292">
      <c r="A4292">
        <f>=105910	 | Trojan.Win32.DownLoader.EH	 | 02c7065f2205ab273aa1c7c1c21c9769</f>
        <v/>
      </c>
    </row>
    <row r="4293">
      <c r="A4293">
        <f>=105911	 | Backdoor.Win32.Bladabindi.BCI	 | fc4aba021650c439b02dddf02e2fc87e</f>
        <v/>
      </c>
    </row>
    <row r="4294">
      <c r="A4294">
        <f>=105912	 | Backdoor.Win32.Bladabindi.H	 | 030da4352ad39661a9bdab636dd1c944</f>
        <v/>
      </c>
    </row>
    <row r="4295">
      <c r="A4295">
        <f>=105913	 | Backdoor.Win32.Androm.GES	 | 6a627ab6ab4c0f47f4a04491d1275f45</f>
        <v/>
      </c>
    </row>
    <row r="4296">
      <c r="A4296">
        <f>=105914	 | Trojan.Win32.Generic.FC	 | fbab492929081fb538ccceaa8b6bc739</f>
        <v/>
      </c>
    </row>
    <row r="4297">
      <c r="A4297">
        <f>=105915	 | Adware.Win32.Generic.D	 | 4b6b991d02bdbd36f2b7c8d570478244</f>
        <v/>
      </c>
    </row>
    <row r="4298">
      <c r="A4298">
        <f>=105916	 | Adware.Win32.Generic.E	 | 3a5614d51a4e97dd721f4a00b4f62db6</f>
        <v/>
      </c>
    </row>
    <row r="4299">
      <c r="A4299">
        <f>=105917	 | Trojan.Win32.Generic.FD	 | fb6777409e5b6b7a2b2a1fd85e7e0cdb</f>
        <v/>
      </c>
    </row>
    <row r="4300">
      <c r="A4300">
        <f>=105918	 | Trojan.Win32.Agensla.M	 | ff19d6d1d000c070e7fdbdd96f24e63c</f>
        <v/>
      </c>
    </row>
    <row r="4301">
      <c r="A4301">
        <f>=105919	 | Trojan.Win32.Agensla.N	 | f39b622dac62dba6c6aac66d19c40337</f>
        <v/>
      </c>
    </row>
    <row r="4302">
      <c r="A4302">
        <f>=105920	 | Ransom.Win32.Avaddon.B	 | dfbd739cf1fc044d589d4402ec19ee85</f>
        <v/>
      </c>
    </row>
    <row r="4303">
      <c r="A4303">
        <f>=105921	 | Trojan.Win32.Agentb.BVIU	 | f2479b4d3ccde5c360b778b91c582559</f>
        <v/>
      </c>
    </row>
    <row r="4304">
      <c r="A4304">
        <f>=105922	 | Trojan.Win32.MalBehav.GELUD	 | e17e277caa09b3356c204cfb497abd55</f>
        <v/>
      </c>
    </row>
    <row r="4305">
      <c r="A4305">
        <f>=105923	 | Trojan.Win32.Obfuscated.BV	 | e6930103326d7d9555d2296f31056541</f>
        <v/>
      </c>
    </row>
    <row r="4306">
      <c r="A4306">
        <f>=105924	 | Trojan.Win32.MalBehav.GELUE	 | f2c33dde03d45f482389851c0961eb6c</f>
        <v/>
      </c>
    </row>
    <row r="4307">
      <c r="A4307">
        <f>=105925	 | Adware.Win32.Generic.F	 | 1f3de8d45a2728f6fa7aaebe16bb7be6</f>
        <v/>
      </c>
    </row>
    <row r="4308">
      <c r="A4308">
        <f>=105926	 | Trojan.Win32.Generic.FE	 | 4cf6c4aad7455d44f924cfaf208cf678</f>
        <v/>
      </c>
    </row>
    <row r="4309">
      <c r="A4309">
        <f>=105927	 | Trojan.Win32.Generic.FF	 | 0dd4a1d807c847ae5802e22c4bcbaab1</f>
        <v/>
      </c>
    </row>
    <row r="4310">
      <c r="A4310">
        <f>=105928	 | Trojan.Win32.Generic.FG	 | ff77e8473f326710b7a9b1228ee246cc</f>
        <v/>
      </c>
    </row>
    <row r="4311">
      <c r="A4311">
        <f>=105930	 | Backdoor.Win32.Bladabindi.BCJ	 | 542f51a840cbc8c3d35ba137aea316e5</f>
        <v/>
      </c>
    </row>
    <row r="4312">
      <c r="A4312">
        <f>=105932	 | Adware.Win32.DownloadGuide.AEF	 | fc284b1302d506cb7f2745cc622c9050</f>
        <v/>
      </c>
    </row>
    <row r="4313">
      <c r="A4313">
        <f>=105946	 | Backdoor.Win32.Remcos.F	 | 6b8fbdfd7adfade194b8a6b0a32b0694</f>
        <v/>
      </c>
    </row>
    <row r="4314">
      <c r="A4314">
        <f>=105948	 | Trojan.Win32.Taskun.A	 | a46b36ba116c390dcf271ae5349bc669</f>
        <v/>
      </c>
    </row>
    <row r="4315">
      <c r="A4315">
        <f>=105949	 | Trojan.Win32.Zenpak.G	 | 703f2ed74f96332f8a46307bd5507da4</f>
        <v/>
      </c>
    </row>
    <row r="4316">
      <c r="A4316">
        <f>=105950	 | Trojan.Win32.Zenpak.H	 | 6628b0c522037b8956256ed850253153</f>
        <v/>
      </c>
    </row>
    <row r="4317">
      <c r="A4317">
        <f>=105961	 | Adware.Win32.Generic.G	 | db4fda2c8a71144edc30a56e402eea7f</f>
        <v/>
      </c>
    </row>
    <row r="4318">
      <c r="A4318">
        <f>=105963	 | Trojan.Win32.CoinMiner.N	 | 16575a37e97e7931fa10b36f92896406</f>
        <v/>
      </c>
    </row>
    <row r="4319">
      <c r="A4319">
        <f>=105964	 | Trojan.Win32.Hynamer.A	 | eda3d90f819677353aaf57cb78a2c8b8</f>
        <v/>
      </c>
    </row>
    <row r="4320">
      <c r="A4320">
        <f>=105965	 | Trojan.Win32.Wacatac.G	 | d78c363f595be4a16b25e347f204ed9a</f>
        <v/>
      </c>
    </row>
    <row r="4321">
      <c r="A4321">
        <f>=105966	 | Trojan.Win32.Inject.GELUO	 | 73c06c75bd9aa0a194b0dc73ab38cac5</f>
        <v/>
      </c>
    </row>
    <row r="4322">
      <c r="A4322">
        <f>=105967	 | Worm.Win32.AutoRun.DI	 | 9433c4dad010399a7127ea74c1b14bd5</f>
        <v/>
      </c>
    </row>
    <row r="4323">
      <c r="A4323">
        <f>=105969	 | Trojan.Win32.Agensla.P	 | ff19d6d1d000c070e7fdbdd96f24e63c</f>
        <v/>
      </c>
    </row>
    <row r="4324">
      <c r="A4324">
        <f>=105970	 | Trojan.Win32.AutInject.B	 | f46dc133c97b7dea0f787fcb4e43e5c3</f>
        <v/>
      </c>
    </row>
    <row r="4325">
      <c r="A4325">
        <f>=105971	 | Trojan.Win32.Noon.GEU	 | 01d115a5e701d368e504b9468a6bb7d9</f>
        <v/>
      </c>
    </row>
    <row r="4326">
      <c r="A4326">
        <f>=105972	 | Trojan.Win64.SelfDel.A	 | 7d0843570a9784873b077621751d18ba</f>
        <v/>
      </c>
    </row>
    <row r="4327">
      <c r="A4327">
        <f>=105978	 | Trojan.Win32.Noon.GEV	 | 6539035ea923db330ade3b69a82bce9a</f>
        <v/>
      </c>
    </row>
    <row r="4328">
      <c r="A4328">
        <f>=105979	 | Trojan.Win64.Injexa.A	 | 0788969e94678b0892c92b106d9ad796</f>
        <v/>
      </c>
    </row>
    <row r="4329">
      <c r="A4329">
        <f>=105980	 | Trojan.Win32.Zenpak.I	 | a2dd353afb3bda123d168248dd044397</f>
        <v/>
      </c>
    </row>
    <row r="4330">
      <c r="A4330">
        <f>=105983	 | Hackertool.Win32.SmbAgent.A	 | f929afa917280bb5bebc4e48dca8d556</f>
        <v/>
      </c>
    </row>
    <row r="4331">
      <c r="A4331">
        <f>=105984	 | Trojan.Win32.Agent.XAANDG	 | 2862d42e9a71ab6873c4ea3f85b8e766</f>
        <v/>
      </c>
    </row>
    <row r="4332">
      <c r="A4332">
        <f>=105985	 | Trojan.Win32.AgentTesla.B	 | 0e3e129ba9a536ace05bcf77293b67aa</f>
        <v/>
      </c>
    </row>
    <row r="4333">
      <c r="A4333">
        <f>=105986	 | VirTool.Win32.AutInject.F	 | be91c4f169bc771938a0187d442f7618</f>
        <v/>
      </c>
    </row>
    <row r="4334">
      <c r="A4334">
        <f>=105989	 | Ransom.Win32.Avaddon.C	 | b711caaa7d0deca37f1f04dcfa2021d8</f>
        <v/>
      </c>
    </row>
    <row r="4335">
      <c r="A4335">
        <f>=105994	 | Trojan.Win32.Generic.FJ	 | 1104f2deb3c7a4064d0f55f7bfa2daa7</f>
        <v/>
      </c>
    </row>
    <row r="4336">
      <c r="A4336">
        <f>=105995	 | Trojan.Win64.Generic.L	 | 1104f2deb3c7a4064d0f55f7bfa2daa7</f>
        <v/>
      </c>
    </row>
    <row r="4337">
      <c r="A4337">
        <f>=105996	 | Trojan.Win64.Generic.M	 | 1104f2deb3c7a4064d0f55f7bfa2daa7</f>
        <v/>
      </c>
    </row>
    <row r="4338">
      <c r="A4338">
        <f>=105997	 | Trojan.Win32.Generic.FK	 | 1104f2deb3c7a4064d0f55f7bfa2daa7</f>
        <v/>
      </c>
    </row>
    <row r="4339">
      <c r="A4339">
        <f>=105998	 | Trojan.Win32.Agensla.Q	 | 3b98f882a591b3acb709cf8eec68ea49</f>
        <v/>
      </c>
    </row>
    <row r="4340">
      <c r="A4340">
        <f>=105999	 | Trojan.Win32.Generic.FL	 | 16d7d0873d3b8e0cf4c39028b562d0a4</f>
        <v/>
      </c>
    </row>
    <row r="4341">
      <c r="A4341">
        <f>=106000	 | Trojan.Win32.Noon.GEW	 | 014adda5870bc91afdb606026ef6d6e4</f>
        <v/>
      </c>
    </row>
    <row r="4342">
      <c r="A4342">
        <f>=106001	 | Trojan.Win32.Zenpak.J	 | 13784ed4b93dd3b24085ba1496c75d3c</f>
        <v/>
      </c>
    </row>
    <row r="4343">
      <c r="A4343">
        <f>=106002	 | Trojan.Win64.Injexa.B	 | 0788969e94678b0892c92b106d9ad796</f>
        <v/>
      </c>
    </row>
    <row r="4344">
      <c r="A4344">
        <f>=106010	 | Hackertool.Win32.Remoxec.A	 | 6983f7001de10f4d19fc2d794c3eb534</f>
        <v/>
      </c>
    </row>
    <row r="4345">
      <c r="A4345">
        <f>=106013	 | Backdoor.Win32.Bladabindi.BCK	 | cfc4587b37f69d9aff79178314ef6dc7</f>
        <v/>
      </c>
    </row>
    <row r="4346">
      <c r="A4346">
        <f>=106014	 | Trojan.Win32.Agent.XAANDH	 | f87450d619d411f2df31940cf8760d2c</f>
        <v/>
      </c>
    </row>
    <row r="4347">
      <c r="A4347">
        <f>=106015	 | Trojan.Win32.Noon.GEX	 | f4d9c12a3b0d0f951ee254ead204d2c4</f>
        <v/>
      </c>
    </row>
    <row r="4348">
      <c r="A4348">
        <f>=106018	 | Trojan.Win32.Generic.FQ	 | 8a865380bead944feba0657738b16711</f>
        <v/>
      </c>
    </row>
    <row r="4349">
      <c r="A4349">
        <f>=106020	 | Adware.Win32.StartSurf.D	 | 4d8f4da6b3eb11e2b23ef92b887b0928</f>
        <v/>
      </c>
    </row>
    <row r="4350">
      <c r="A4350">
        <f>=106021	 | Trojan.Win32.Dnoper.A	 | 6abdc58d80cfc1feb0d13c8adb563112</f>
        <v/>
      </c>
    </row>
    <row r="4351">
      <c r="A4351">
        <f>=106022	 | Trojan.Win32.Generic.FR	 | 92bc834d418707b72dc91dab06118407</f>
        <v/>
      </c>
    </row>
    <row r="4352">
      <c r="A4352">
        <f>=106023	 | Trojan.Win32.Generic.FS	 | de527d7a33c995f2ccb203b4fbdd62ad</f>
        <v/>
      </c>
    </row>
    <row r="4353">
      <c r="A4353">
        <f>=106025	 | Ransom.Win32.Avaddon.D	 | f9b0a4167c75b55698e71d5edf97177f</f>
        <v/>
      </c>
    </row>
    <row r="4354">
      <c r="A4354">
        <f>=106026	 | Trojan.Win32.Upatre.GELUV	 | a014482fa423e6b07bc75096f1007a28</f>
        <v/>
      </c>
    </row>
    <row r="4355">
      <c r="A4355">
        <f>=106027	 | Trojan.Win32.Upatre.GELUW	 | fd2bd9dc8630e7a9989c28af2a75d7b4</f>
        <v/>
      </c>
    </row>
    <row r="4356">
      <c r="A4356">
        <f>=106029	 | Backdoor.Win32.Emotet.A	 | 01bb742acaa8b2f9823df03aca658ba8</f>
        <v/>
      </c>
    </row>
    <row r="4357">
      <c r="A4357">
        <f>=106030	 | Trojan.Win32.Zenpak.K	 | 0a51731622e0ea9c75a1a5d0ceedc89d</f>
        <v/>
      </c>
    </row>
    <row r="4358">
      <c r="A4358">
        <f>=106032	 | Trojan.Win64.Generic.N	 | 12776033fc6434ff064b4494fbb812d8</f>
        <v/>
      </c>
    </row>
    <row r="4359">
      <c r="A4359">
        <f>=106033	 | Backdoor.Win32.Generic.BBD	 | 298bf5b42573a70ca38dc4a11a439e28</f>
        <v/>
      </c>
    </row>
    <row r="4360">
      <c r="A4360">
        <f>=106034	 | Backdoor.Win32.Generic.BBE	 | 094a83c222515d597a72beb7665c61f0</f>
        <v/>
      </c>
    </row>
    <row r="4361">
      <c r="A4361">
        <f>=106035	 | Backdoor.Win32.Generic.BBF	 | 0b1bd299ac8ce5eefe2e1ee5740f2488</f>
        <v/>
      </c>
    </row>
    <row r="4362">
      <c r="A4362">
        <f>=106036	 | Trojan.Win64.SelfDel.B	 | 2f46b741d4a12196513993e27e9be1fa</f>
        <v/>
      </c>
    </row>
    <row r="4363">
      <c r="A4363">
        <f>=106037	 | Trojan.Win32.Generic.FU	 | 01f8b65fb79698b46da8f9ef555bad5f</f>
        <v/>
      </c>
    </row>
    <row r="4364">
      <c r="A4364">
        <f>=106038	 | Trojan.Win32.SelfDel.A	 | 7c5173633d5e2e87d9032f04e8e9ac4d</f>
        <v/>
      </c>
    </row>
    <row r="4365">
      <c r="A4365">
        <f>=106039	 | Trojan.Win32.DownloadGuide.A	 | f793c810765558fd21b66ca3481e6313</f>
        <v/>
      </c>
    </row>
    <row r="4366">
      <c r="A4366">
        <f>=106040	 | Adware.Win32.InstallMonster.B	 | e387408aea868341ac18b5388435faa0</f>
        <v/>
      </c>
    </row>
    <row r="4367">
      <c r="A4367">
        <f>=106041	 | Adware.Win32.Solimba.A	 | 355429b1556fd883a273e379e31bc76a</f>
        <v/>
      </c>
    </row>
    <row r="4368">
      <c r="A4368">
        <f>=106042	 | Trojan.Win32.Emotet.DBTUMTF	 | f9d93615cb15ab6b66e8c7778a7678fd</f>
        <v/>
      </c>
    </row>
    <row r="4369">
      <c r="A4369">
        <f>=106043	 | Worm.Win32.Krol.A	 | fb8878523104d56fe2a288b9c6a4c05d</f>
        <v/>
      </c>
    </row>
    <row r="4370">
      <c r="A4370">
        <f>=106044	 | Adware.Win32.DuoTe.B	 | abf5afbf56c11a05e496a941e6235bce</f>
        <v/>
      </c>
    </row>
    <row r="4371">
      <c r="A4371">
        <f>=106046	 | Adware.Win32.FirseriaInstaller.B	 | 0bc8b422aa438105cd5417bc711b3717</f>
        <v/>
      </c>
    </row>
    <row r="4372">
      <c r="A4372">
        <f>=106048	 | Trojan.Win32.Meterpreter.B	 | 13979bcb7554e93f83fe45fd8fe7c363</f>
        <v/>
      </c>
    </row>
    <row r="4373">
      <c r="A4373">
        <f>=106049	 | Trojan.Win32.Meterpreter.C	 | 0c78550dd45b37999d5e56f5152af08f</f>
        <v/>
      </c>
    </row>
    <row r="4374">
      <c r="A4374">
        <f>=106050	 | Trojan.Win32.Meterpreter.D	 | 27be3c09da2f6cb1ff6533e8e6ed9bd5</f>
        <v/>
      </c>
    </row>
    <row r="4375">
      <c r="A4375">
        <f>=106053	 | Trojan.Win32.Meterpreter.G	 | 0f6b4753262ec317b4408a66c6563d3b</f>
        <v/>
      </c>
    </row>
    <row r="4376">
      <c r="A4376">
        <f>=106054	 | Trojan.Win64.Meterpreter.B	 | fde77a022a1fa110cc95a10361aac9f1</f>
        <v/>
      </c>
    </row>
    <row r="4377">
      <c r="A4377">
        <f>=106055	 | Trojan.Win32.Meterpreter.H	 | f82b7ad92b6c1e54a43755cba6001f84</f>
        <v/>
      </c>
    </row>
    <row r="4378">
      <c r="A4378">
        <f>=106058	 | Trojan.Win64.Meterpreter.C	 | 15365a79dd2c50ad927d97eb65979823</f>
        <v/>
      </c>
    </row>
    <row r="4379">
      <c r="A4379">
        <f>=106059	 | Trojan.Win32.Flame.A	 | ec992e35e794947a17804451f2a8857e</f>
        <v/>
      </c>
    </row>
    <row r="4380">
      <c r="A4380">
        <f>=106061	 | Trojan.Win64.Meterpreter.D	 | 3cbd11a25adbf1b943e153322a7f3aad</f>
        <v/>
      </c>
    </row>
    <row r="4381">
      <c r="A4381">
        <f>=106063	 | Trojan.Win32.Meterpreter.K	 | ffffc445eb80ead3f6b2e22ab7a1894f</f>
        <v/>
      </c>
    </row>
    <row r="4382">
      <c r="A4382">
        <f>=106064	 | Trojan.Win32.Generic.FV	 | 6137f5f43d67f5786ad003d869b91cec</f>
        <v/>
      </c>
    </row>
    <row r="4383">
      <c r="A4383">
        <f>=106067	 | Trojan.Win64.Meterpreter.F	 | 5e79486267bb67a7c72268eec14aa7ce</f>
        <v/>
      </c>
    </row>
    <row r="4384">
      <c r="A4384">
        <f>=106069	 | Trojan.Win32.Meterpreter.M	 | 0a6c31a09995d7c6868a69d7f5a3b49d</f>
        <v/>
      </c>
    </row>
    <row r="4385">
      <c r="A4385">
        <f>=106070	 | Trojan.Win64.Meterpreter.G	 | 17ae5ac35c8dba9eca70bde11db7b715</f>
        <v/>
      </c>
    </row>
    <row r="4386">
      <c r="A4386">
        <f>=106071	 | Trojan.Win32.Meterpreter.N	 | 53a23444a205a57ab02b68b7a7274dea</f>
        <v/>
      </c>
    </row>
    <row r="4387">
      <c r="A4387">
        <f>=106072	 | Trojan.Win32.Meterpreter.O	 | 5448d95cf7d80665669b8a1af9936e32</f>
        <v/>
      </c>
    </row>
    <row r="4388">
      <c r="A4388">
        <f>=106073	 | Trojan.Win64.Metasploit.A	 | 68d2c3d396338a4a99622c0d949247e1</f>
        <v/>
      </c>
    </row>
    <row r="4389">
      <c r="A4389">
        <f>=106075	 | Trojan.Win32.Metasploit.B	 | fe12b99c4c98b48710d0a4eaaf396a29</f>
        <v/>
      </c>
    </row>
    <row r="4390">
      <c r="A4390">
        <f>=106077	 | Trojan.Win32.Metasploit.D	 | ff78f886296713c42a14bb16b83fd4f1</f>
        <v/>
      </c>
    </row>
    <row r="4391">
      <c r="A4391">
        <f>=106082	 | Backdoor.Win32.Shadowpad.A	 | 97363d50a279492fda14cbab53429e75</f>
        <v/>
      </c>
    </row>
    <row r="4392">
      <c r="A4392">
        <f>=106084	 | Trojan.Win32.FlyStudio.C	 | a5848780b748f7070e888ac6491c9d18</f>
        <v/>
      </c>
    </row>
    <row r="4393">
      <c r="A4393">
        <f>=106086	 | Trojan.Win32.Vebzenpak.B	 | 5c13f90295685260ae69ae73a2c170b5</f>
        <v/>
      </c>
    </row>
    <row r="4394">
      <c r="A4394">
        <f>=106087	 | Trojan.Win32.Emotet.DBTUMTG	 | 20e10caa250540fb267a1848f03f1894</f>
        <v/>
      </c>
    </row>
    <row r="4395">
      <c r="A4395">
        <f>=106088	 | Trojan.Win32.Generic.FW	 | 02c9c015058180e0d4c52a08398b57fd</f>
        <v/>
      </c>
    </row>
    <row r="4396">
      <c r="A4396">
        <f>=106089	 | Trojan.Win32.Downloader.GFR	 | 0d49f8b4c8b2994913e24c5cd51ce660</f>
        <v/>
      </c>
    </row>
    <row r="4397">
      <c r="A4397">
        <f>=106090	 | Trojan.Win32.Azorult.A	 | 0b09a9cd23b64534546ee0fb11ae1faf</f>
        <v/>
      </c>
    </row>
    <row r="4398">
      <c r="A4398">
        <f>=106092	 | VirTool.Win32.Obfuscator.DF	 | c7e23580dc87a3cbeabbfa2ba3a564be</f>
        <v/>
      </c>
    </row>
    <row r="4399">
      <c r="A4399">
        <f>=106093	 | VirTool.Win32.Obfuscator.DG	 | 1828e93d45f716276928354d3bda4833</f>
        <v/>
      </c>
    </row>
    <row r="4400">
      <c r="A4400">
        <f>=106096	 | Trojan.Win32.Emotet.DBTUMTH	 | fa1ed7537e99a8deee62629e506ad9bd</f>
        <v/>
      </c>
    </row>
    <row r="4401">
      <c r="A4401">
        <f>=106097	 | VirTool.Win32.Obfuscator.DI	 | f54c39c49356db0843bb9fa795b4cc43</f>
        <v/>
      </c>
    </row>
    <row r="4402">
      <c r="A4402">
        <f>=106099	 | VirTool.Win32.Obfuscator.DJ	 | 01088a0bda96b6dfb4af819fe22bbd22</f>
        <v/>
      </c>
    </row>
    <row r="4403">
      <c r="A4403">
        <f>=106100	 | Trojan.Win32.Tpyn.A	 | 5df9b506a910bd44afb95e10a524330a</f>
        <v/>
      </c>
    </row>
    <row r="4404">
      <c r="A4404">
        <f>=106101	 | Backdoor.Win32.Emotet.B	 | 2fffb73ca87d523752294cccca2cfeef</f>
        <v/>
      </c>
    </row>
    <row r="4405">
      <c r="A4405">
        <f>=106119	 | Trojan.Win32.Downloader.GFS	 | 594f918ee1c07cc36f34c2b2d1dcb467</f>
        <v/>
      </c>
    </row>
    <row r="4406">
      <c r="A4406">
        <f>=106121	 | Trojan.Win32.Generic.FY	 | 4740CE17A39A86932E29E0B50C15A11E</f>
        <v/>
      </c>
    </row>
    <row r="4407">
      <c r="A4407">
        <f>=106123	 | Worm.Win32.AutoRun.DK	 | 9433c4dad010399a7127ea74c1b14bd5</f>
        <v/>
      </c>
    </row>
    <row r="4408">
      <c r="A4408">
        <f>=106126	 | Ransom.Win32.WastedLocker.B	 | ecb00e9a61f99a7d4c90723294986bbc</f>
        <v/>
      </c>
    </row>
    <row r="4409">
      <c r="A4409">
        <f>=106127	 | Ransom.Win32.WastedLocker.C	 | 2cc4534b0dd0e1c8d5b89644274a10c1</f>
        <v/>
      </c>
    </row>
    <row r="4410">
      <c r="A4410">
        <f>=106132	 | Trojan.Win32.Fuerboos.D	 | BF3A07E32220B78D65C9C945C6645C8E</f>
        <v/>
      </c>
    </row>
    <row r="4411">
      <c r="A4411">
        <f>=106133	 | Trojan.Win32.Fuerboos.E	 | 3fa1b99b3a5166ccba7e2a195940c156</f>
        <v/>
      </c>
    </row>
    <row r="4412">
      <c r="A4412">
        <f>=106134	 | Trojan.Win32.Fuerboos.F	 | D18B00DD084F16850A606D84DF94DEA1</f>
        <v/>
      </c>
    </row>
    <row r="4413">
      <c r="A4413">
        <f>=106135	 | Trojan.Win32.Meterpreter.P	 | 98f4a9fafa568cf3bb0497df071e142d</f>
        <v/>
      </c>
    </row>
    <row r="4414">
      <c r="A4414">
        <f>=106136	 | Trojan.Win32.Clipper.A	 | 1f9f72a62b837b87866d833e91554983</f>
        <v/>
      </c>
    </row>
    <row r="4415">
      <c r="A4415">
        <f>=106137	 | Trojan.Win32.Metasploit.I	 | 6fa8398eb99dfc99321ef34fa3e73c69</f>
        <v/>
      </c>
    </row>
    <row r="4416">
      <c r="A4416">
        <f>=106139	 | Worm.Win32.AutoIt.E	 | 08ffe5a88dca72efdfaffa0e4dfd9835</f>
        <v/>
      </c>
    </row>
    <row r="4417">
      <c r="A4417">
        <f>=106140	 | Trojan.Win64.Generic.O	 | 3011ac825db12f006146f6f431755870</f>
        <v/>
      </c>
    </row>
    <row r="4418">
      <c r="A4418">
        <f>=106142	 | Ransom.Win32.CryptoWire.B	 | 012b0e0ed5c263cc61412d7b1bc5b834</f>
        <v/>
      </c>
    </row>
    <row r="4419">
      <c r="A4419">
        <f>=106143	 | Ransom.Win32.StopCrypt.A	 | E5B5B0927401AA072D951C6946BFDD37</f>
        <v/>
      </c>
    </row>
    <row r="4420">
      <c r="A4420">
        <f>=106144	 | Ransom.Win32.MedusaLocker.A	 | 9353a3fa46ce13ea133cfab51c8cbd7a</f>
        <v/>
      </c>
    </row>
    <row r="4421">
      <c r="A4421">
        <f>=106145	 | Ransom.Win32.MedusaLocker.B	 | 60656070b94c79a8e26181b4fc8598ed</f>
        <v/>
      </c>
    </row>
    <row r="4422">
      <c r="A4422">
        <f>=106147	 | Ransom.Win32.MedusaLocker.C	 | 30e7785aec483a5a57bcc9e0c77ab249</f>
        <v/>
      </c>
    </row>
    <row r="4423">
      <c r="A4423">
        <f>=106148	 | Trojan.Win32.Generic.GA	 | bb6f3c82b3777daef6cc9be586f0bf9f</f>
        <v/>
      </c>
    </row>
    <row r="4424">
      <c r="A4424">
        <f>=106149	 | Trojan.Win32.Generic.GB	 | 18DE5226087B05D0E665AF3DB1E80231</f>
        <v/>
      </c>
    </row>
    <row r="4425">
      <c r="A4425">
        <f>=106151	 | Trojan.Win32.Generic.GC	 | 8c80dd97c37525927c1e549cb59bcbf3</f>
        <v/>
      </c>
    </row>
    <row r="4426">
      <c r="A4426">
        <f>=106155	 | Ransom.Win32.Maze.A	 | 391370b48b8f64f86c628742b03de53a</f>
        <v/>
      </c>
    </row>
    <row r="4427">
      <c r="A4427">
        <f>=106156	 | Ransom.Win32.Maze.B	 | 5df79164b6d0661277f11691121b1d53</f>
        <v/>
      </c>
    </row>
    <row r="4428">
      <c r="A4428">
        <f>=106157	 | Ransom.Win32.Maze.C	 | e69a8eb94f65480980deaf1ff5a431a6</f>
        <v/>
      </c>
    </row>
    <row r="4429">
      <c r="A4429">
        <f>=106158	 | Ransom.Win32.Maze.D	 | 3bfcba2dd05e1c75f86c008f4d245f62</f>
        <v/>
      </c>
    </row>
    <row r="4430">
      <c r="A4430">
        <f>=106159	 | Ransom.Win32.Maze.E	 | 36933b29eb2ebb358f7cb7dde4909d11</f>
        <v/>
      </c>
    </row>
    <row r="4431">
      <c r="A4431">
        <f>=106160	 | Ransom.Win32.Maze.F	 | a0dc59b0f4fdf6d4656946865433bcce</f>
        <v/>
      </c>
    </row>
    <row r="4432">
      <c r="A4432">
        <f>=106161	 | Ransom.Win32.Maze.G	 | 979723e1ba053b0c3470314471ab99d3</f>
        <v/>
      </c>
    </row>
    <row r="4433">
      <c r="A4433">
        <f>=106162	 | Ransom.Win32.Maze.H	 | a02c0a874f52cb3e29c1e3639e9c451b</f>
        <v/>
      </c>
    </row>
    <row r="4434">
      <c r="A4434">
        <f>=106163	 | Ransom.Win32.Maze.I	 | f83fb9ce6a83da58b20685c1d7e1e546</f>
        <v/>
      </c>
    </row>
    <row r="4435">
      <c r="A4435">
        <f>=106164	 | Ransom.Win32.Avaddon.E	 | a2c5bc0e6cbe1c87d2da9a898ea50fec</f>
        <v/>
      </c>
    </row>
    <row r="4436">
      <c r="A4436">
        <f>=106166	 | Trojan.Win32.Agentb.BVIV	 | 1edf2e54a7b0a4f7e3dcd49d4de21415</f>
        <v/>
      </c>
    </row>
    <row r="4437">
      <c r="A4437">
        <f>=106167	 | Trojan.Win64.Agentb.A	 | e626423349362c7e6e57d4a55b46e08f</f>
        <v/>
      </c>
    </row>
    <row r="4438">
      <c r="A4438">
        <f>=106168	 | Trojan.Win32.BitCoinMiner.A	 | bdfc383aa7a9161aea376c8430397100</f>
        <v/>
      </c>
    </row>
    <row r="4439">
      <c r="A4439">
        <f>=106170	 | Ransom.Win32.NetWalker.A	 | 59b00f607a7550af9a2332c730892845</f>
        <v/>
      </c>
    </row>
    <row r="4440">
      <c r="A4440">
        <f>=106172	 | Trojan.Win32.Generic.GD	 | 8a54c4e1401df0aace6f5408d4a590b6</f>
        <v/>
      </c>
    </row>
    <row r="4441">
      <c r="A4441">
        <f>=106173	 | Trojan.Win64.Taidoor.A	 | 4ec8e16d426a4aaa57c454c58f447c1e</f>
        <v/>
      </c>
    </row>
    <row r="4442">
      <c r="A4442">
        <f>=106174	 | Trojan.Win32.Taidoor.A	 | 6aa08fed32263c052006d977a124ed7b</f>
        <v/>
      </c>
    </row>
    <row r="4443">
      <c r="A4443">
        <f>=106175	 | Worm.Win32.Roxin.A	 | 2b445a0e26e75db6933177eae7569c9d</f>
        <v/>
      </c>
    </row>
    <row r="4444">
      <c r="A4444">
        <f>=106176	 | Worm.Win32.Conficker.AD	 | 8f93e90eb988ab9a8407d33e199cecad</f>
        <v/>
      </c>
    </row>
    <row r="4445">
      <c r="A4445">
        <f>=106178	 | Ransom.Win32.Maze.J	 | 5774f35d180c0702741a46d98190ff37</f>
        <v/>
      </c>
    </row>
    <row r="4446">
      <c r="A4446">
        <f>=106179	 | Ransom.Win32.Maze.K	 | 8045b3d2d4a6084f14618b028710ce85</f>
        <v/>
      </c>
    </row>
    <row r="4447">
      <c r="A4447">
        <f>=106180	 | Ransom.Win32.Maze.L	 | bd9838d84fd77205011e8b0c2bd711e0</f>
        <v/>
      </c>
    </row>
    <row r="4448">
      <c r="A4448">
        <f>=106181	 | Ransom.Win32.Maze.M	 | b4d6cb4e52bb525ebe43349076a240df</f>
        <v/>
      </c>
    </row>
    <row r="4449">
      <c r="A4449">
        <f>=106182	 | Ransom.Win32.Maze.N	 | 2f78ff32cbb3c478865a88276248d419</f>
        <v/>
      </c>
    </row>
    <row r="4450">
      <c r="A4450">
        <f>=106183	 | Ransom.Win32.Maze.O	 | b02be7a336dcc6635172e0d6ec24c554</f>
        <v/>
      </c>
    </row>
    <row r="4451">
      <c r="A4451">
        <f>=106184	 | Ransom.Win32.Maze.P	 | 064058cf092063a5b69ed8fd2a1a04fe</f>
        <v/>
      </c>
    </row>
    <row r="4452">
      <c r="A4452">
        <f>=106185	 | Ransom.Win32.Maze.Q	 | b6786f141148925010122819047d1882</f>
        <v/>
      </c>
    </row>
    <row r="4453">
      <c r="A4453">
        <f>=106186	 | Ransom.Win32.Maze.R	 | 868d604146e7e5cb5995934b085846e3</f>
        <v/>
      </c>
    </row>
    <row r="4454">
      <c r="A4454">
        <f>=106187	 | Ransom.Win32.Maze.S	 | 83b8d994b989f6cbeea3e1a5d68ca5d8</f>
        <v/>
      </c>
    </row>
    <row r="4455">
      <c r="A4455">
        <f>=106188	 | Ransom.Win32.Maze.T	 | 15d7dd126391b0e7963c562a6cf3992c</f>
        <v/>
      </c>
    </row>
    <row r="4456">
      <c r="A4456">
        <f>=106189	 | Ransom.Win32.Maze.U	 | deebbea18401e8b5e83c410c6d3a8b4e</f>
        <v/>
      </c>
    </row>
    <row r="4457">
      <c r="A4457">
        <f>=106190	 | Ransom.Win32.Maze.V	 | 45d5a3410042798e567b1f128b78449e</f>
        <v/>
      </c>
    </row>
    <row r="4458">
      <c r="A4458">
        <f>=106191	 | Ransom.Win32.Maze.W	 | 63dfe3027508bf1643297633b2f162c0</f>
        <v/>
      </c>
    </row>
    <row r="4459">
      <c r="A4459">
        <f>=106194	 | Ransom.Win32.Maze.X	 | 65cf08ffaf12e47de8cd37098aac5b33</f>
        <v/>
      </c>
    </row>
    <row r="4460">
      <c r="A4460">
        <f>=106195	 | Ransom.Win32.Maze.Y	 | b1514e7989c61a3c8bcd566e10fab65a</f>
        <v/>
      </c>
    </row>
    <row r="4461">
      <c r="A4461">
        <f>=106196	 | Worm.Win32.Conficker.AE	 | c973ce74fb99533a301ed1625eb7e443</f>
        <v/>
      </c>
    </row>
    <row r="4462">
      <c r="A4462">
        <f>=106197	 | Ransom.Win32.Maze.AA	 | 21a563f958b73d453ad91e251b11855c</f>
        <v/>
      </c>
    </row>
    <row r="4463">
      <c r="A4463">
        <f>=106198	 | Ransom.Win32.Maze.AB	 | f5ecda7dd8bb1c514f93c09cea8ae00d</f>
        <v/>
      </c>
    </row>
    <row r="4464">
      <c r="A4464">
        <f>=106199	 | Ransom.Win32.Maze.AC	 | 3bfcba2dd05e1c75f86c008f4d245f62</f>
        <v/>
      </c>
    </row>
    <row r="4465">
      <c r="A4465">
        <f>=106200	 | Ransom.Win32.Maze.AD	 | a0c5b4adbcd9eb6de9d32537b16c423b</f>
        <v/>
      </c>
    </row>
    <row r="4466">
      <c r="A4466">
        <f>=106201	 | Ransom.Win32.Maze.AE	 | 910aa49813ee4cc7e4fa0074db5e454a</f>
        <v/>
      </c>
    </row>
    <row r="4467">
      <c r="A4467">
        <f>=106204	 | VirTool.Win32.Obfuscator.DL	 | fde5ac49c149ac26f881df92ef5a94b2</f>
        <v/>
      </c>
    </row>
    <row r="4468">
      <c r="A4468">
        <f>=106210	 | Ransom.Win32.Avaddon.G	 | d17150af2caeec5da4029822d740137a</f>
        <v/>
      </c>
    </row>
    <row r="4469">
      <c r="A4469">
        <f>=106211	 | Ransom.Win32.Avaddon.H	 | e395d649c2843f8f60da076d2104edc6</f>
        <v/>
      </c>
    </row>
    <row r="4470">
      <c r="A4470">
        <f>=106226	 | Trojan.Win32.Emotet.DBTUMTJ	 | 0a84ebf72ffbf2ec467263251fd3c721</f>
        <v/>
      </c>
    </row>
    <row r="4471">
      <c r="A4471">
        <f>=106227	 | Backdoor.Win32.Emotet.C	 | 6c297571129ff6cc6df8e3d3c0e1da9d</f>
        <v/>
      </c>
    </row>
    <row r="4472">
      <c r="A4472">
        <f>=106228	 | Backdoor.Win32.Emotet.D	 | 0ad9efa8b6d0bfcff7b78a8def053d18</f>
        <v/>
      </c>
    </row>
    <row r="4473">
      <c r="A4473">
        <f>=106230	 | Backdoor.Win32.Emotet.E	 | 2f71cb93b6e99db72e18285df2e56e08</f>
        <v/>
      </c>
    </row>
    <row r="4474">
      <c r="A4474">
        <f>=106231	 | Backdoor.Win32.Emotet.F	 | 0a4d05c47f4d475873aa4f45a78fa50a</f>
        <v/>
      </c>
    </row>
    <row r="4475">
      <c r="A4475">
        <f>=106234	 | Adware.Win32.Adposhel.Q	 | 4d9b5dbb45b5e0d0831354d437dc6410</f>
        <v/>
      </c>
    </row>
    <row r="4476">
      <c r="A4476">
        <f>=106237	 | Trojan.Win32.Qakbot.B	 | e08cfe46073233037e784aeb21f6651e</f>
        <v/>
      </c>
    </row>
    <row r="4477">
      <c r="A4477">
        <f>=106238	 | Trojan.Win32.Qakbot.C	 | 0ed267e2aa44481c013dc1b4bff22a09</f>
        <v/>
      </c>
    </row>
    <row r="4478">
      <c r="A4478">
        <f>=106239	 | Trojan.Win32.Small.CWQX	 | 0db1f662698c234db538581684b5af48</f>
        <v/>
      </c>
    </row>
    <row r="4479">
      <c r="A4479">
        <f>=106240	 | Adware.Win32.Adposhel.R	 | d32f2e103bd3b9d9902644f59cc0b127</f>
        <v/>
      </c>
    </row>
    <row r="4480">
      <c r="A4480">
        <f>=106248	 | Backdoor.Win32.Emotet.G	 | fdab7fda50e1d9e2bb349e29b185b9b4</f>
        <v/>
      </c>
    </row>
    <row r="4481">
      <c r="A4481">
        <f>=106263	 | Worm.Win32.Sfone.D	 | 01c59727e870466cf73d5c33bef5dd00</f>
        <v/>
      </c>
    </row>
    <row r="4482">
      <c r="A4482">
        <f>=106279	 | Backdoor.Win32.Emotet.H	 | 3fb47facc6094648284d75af82e9c203</f>
        <v/>
      </c>
    </row>
    <row r="4483">
      <c r="A4483">
        <f>=106285	 | Trojan.Win32.Qakbot.D	 | 655920b597435d0c5ce8a43c084e68f8</f>
        <v/>
      </c>
    </row>
    <row r="4484">
      <c r="A4484">
        <f>=106286	 | Trojan.Win32.TrickBot.D	 | b19e3788b9812964754ac26daff83f71</f>
        <v/>
      </c>
    </row>
    <row r="4485">
      <c r="A4485">
        <f>=106287	 | Trojan.Win32.TrickBot.E	 | 034e817e6078e5233f3a07c094ce14b2</f>
        <v/>
      </c>
    </row>
    <row r="4486">
      <c r="A4486">
        <f>=106288	 | Trojan.Win32.Emotet.DBTUMTL	 | 00e1c94254b1447d8353b70483675302</f>
        <v/>
      </c>
    </row>
    <row r="4487">
      <c r="A4487">
        <f>=106289	 | Trojan.Win32.Emotet.DBTUMTM	 | 81bab36979656deec0f6974cca710127</f>
        <v/>
      </c>
    </row>
    <row r="4488">
      <c r="A4488">
        <f>=106292	 | Trojan.Win32.Generic.GG	 | 1d2c6712797e78ecee40f26a98d72c16</f>
        <v/>
      </c>
    </row>
    <row r="4489">
      <c r="A4489">
        <f>=106293	 | Trojan.Win32.Generic.GH	 | 4bc8d716a76d8a5717edbf811274b683</f>
        <v/>
      </c>
    </row>
    <row r="4490">
      <c r="A4490">
        <f>=106296	 | Backdoor.Win32.Emotet.I	 | 2cf2f8515c5743477d7fda9670395b30</f>
        <v/>
      </c>
    </row>
    <row r="4491">
      <c r="A4491">
        <f>=106322	 | Trojan.Win32.Agent.XAANDI	 | 6a9461f260ebb2556b8ae1d0ba93858a</f>
        <v/>
      </c>
    </row>
    <row r="4492">
      <c r="A4492">
        <f>=106328	 | Trojan.Win32.Agent.XAANDJ	 | 6a9461f260ebb2556b8ae1d0ba93858a</f>
        <v/>
      </c>
    </row>
    <row r="4493">
      <c r="A4493">
        <f>=106329	 | Trojan.Win32.Agent.XAANDK	 | 978888892a1ed13e94d2fcb832a2a6b5</f>
        <v/>
      </c>
    </row>
    <row r="4494">
      <c r="A4494">
        <f>=106331	 | Trojan.Win32.TrickBot.F	 | 61da98dbea7ea15c8f40eeba1484c3a5</f>
        <v/>
      </c>
    </row>
    <row r="4495">
      <c r="A4495">
        <f>=106333	 | Adware.Win32.Adposhel.S	 | 2a9577e964796e7e5abc9c7c944a0211</f>
        <v/>
      </c>
    </row>
    <row r="4496">
      <c r="A4496">
        <f>=106335	 | Adware.Win32.Wizrem.A	 | 092643b93f3b1d85ed0426bbd239cda3</f>
        <v/>
      </c>
    </row>
    <row r="4497">
      <c r="A4497">
        <f>=106337	 | Adware.Win32.ICLoader.D	 | d7bd971410c336cd403141d8ca1bfd70</f>
        <v/>
      </c>
    </row>
    <row r="4498">
      <c r="A4498">
        <f>=106342	 | Backdoor.Win32.Emotet.J	 | 4c755f2daa19d1e029ff0565bd9162a0</f>
        <v/>
      </c>
    </row>
    <row r="4499">
      <c r="A4499">
        <f>=106343	 | Backdoor.Win32.Emotet.K	 | 2b34b7bf0897a6ae4486ab1fb5905185</f>
        <v/>
      </c>
    </row>
    <row r="4500">
      <c r="A4500">
        <f>=106344	 | Trojan.Win32.Krypt.A	 | 88daa1c5c50b15c68522ebb93d22dab4</f>
        <v/>
      </c>
    </row>
    <row r="4501">
      <c r="A4501">
        <f>=106345	 | Trojan.Win32.Emotet.DBTUMTN	 | 022d5560c76ffd9546c82c1f388ca785</f>
        <v/>
      </c>
    </row>
    <row r="4502">
      <c r="A4502">
        <f>=106346	 | Trojan.Win32.Starter.C	 | eaa2f179c6832228f3c83863fde04d0f</f>
        <v/>
      </c>
    </row>
    <row r="4503">
      <c r="A4503">
        <f>=106347	 | Trojan.Win32.Agent.XAANDN	 | 1ab56f519ec539bfe8821c0848e7371b</f>
        <v/>
      </c>
    </row>
    <row r="4504">
      <c r="A4504">
        <f>=106348	 | Trojan.Win32.Agent.XAANDO	 | fb506bd9a491de2a54751ee3268c1c41</f>
        <v/>
      </c>
    </row>
    <row r="4505">
      <c r="A4505">
        <f>=106349	 | Hackertool.Win64.CoinMiner.BCG	 | 0f3b7a6fa4aa4e93f1a5cb914beb0b59</f>
        <v/>
      </c>
    </row>
    <row r="4506">
      <c r="A4506">
        <f>=106350	 | Trojan.Win32.Emotet.DBTUMTO	 | 7246bbf515c054f4db49e0a7a8b068fc</f>
        <v/>
      </c>
    </row>
    <row r="4507">
      <c r="A4507">
        <f>=106351	 | Trojan.Win32.Emotet.DBTUMTP	 | d181047c2c2858f29aae33c5989184b2</f>
        <v/>
      </c>
    </row>
    <row r="4508">
      <c r="A4508">
        <f>=106352	 | Trojan.Win32.Delf.R	 | 12fa26532d91d4252e22c45a49781248</f>
        <v/>
      </c>
    </row>
    <row r="4509">
      <c r="A4509">
        <f>=106354	 | Adware.Win32.BrowseFox.F	 | 41df802bba4c6642ef85e6d38d0369cf</f>
        <v/>
      </c>
    </row>
    <row r="4510">
      <c r="A4510">
        <f>=106355	 | Trojan.Win64.Cridex.A	 | 06aeec401b1b0a4e10035fad89f49a0d</f>
        <v/>
      </c>
    </row>
    <row r="4511">
      <c r="A4511">
        <f>=106358	 | Backdoor.Win32.Berbew.B	 | 263a330100e6a734a5094b94787df313</f>
        <v/>
      </c>
    </row>
    <row r="4512">
      <c r="A4512">
        <f>=106359	 | Worm.Win32.Soltern.B	 | 1bef4044bf74aa7d1a6413119ba262a7</f>
        <v/>
      </c>
    </row>
    <row r="4513">
      <c r="A4513">
        <f>=106360	 | Trojan.Win32.Qakbot.E	 | 0b1a728e5c402e744fadd63289cde08a</f>
        <v/>
      </c>
    </row>
    <row r="4514">
      <c r="A4514">
        <f>=106363	 | Adware.Win32.ICLoader.F	 | d60ba04aec84e51cb543dc6e1d048ad9</f>
        <v/>
      </c>
    </row>
    <row r="4515">
      <c r="A4515">
        <f>=106364	 | Adware.Win32.Generic.I	 | 0afd6fadd6f8f6e4768e9d2f63ff4aaf</f>
        <v/>
      </c>
    </row>
    <row r="4516">
      <c r="A4516">
        <f>=106365	 | Backdoor.Win32.Bladabindi.BCL	 | 07df15fb7c72ed2ae4f1faf41003cc0c</f>
        <v/>
      </c>
    </row>
    <row r="4517">
      <c r="A4517">
        <f>=106366	 | Ransom.Win32.Enestedel.A	 | db48828e62444156bc5829bffd586a41</f>
        <v/>
      </c>
    </row>
    <row r="4518">
      <c r="A4518">
        <f>=106368	 | Trojan.Win32.Vigram.A	 | 04078b22c1dca5321952557b06bd85d0</f>
        <v/>
      </c>
    </row>
    <row r="4519">
      <c r="A4519">
        <f>=106370	 | Trojan.Win32.Fake.BCJ	 | 0b650f3f7537cd27258c7493754cf9a7</f>
        <v/>
      </c>
    </row>
    <row r="4520">
      <c r="A4520">
        <f>=106371	 | Trojan.Win32.Occamy.C	 | f8039e5ef6bc239b6b9d4effc4e1cfcb</f>
        <v/>
      </c>
    </row>
    <row r="4521">
      <c r="A4521">
        <f>=106375	 | Backdoor.Win32.Emotet.L	 | 17ac20e5f8c2575ca67aecb2771204e4</f>
        <v/>
      </c>
    </row>
    <row r="4522">
      <c r="A4522">
        <f>=106377	 | Backdoor.Win32.Emotet.M	 | 83c93d6f54a3ca8bcfc1f4b9334be023</f>
        <v/>
      </c>
    </row>
    <row r="4523">
      <c r="A4523">
        <f>=106379	 | Backdoor.Win32.Emotet.N	 | 0c4ce953167b47a96c078bb044e474ad</f>
        <v/>
      </c>
    </row>
    <row r="4524">
      <c r="A4524">
        <f>=106381	 | Trojan.Win32.Senta.B	 | e74c80d659b21c0e312b90e498eacf85</f>
        <v/>
      </c>
    </row>
    <row r="4525">
      <c r="A4525">
        <f>=106382	 | Trojan.Win32.Senta.C	 | 1f95f91eb574da8b18fddc5175ffa793</f>
        <v/>
      </c>
    </row>
    <row r="4526">
      <c r="A4526">
        <f>=106385	 | Adware.Win32.InstallMonstr.B	 | f62bd9a477567ee557afd6e31c2b6cc4</f>
        <v/>
      </c>
    </row>
    <row r="4527">
      <c r="A4527">
        <f>=106386	 | Backdoor.Win32.Farfli.D	 | 6beb099856c9fc0efebb03c28844ea65</f>
        <v/>
      </c>
    </row>
    <row r="4528">
      <c r="A4528">
        <f>=106387	 | Worm.Win32.Autorun.DL	 | d14c081ade27f06b7e9b1eef9e2adacb</f>
        <v/>
      </c>
    </row>
    <row r="4529">
      <c r="A4529">
        <f>=106388	 | VirTool.Win32.Obfuscato.A	 | dafa9154080134837311cf73cfa85cfe</f>
        <v/>
      </c>
    </row>
    <row r="4530">
      <c r="A4530">
        <f>=106389	 | Adware.Win32.InstallMonster.C	 | f6379f2faceaad86b9def3a7b4e6f2ca</f>
        <v/>
      </c>
    </row>
    <row r="4531">
      <c r="A4531">
        <f>=106390	 | Adware.Win32.InstallMonstr.C	 | 169c3a1947b5ccdc026e7d6fbe4f9673</f>
        <v/>
      </c>
    </row>
    <row r="4532">
      <c r="A4532">
        <f>=106391	 | Trojan.Win32.Wacatac.H	 | 0c387b48b297676890678c3896318abb</f>
        <v/>
      </c>
    </row>
    <row r="4533">
      <c r="A4533">
        <f>=106392	 | Trojan.Win32.Emotet.DBTUMTQ	 | c8b0413fbcde720f7ad003e0e4024214</f>
        <v/>
      </c>
    </row>
    <row r="4534">
      <c r="A4534">
        <f>=106393	 | Adware.Win32.InstallMonster.D	 | 892053f24d0d0864b12a5c644ed1623e</f>
        <v/>
      </c>
    </row>
    <row r="4535">
      <c r="A4535">
        <f>=106394	 | Trojan.Win64.Generic.P	 | ba8016ce4cfa6b04d9420408929a9e44</f>
        <v/>
      </c>
    </row>
    <row r="4536">
      <c r="A4536">
        <f>=106396	 | Trojan.Win32.Agensla.R	 | 8e7c2340a6a47f32ce8f1a6c559ba401</f>
        <v/>
      </c>
    </row>
    <row r="4537">
      <c r="A4537">
        <f>=106400	 | Hackertool.Win32.Agent.A	 | 69d0604790a25ff67938fa344b09d3b3</f>
        <v/>
      </c>
    </row>
    <row r="4538">
      <c r="A4538">
        <f>=106403	 | Trojan.Win32.Ymacco.A	 | 57a43361e270a8af30e54cf875f8a3ae</f>
        <v/>
      </c>
    </row>
    <row r="4539">
      <c r="A4539">
        <f>=106416	 | Trojan.Win32.Generic.GQ	 | 1d0ee5fd01f5abff1dedd5ce5b909e93</f>
        <v/>
      </c>
    </row>
    <row r="4540">
      <c r="A4540">
        <f>=106417	 | Trojan.Win32.Generic.GR	 | 436f0e5559c293f5493852e870d913c7</f>
        <v/>
      </c>
    </row>
    <row r="4541">
      <c r="A4541">
        <f>=106418	 | Trojan.Win32.Wacatac.I	 | f0e7185846d5e2918816fd651e9f178b</f>
        <v/>
      </c>
    </row>
    <row r="4542">
      <c r="A4542">
        <f>=106419	 | Trojan.Win32.Cryptinject.B	 | ab4388163a3a6d353ecd3c5a6fb1a60a</f>
        <v/>
      </c>
    </row>
    <row r="4543">
      <c r="A4543">
        <f>=106421	 | Trojan.Win32.Emotet.DBTUMTR	 | 3d729a2d23d7ada961fb47d53e1b1560</f>
        <v/>
      </c>
    </row>
    <row r="4544">
      <c r="A4544">
        <f>=106422	 | Trojan.Win64.Cridex.B	 | 2c738732045d86311383782dd3596c65</f>
        <v/>
      </c>
    </row>
    <row r="4545">
      <c r="A4545">
        <f>=106423	 | Trojan.Win64.Cridex.C	 | 6700fb72952d99ae325faa3bfecf43f8</f>
        <v/>
      </c>
    </row>
    <row r="4546">
      <c r="A4546">
        <f>=106424	 | Trojan.Win32.Qukart.GEO	 | 02f528049858707445ec7ba6a459e7bb</f>
        <v/>
      </c>
    </row>
    <row r="4547">
      <c r="A4547">
        <f>=106425	 | Trojan.Win32.Emotet.DBTUMTS	 | 149a54ba6ee1734626d81b36e21d950b</f>
        <v/>
      </c>
    </row>
    <row r="4548">
      <c r="A4548">
        <f>=106426	 | Trojan.Win32.Emotet.DBTUMTT	 | 00ad9620974ded83da038e59b1959dca</f>
        <v/>
      </c>
    </row>
    <row r="4549">
      <c r="A4549">
        <f>=106427	 | Backdoor.Win32.Emotet.O	 | 91bd17a4e3d9cb9a133b3363db0816bc</f>
        <v/>
      </c>
    </row>
    <row r="4550">
      <c r="A4550">
        <f>=106428	 | Ransom.Win32.WannaCrypt.A	 | 3e1731105805162f50de40c5d8faee17</f>
        <v/>
      </c>
    </row>
    <row r="4551">
      <c r="A4551">
        <f>=106429	 | Trojan.Win32.Qakbot.G	 | 00aece8cae821ae4c371a495d3d9b172</f>
        <v/>
      </c>
    </row>
    <row r="4552">
      <c r="A4552">
        <f>=106430	 | Trojan.Win64.Tiggre.A	 | 9b0998395d91708824aef432a7992ef4</f>
        <v/>
      </c>
    </row>
    <row r="4553">
      <c r="A4553">
        <f>=106431	 | Adware.Win32.Generic.J	 | 0812e7cd2e248594f782d15059786564</f>
        <v/>
      </c>
    </row>
    <row r="4554">
      <c r="A4554">
        <f>=106433	 | Trojan.Win32.Emotet.DBTUMTU	 | 01dc1ba80cdd3864187158704e48c815</f>
        <v/>
      </c>
    </row>
    <row r="4555">
      <c r="A4555">
        <f>=106434	 | Trojan.Win32.Ditertag.E	 | 6e8058fac5392121961eab6f2c703dd4</f>
        <v/>
      </c>
    </row>
    <row r="4556">
      <c r="A4556">
        <f>=106435	 | Trojan.Win32.Goabeny.A	 | d37d50387fde97397ba0a973348ada8c</f>
        <v/>
      </c>
    </row>
    <row r="4557">
      <c r="A4557">
        <f>=106436	 | Trojan.Win32.Tiggre.A	 | 7f09aa27e54842daa7584666d5e8fc90</f>
        <v/>
      </c>
    </row>
    <row r="4558">
      <c r="A4558">
        <f>=106437	 | Trojan.Win32.Generic.GS	 | 788CF26BAA5D8E2C581F8EC69A9DDEFD</f>
        <v/>
      </c>
    </row>
    <row r="4559">
      <c r="A4559">
        <f>=106438	 | Trojan.Win32.Senta.D	 | 6e09d08468055f0d4aae833a75c2e4ca</f>
        <v/>
      </c>
    </row>
    <row r="4560">
      <c r="A4560">
        <f>=106439	 | Adware.Win32.BrowseFox.G	 | 00ab1b23fe0a815e79387ca98d350937</f>
        <v/>
      </c>
    </row>
    <row r="4561">
      <c r="A4561">
        <f>=106441	 | Trojan.Win32.Emotet.DBTUMTV	 | 03a19fcb70880bdd7c69d7c252492ca9</f>
        <v/>
      </c>
    </row>
    <row r="4562">
      <c r="A4562">
        <f>=106442	 | Adware.Win32.BrowseFox.H	 | 0ccefd9dc39a94d19b59eb9f7df92c59</f>
        <v/>
      </c>
    </row>
    <row r="4563">
      <c r="A4563">
        <f>=106444	 | Ransom.Win32.GlobeImposter.A	 | 07a87805b5ec242776674ceee0ddec09</f>
        <v/>
      </c>
    </row>
    <row r="4564">
      <c r="A4564">
        <f>=106446	 | Trojan.Win32.Clipper.B	 | b46bc8564575a8fbfed75ed9c407182c</f>
        <v/>
      </c>
    </row>
    <row r="4565">
      <c r="A4565">
        <f>=106447	 | Adware.Win32.FileTour.F	 | 7810b85d04d72d2fdea8eeea0d30dca6</f>
        <v/>
      </c>
    </row>
    <row r="4566">
      <c r="A4566">
        <f>=106448	 | Ransom.Win32.GlobeImposter.B	 | a37f82d716e96e254a24c45791df752a</f>
        <v/>
      </c>
    </row>
    <row r="4567">
      <c r="A4567">
        <f>=106454	 | Backdoor.Win32.Mokes.A	 | 94e2260fda67aef7eb0ee3475cd76164</f>
        <v/>
      </c>
    </row>
    <row r="4568">
      <c r="A4568">
        <f>=106455	 | Trojan.Win32.Tinba.B	 | d860a6ece5840447f982d8034b554d7f</f>
        <v/>
      </c>
    </row>
    <row r="4569">
      <c r="A4569">
        <f>=106456	 | Ransom.Win32.Phobos.H	 | 2926bfc759bf24a09668ee166d70d70a</f>
        <v/>
      </c>
    </row>
    <row r="4570">
      <c r="A4570">
        <f>=106459	 | Trojan.Win64.Kovter.A	 | e1e7b36d353d136e8bbbd211db8ed54e</f>
        <v/>
      </c>
    </row>
    <row r="4571">
      <c r="A4571">
        <f>=106460	 | Adware.Win32.Dlboost.A	 | ff6e72e8ddd07e1241d154b2220f9844</f>
        <v/>
      </c>
    </row>
    <row r="4572">
      <c r="A4572">
        <f>=106461	 | Hackertool.Win32.Autokms.B	 | f67323d2e67262867af21d45fba0d3c0</f>
        <v/>
      </c>
    </row>
    <row r="4573">
      <c r="A4573">
        <f>=106463	 | Adware.Win32.Youxun.A	 | fe4d0ff34d4f73eec4b993d07a8fdbca</f>
        <v/>
      </c>
    </row>
    <row r="4574">
      <c r="A4574">
        <f>=106464	 | Trojan.Win32.Wacatac.J	 | ef987b87b37ce1b811ccf95e591c6a24</f>
        <v/>
      </c>
    </row>
    <row r="4575">
      <c r="A4575">
        <f>=106465	 | Adware.Win32.InstallBrain.A	 | f4980e0431c9a80f060435542d5dbcc2</f>
        <v/>
      </c>
    </row>
    <row r="4576">
      <c r="A4576">
        <f>=106466	 | Adware.Win32.SpeedBit.A	 | ba2b78618a339ab8ee088c625f2f1077</f>
        <v/>
      </c>
    </row>
    <row r="4577">
      <c r="A4577">
        <f>=106467	 | Trojan.Win32.Wacatac.K	 | f37076a7e3934920ec48e7c100678b98</f>
        <v/>
      </c>
    </row>
    <row r="4578">
      <c r="A4578">
        <f>=106468	 | Trojan.Win32.Nagram.A	 | f7d2701136d36c609dbc3b9da2e53139</f>
        <v/>
      </c>
    </row>
    <row r="4579">
      <c r="A4579">
        <f>=106469	 | Trojan.Win32.Cridex.P	 | 5ce0d87ebcc73e4e7806cf02d9a58c8a</f>
        <v/>
      </c>
    </row>
    <row r="4580">
      <c r="A4580">
        <f>=106479	 | Backdoor.Win32.Emotet.P	 | 1e398464d5b5839f19a3d4870a8b0d1d</f>
        <v/>
      </c>
    </row>
    <row r="4581">
      <c r="A4581">
        <f>=106482	 | Adware.Win32.Cossder.A	 | 5e3ff7f7a877f5060d9b36812647cd0d</f>
        <v/>
      </c>
    </row>
    <row r="4582">
      <c r="A4582">
        <f>=106483	 | Adware.Win32.Cossder.B	 | 00166ce547231cc6ac1fcd7fb324e145</f>
        <v/>
      </c>
    </row>
    <row r="4583">
      <c r="A4583">
        <f>=106486	 | Adware.Win32.Adposhel.U	 | 0e7ef6154afc732f0a6344c0861dfb2f</f>
        <v/>
      </c>
    </row>
    <row r="4584">
      <c r="A4584">
        <f>=106487	 | Adware.Win32.InstallMonstr.D	 | e807a216e1963960b7ad486650f4669d</f>
        <v/>
      </c>
    </row>
    <row r="4585">
      <c r="A4585">
        <f>=106492	 | Ransom.Win32.Avaddon.I	 | bc7684d1521b859eb0732d825d1f64c1</f>
        <v/>
      </c>
    </row>
    <row r="4586">
      <c r="A4586">
        <f>=106493	 | Ransom.Win32.Avaddon.J	 | 4d67be2ed60fe782dfaac194ab5b0ef0</f>
        <v/>
      </c>
    </row>
    <row r="4587">
      <c r="A4587">
        <f>=106494	 | Trojan.Win32.Wacatac.L	 | a04223ad7a8a0ccf3681bad72db95062</f>
        <v/>
      </c>
    </row>
    <row r="4588">
      <c r="A4588">
        <f>=106495	 | Ransom.Win32.Avaddon.K	 | fd6e9ec6dd21de5cc9243c4b54583b7e</f>
        <v/>
      </c>
    </row>
    <row r="4589">
      <c r="A4589">
        <f>=106498	 | Trojan.Win32.Agent.XAANDR	 | eaa833c86eff38cdfcb42da33da4e3d6</f>
        <v/>
      </c>
    </row>
    <row r="4590">
      <c r="A4590">
        <f>=106499	 | Adware.Win32.InstallMonster.E	 | f15670142b74d375cb4a5d3ec966098c</f>
        <v/>
      </c>
    </row>
    <row r="4591">
      <c r="A4591">
        <f>=106501	 | Ransom.Win32.Avaddon.L	 | 5a0b9beaa7c74de70a67f5fd2750f8d7</f>
        <v/>
      </c>
    </row>
    <row r="4592">
      <c r="A4592">
        <f>=106502	 | Trojan.Win32.Tiggre.C	 | 14f80cd27df59c46e592ca3a7cdc4b28</f>
        <v/>
      </c>
    </row>
    <row r="4593">
      <c r="A4593">
        <f>=106503	 | Trojan.Win64.Generic.Q	 | fc1f1db3e7dff7bcef98514e5920f900</f>
        <v/>
      </c>
    </row>
    <row r="4594">
      <c r="A4594">
        <f>=106504	 | Trojan.Win64.Generic.R	 | fdec9e3a448650da4b23dcc4f91865a9</f>
        <v/>
      </c>
    </row>
    <row r="4595">
      <c r="A4595">
        <f>=106505	 | Adware.Win32.SpeedingUpMyPC.A	 | e330c6ba76fe992c36230a7963f02264</f>
        <v/>
      </c>
    </row>
    <row r="4596">
      <c r="A4596">
        <f>=106507	 | Trojan.Win64.Generic.S	 | 7140a70dbaefdfc8fae7c06356c2ec88</f>
        <v/>
      </c>
    </row>
    <row r="4597">
      <c r="A4597">
        <f>=106526	 | Trojan.Win32.Emotet.DBTUMTW	 | 4ea81702363a80f11fded4a5b538e384</f>
        <v/>
      </c>
    </row>
    <row r="4598">
      <c r="A4598">
        <f>=106527	 | Trojan.Win32.Dynamer.A	 | 2a1292bfc007df13601dfbd41db033c3</f>
        <v/>
      </c>
    </row>
    <row r="4599">
      <c r="A4599">
        <f>=106528	 | Adware.Win32.Netfilter.A	 | c850807cadac05fffda60fdc617cec88</f>
        <v/>
      </c>
    </row>
    <row r="4600">
      <c r="A4600">
        <f>=106531	 | Trojan.Win32.Ausiv.A	 | 2e8613d065b96f33aa0dc4c1dfde10dc</f>
        <v/>
      </c>
    </row>
    <row r="4601">
      <c r="A4601">
        <f>=106532	 | Adware.Win32.Dlboost.GEO	 | efaba7de06426beb5532688ae7244666</f>
        <v/>
      </c>
    </row>
    <row r="4602">
      <c r="A4602">
        <f>=106533	 | Adware.Win32.ICLoader.G	 | 0ca94a6fed8f569caca7dc0d4d61f4f5</f>
        <v/>
      </c>
    </row>
    <row r="4603">
      <c r="A4603">
        <f>=106534	 | Trojan.Win32.Startpage.CX	 | 10493aedc9d30b7b376ff92971d1ea66</f>
        <v/>
      </c>
    </row>
    <row r="4604">
      <c r="A4604">
        <f>=106535	 | Trojan.Win64.Generic.T	 | 07bd08cf86f8c31806829688dbfd104a</f>
        <v/>
      </c>
    </row>
    <row r="4605">
      <c r="A4605">
        <f>=106536	 | Trojan.Win64.Generic.U	 | 02635A1F3D27A8780961F6463C8D8879</f>
        <v/>
      </c>
    </row>
    <row r="4606">
      <c r="A4606">
        <f>=106537	 | Trojan.Win64.Perion.B	 | ffda526c2f269c76049e387c4477bc57</f>
        <v/>
      </c>
    </row>
    <row r="4607">
      <c r="A4607">
        <f>=106538	 | Trojan.Win32.Generic.GY	 | 07bd08cf86f8c31806829688dbfd104a</f>
        <v/>
      </c>
    </row>
    <row r="4608">
      <c r="A4608">
        <f>=106539	 | Trojan.Win64.Generic.V	 | 05db01d01657c484bd10b8bd14a8e74f</f>
        <v/>
      </c>
    </row>
    <row r="4609">
      <c r="A4609">
        <f>=106541	 | Trojan.Win32.FileTour.A	 | 578a039832852812d7ecb14ce9f57147</f>
        <v/>
      </c>
    </row>
    <row r="4610">
      <c r="A4610">
        <f>=106542	 | Adware.Win32.SwiftBrowse.A	 | 964b7eec859804b2a77da87e7f972a2a</f>
        <v/>
      </c>
    </row>
    <row r="4611">
      <c r="A4611">
        <f>=106546	 | Trojan.Win32.Generic.HB	 | 02584732906684d2da99e5d79c80a8fc</f>
        <v/>
      </c>
    </row>
    <row r="4612">
      <c r="A4612">
        <f>=106548	 | Trojan.Win64.Generic.X	 | D2AE4CD314969838AD2368DFB683CAEF</f>
        <v/>
      </c>
    </row>
    <row r="4613">
      <c r="A4613">
        <f>=106553	 | Trojan.Win32.Generic.HC	 | 39a0e4a9a1121c7f9a6442c623831703</f>
        <v/>
      </c>
    </row>
    <row r="4614">
      <c r="A4614">
        <f>=106584	 | Hackertool.Win32.SmbAgent.B	 | 03ef41999c48f5b0e033cfe227b75d27</f>
        <v/>
      </c>
    </row>
    <row r="4615">
      <c r="A4615">
        <f>=106585	 | Trojan.Win32.Generic.HD	 | 19cf6f1441aa83766b93fdac6cdeb906</f>
        <v/>
      </c>
    </row>
    <row r="4616">
      <c r="A4616">
        <f>=106586	 | Trojan.Win64.Generic.AA	 | ec04adcf48be44ad7e097e05c95780cf</f>
        <v/>
      </c>
    </row>
    <row r="4617">
      <c r="A4617">
        <f>=106592	 | Trojan.Win32.AgentTesla.C	 | 6e4dae91ab580275b31ba2954fa9acbb</f>
        <v/>
      </c>
    </row>
    <row r="4618">
      <c r="A4618">
        <f>=106593	 | Trojan.Win32.AgentTesla.D	 | 37b739690f2b0b028c92cc3ced38f1fe</f>
        <v/>
      </c>
    </row>
    <row r="4619">
      <c r="A4619">
        <f>=106594	 | Trojan.Win32.AgentTesla.E	 | 764b6fd997a889443632809bdbc2b02c</f>
        <v/>
      </c>
    </row>
    <row r="4620">
      <c r="A4620">
        <f>=106630	 | Trojan.Win32.Emotet.DBTUMTX	 | b8b3d39453dad910009f83635425013f</f>
        <v/>
      </c>
    </row>
    <row r="4621">
      <c r="A4621">
        <f>=106631	 | Trojan.Win32.Emotet.DBTUMTY	 | 106ddee02623f6c1f39bef372f638dcc</f>
        <v/>
      </c>
    </row>
    <row r="4622">
      <c r="A4622">
        <f>=106713	 | Trojan.Win32.Emotet.DBTUMUA	 | 9d2765a0050a2343c060fc4a3410b046</f>
        <v/>
      </c>
    </row>
    <row r="4623">
      <c r="A4623">
        <f>=106724	 | Trojan.Win32.Agensla.S	 | a362bfab962a771bffe1c9ff91c9c5ae</f>
        <v/>
      </c>
    </row>
    <row r="4624">
      <c r="A4624">
        <f>=106725	 | Trojan.Win32.Agensla.T	 | fb53af25e91f7d1f46909fe6712503c3</f>
        <v/>
      </c>
    </row>
    <row r="4625">
      <c r="A4625">
        <f>=106726	 | Trojan.Win32.Agensla.U	 | e878a41d8b6aed028e7b2deae428aeab</f>
        <v/>
      </c>
    </row>
    <row r="4626">
      <c r="A4626">
        <f>=106727	 | Trojan.Win32.Agensla.V	 | 3769568ae5f728fbea97cd72be92b4ea</f>
        <v/>
      </c>
    </row>
    <row r="4627">
      <c r="A4627">
        <f>=106728	 | Trojan.Win32.Agensla.W	 | cdd6e7b664981f13ea0f31f8565a5a64</f>
        <v/>
      </c>
    </row>
    <row r="4628">
      <c r="A4628">
        <f>=106729	 | Ransom.Win32.Netwalker.B	 | ca1a3f534503330eb8ba038d7343710d</f>
        <v/>
      </c>
    </row>
    <row r="4629">
      <c r="A4629">
        <f>=106741	 | Trojan.Win32.Clipper.C	 | 03d0bc985b65494096c5e666e6e258f6</f>
        <v/>
      </c>
    </row>
    <row r="4630">
      <c r="A4630">
        <f>=106746	 | Trojan.Win32.CoinMiner.Q	 | 71b9115fa9e0c3614df410afb1c4d8d3</f>
        <v/>
      </c>
    </row>
    <row r="4631">
      <c r="A4631">
        <f>=106747	 | Trojan.Win64.CoinMiner.J	 | c0860ff6100446a4633e5e1b9f0ef6f8</f>
        <v/>
      </c>
    </row>
    <row r="4632">
      <c r="A4632">
        <f>=106763	 | Trojan.Win64.CoinMiner.K	 | bf694f2b95a5792031b44e7ecac177cf</f>
        <v/>
      </c>
    </row>
    <row r="4633">
      <c r="A4633">
        <f>=106773	 | Ransom.Win32.Filecoder.B	 | b76de9f293794dcf0acad1112d8a4081</f>
        <v/>
      </c>
    </row>
    <row r="4634">
      <c r="A4634">
        <f>=106774	 | Ransom.Win32.Encoder.A	 | e1e41506da591e55cee1825494ac8f42</f>
        <v/>
      </c>
    </row>
    <row r="4635">
      <c r="A4635">
        <f>=106775	 | Exploit.Win32.CVE-2015-1701.A	 | BEAC6592DBD3A479A64789E43EC20F27</f>
        <v/>
      </c>
    </row>
    <row r="4636">
      <c r="A4636">
        <f>=106800	 | Trojan.Win32.Emotet.DBTUMUB	 | bb02adb17ec5741898c54f8cd7d27cb6</f>
        <v/>
      </c>
    </row>
    <row r="4637">
      <c r="A4637">
        <f>=106803	 | Trojan.Win32.Emotet.DBTUMUC	 | 1e69532d006470ae9e91849895eaaa28</f>
        <v/>
      </c>
    </row>
    <row r="4638">
      <c r="A4638">
        <f>=106804	 | Trojan.Win32.Emotet.DBTUMUD	 | 0279d40d94eef6aa848f31b6e3a6a34b</f>
        <v/>
      </c>
    </row>
    <row r="4639">
      <c r="A4639">
        <f>=106813	 | Trojan.Win32.Trickbot.H	 | 1c883eb1287007a44a7aea0954fb5cd2</f>
        <v/>
      </c>
    </row>
    <row r="4640">
      <c r="A4640">
        <f>=106815	 | Trojan.Win64.CoinMiner.L	 | 8d4e6b81696a380c4cef72d3770e53fa_dllhostex</f>
        <v/>
      </c>
    </row>
    <row r="4641">
      <c r="A4641">
        <f>=106826	 | Trojan.Win64.XMRig.A	 | c34661083b5220f51fcd3c7297357d93</f>
        <v/>
      </c>
    </row>
    <row r="4642">
      <c r="A4642">
        <f>=106827	 | Trojan.Win64.Xmrig.B	 | 905fa68106c8a6608f779fde4ce22c68</f>
        <v/>
      </c>
    </row>
    <row r="4643">
      <c r="A4643">
        <f>=106828	 | Trojan.Win64.CoinMiner.N	 | 8d4e6b81696a380c4cef72d3770e53fa</f>
        <v/>
      </c>
    </row>
    <row r="4644">
      <c r="A4644">
        <f>=106829	 | Trojan.Win32.Emotet.DBTUMUE	 | 38e2549778eeab067574941322a1c448</f>
        <v/>
      </c>
    </row>
    <row r="4645">
      <c r="A4645">
        <f>=106834	 | Ransom.Win32.Buran.A	 | a69e30627271c8f9744bb38f5464ddf4</f>
        <v/>
      </c>
    </row>
    <row r="4646">
      <c r="A4646">
        <f>=106875	 | Ransom.Win32.Ervil.A	 | beed14bc183ad523b94ef6ac2b270b08</f>
        <v/>
      </c>
    </row>
    <row r="4647">
      <c r="A4647">
        <f>=106883	 | Trojan.Win32.Generic.HH	 | f6b250aff0e2f5b592a6753c4fdb4475</f>
        <v/>
      </c>
    </row>
    <row r="4648">
      <c r="A4648">
        <f>=106884	 | Trojan.Win32.Generic.HI	 | a39aa2ecbbb50c97727503e23ce7b8c6</f>
        <v/>
      </c>
    </row>
    <row r="4649">
      <c r="A4649">
        <f>=106885	 | Trojan.Win32.Generic.HJ	 | 0650e1bd642f67843d8f8f1a9f61ff10</f>
        <v/>
      </c>
    </row>
    <row r="4650">
      <c r="A4650">
        <f>=106886	 | Trojan.Win32.Generic.HK	 | 6bffeb1a60a14be4ac5e47ab9564d387</f>
        <v/>
      </c>
    </row>
    <row r="4651">
      <c r="A4651">
        <f>=106887	 | Trojan.Win32.Generic.HL	 | 6778b6b56f4aebd73f78e4f7da4ac9aa</f>
        <v/>
      </c>
    </row>
    <row r="4652">
      <c r="A4652">
        <f>=106895	 | Trojan.Win64.Agent.D	 | c3ef906bb234ee3499a12bba2cacbc86</f>
        <v/>
      </c>
    </row>
    <row r="4653">
      <c r="A4653">
        <f>=106906	 | Ransom.Win32.Phobos.I	 | d92d1beaed5a221e6becb3eedbf34dc2</f>
        <v/>
      </c>
    </row>
    <row r="4654">
      <c r="A4654">
        <f>=106916	 | Trojan.Win32.Injector.GELUP	 | f672da5809dc5bd0b8a68cfeec4f99e9</f>
        <v/>
      </c>
    </row>
    <row r="4655">
      <c r="A4655">
        <f>=106924	 | Trojan.Win32.Generic.HM	 | 397A38665525DA268D5DB149FE493CF8</f>
        <v/>
      </c>
    </row>
    <row r="4656">
      <c r="A4656">
        <f>=106971	 | Trojan.Win32.Generic.HN	 | 93633C5D36FDA901BE54410585FFDC75</f>
        <v/>
      </c>
    </row>
    <row r="4657">
      <c r="A4657">
        <f>=106972	 | Trojan.Win32.Generic.HO	 | 0d8b08f2e0b1124599c1bff149321175</f>
        <v/>
      </c>
    </row>
    <row r="4658">
      <c r="A4658">
        <f>=106976	 | Trojan.Win32.Generic.HQ	 | 62ee845d0fec718dd7215a7d1446a4e4</f>
        <v/>
      </c>
    </row>
    <row r="4659">
      <c r="A4659">
        <f>=106979	 | VirTool.Win32.Obfuscator.DS	 | d05ae8fbc446c3f659b2b8ced7f69c2e</f>
        <v/>
      </c>
    </row>
    <row r="4660">
      <c r="A4660">
        <f>=106983	 | Trojan.Win32.Aenjaris.C	 | cea3258f5177ad17d64ce30d9b772b5e</f>
        <v/>
      </c>
    </row>
    <row r="4661">
      <c r="A4661">
        <f>=106987	 | Trojan.Win32.Generic.HR	 | B095592D963CAE027CBE81FA486C3AAA</f>
        <v/>
      </c>
    </row>
    <row r="4662">
      <c r="A4662">
        <f>=106988	 | Trojan.Win32.Wuke.A	 | E217E8C1C7966545574F1F5C51E13DF2</f>
        <v/>
      </c>
    </row>
    <row r="4663">
      <c r="A4663">
        <f>=106989	 | Worm.Win32.Nimda.A	 | 0c58f8279c025a457346834df20db2e2</f>
        <v/>
      </c>
    </row>
    <row r="4664">
      <c r="A4664">
        <f>=106990	 | Trojan.Win32.Emotet.DBTUMUF	 | 0b0f49a3b5e2ad2cfc47b230956fc795</f>
        <v/>
      </c>
    </row>
    <row r="4665">
      <c r="A4665">
        <f>=106991	 | Worm.Win32.Magistr.A	 | d117fcdf2676d76ad4c7f591f5ad6c63</f>
        <v/>
      </c>
    </row>
    <row r="4666">
      <c r="A4666">
        <f>=106992	 | Trojan.Win32.Emotet.DBTUMUG	 | 623be1be4cc3ff6fff94691511484aac</f>
        <v/>
      </c>
    </row>
    <row r="4667">
      <c r="A4667">
        <f>=106996	 | Trojan.Win32.Generic.HS	 | 5ef5d8b0f8cb6d17ddf612070807a092</f>
        <v/>
      </c>
    </row>
    <row r="4668">
      <c r="A4668">
        <f>=106997	 | Worm.Win32.Magistr.B	 | cdf98818d5e33c513754ed8f446b78ec</f>
        <v/>
      </c>
    </row>
    <row r="4669">
      <c r="A4669">
        <f>=107001	 | Trojan.Win32.Emotet.DBTUMUH	 | 130ac49d255686acde6b281d5029f16f</f>
        <v/>
      </c>
    </row>
    <row r="4670">
      <c r="A4670">
        <f>=107002	 | Trojan.Win32.HLLW.A	 | 46c9cfe09822c098f4e9c1ff9e81b183</f>
        <v/>
      </c>
    </row>
    <row r="4671">
      <c r="A4671">
        <f>=107005	 | Trojan.Win32.AgentTesla.F	 | 7cebbfc034361efccbe5ef1ac62a7cfd</f>
        <v/>
      </c>
    </row>
    <row r="4672">
      <c r="A4672">
        <f>=107015	 | Trojan.Win32.Emotet.DBTUMUI	 | 0c6c5e827771dbf6124209e6fb0b3de0</f>
        <v/>
      </c>
    </row>
    <row r="4673">
      <c r="A4673">
        <f>=107017	 | Backdoor.Win32.Bedep.A	 | 78ed224830b767b942e400e1b58f58e9</f>
        <v/>
      </c>
    </row>
    <row r="4674">
      <c r="A4674">
        <f>=107018	 | Backdoor.Win32.Vawtrak.A	 | 91a5902a8cba2584228a15e7f959c1f9</f>
        <v/>
      </c>
    </row>
    <row r="4675">
      <c r="A4675">
        <f>=107023	 | Ransom.Win32.Foreign.C	 | 7a7f53012e171dedd95c92fd2ad8c0e2</f>
        <v/>
      </c>
    </row>
    <row r="4676">
      <c r="A4676">
        <f>=107026	 | Trojan.Win64.Deshacop.A	 | 0f743287c9911b4b1c726c7c7edcaf7d</f>
        <v/>
      </c>
    </row>
    <row r="4677">
      <c r="A4677">
        <f>=107032	 | Trojan.Win64.Generic.AD	 | 127068f114a4fef796a93004dcee5020</f>
        <v/>
      </c>
    </row>
    <row r="4678">
      <c r="A4678">
        <f>=107034	 | Trojan.Win32.Emotet.DBTUMUJ	 | 35ff622a4ec234b4016b6a2cb24fc86f</f>
        <v/>
      </c>
    </row>
    <row r="4679">
      <c r="A4679">
        <f>=107035	 | Trojan.Win32.Qakbot.I	 | 10f8e45837ab90ce4f3c75117ee766f1</f>
        <v/>
      </c>
    </row>
    <row r="4680">
      <c r="A4680">
        <f>=107036	 | Adware.Win32.KuziTui.A	 | cea4a00ed8701f7850dd298acd0ba0de</f>
        <v/>
      </c>
    </row>
    <row r="4681">
      <c r="A4681">
        <f>=107037	 | Adware.Win32.Burden.A	 | e82c1b7920baeb185610954131bcc06e</f>
        <v/>
      </c>
    </row>
    <row r="4682">
      <c r="A4682">
        <f>=107039	 | Trojan.Win32.Emotet.DBTUMUK	 | 06a1939ae457c97e4e36e0b28ead25e7</f>
        <v/>
      </c>
    </row>
    <row r="4683">
      <c r="A4683">
        <f>=107041	 | Trojan.Win32.NetWire.GER	 | b52fbac548ebe7f8f074b2db88bda94b</f>
        <v/>
      </c>
    </row>
    <row r="4684">
      <c r="A4684">
        <f>=107043	 | Adware.Win32.MemoryDll.A	 | f4afd4f4cfe748917895c9859dc1dd59</f>
        <v/>
      </c>
    </row>
    <row r="4685">
      <c r="A4685">
        <f>=107044	 | Adware.Win32.MemoryDll.B	 | f4fcdc2603a4f7a5e679ca77e2f8d347</f>
        <v/>
      </c>
    </row>
    <row r="4686">
      <c r="A4686">
        <f>=107046	 | Trojan.Win64.Generic.AE	 | a0c1fd480f5ea66fc1960f1273cb1e80</f>
        <v/>
      </c>
    </row>
    <row r="4687">
      <c r="A4687">
        <f>=107047	 | Trojan.Win32.Generic.HU	 | 082916c92b2ab11eb52e86eee776147f</f>
        <v/>
      </c>
    </row>
    <row r="4688">
      <c r="A4688">
        <f>=107048	 | Trojan.Win32.Generic.HV	 | 14f2f0599c364681d680347c03c953d9</f>
        <v/>
      </c>
    </row>
    <row r="4689">
      <c r="A4689">
        <f>=107049	 | Trojan.Win32.Generic.HW	 | 4f3f6d9a704751489f5dddba1fe807f6</f>
        <v/>
      </c>
    </row>
    <row r="4690">
      <c r="A4690">
        <f>=107050	 | Trojan.Win32.Generic.HX	 | 0e7a071f987598e7b1d1be54a8196401</f>
        <v/>
      </c>
    </row>
    <row r="4691">
      <c r="A4691">
        <f>=107053	 | Trojan.Win32.Netwire.GES	 | f4bb452f4f4059b552f60b257ca237eb</f>
        <v/>
      </c>
    </row>
    <row r="4692">
      <c r="A4692">
        <f>=107055	 | Trojan.Win32.AgentTesla.G	 | 56259A28A9BB7682D00C1581441DAA51</f>
        <v/>
      </c>
    </row>
    <row r="4693">
      <c r="A4693">
        <f>=107060	 | Trojan.Win32.Cometer.B	 | be7e91aa2c571ba6ed2bc61c64f1aad9</f>
        <v/>
      </c>
    </row>
    <row r="4694">
      <c r="A4694">
        <f>=107061	 | Ransom.Win32.LockBit.A	 | d5c5558214a0859227e380071925ee58</f>
        <v/>
      </c>
    </row>
    <row r="4695">
      <c r="A4695">
        <f>=107063	 | Trojan.Win32.Viking.A	 | 70CF5BEBD1AE52606F3ACAFE2095FC20</f>
        <v/>
      </c>
    </row>
    <row r="4696">
      <c r="A4696">
        <f>=107064	 | Trojan.Win32.Emotet.DBTUMUL	 | ff88a17a4c39637d9ce08de1eca5fb02</f>
        <v/>
      </c>
    </row>
    <row r="4697">
      <c r="A4697">
        <f>=107066	 | Hackertool.Win32.Wendshell.A	 | 4ec69a211664d76428fa593c584b3af1</f>
        <v/>
      </c>
    </row>
    <row r="4698">
      <c r="A4698">
        <f>=107067	 | Worm.Win32.Ganelp.B	 | 2406ff4b64bf4cf3b992fcb991df1142</f>
        <v/>
      </c>
    </row>
    <row r="4699">
      <c r="A4699">
        <f>=107070	 | Trojan.Win32.Qakbot.J	 | 136463670a7062d0df5ecea1a873d330</f>
        <v/>
      </c>
    </row>
    <row r="4700">
      <c r="A4700">
        <f>=107071	 | Trojan.Win32.Qakbot.K	 | 0afc4370c87b7fdf9cbf10d3035b37d9</f>
        <v/>
      </c>
    </row>
    <row r="4701">
      <c r="A4701">
        <f>=107072	 | Trojan.Win32.Emotet.DBTUMUN	 | 28b7172c5d742894e5366156ae6b3291</f>
        <v/>
      </c>
    </row>
    <row r="4702">
      <c r="A4702">
        <f>=107074	 | Trojan.Win32.Emotet.DBTUMUP	 | 01c9deb4a3a62bdc179a0457d6c3ab9d</f>
        <v/>
      </c>
    </row>
    <row r="4703">
      <c r="A4703">
        <f>=107075	 | Trojan.Win32.Salgorea.B	 | 2a5ca8bf1b47f14abc4ecffba2ba5ab0</f>
        <v/>
      </c>
    </row>
    <row r="4704">
      <c r="A4704">
        <f>=107076	 | Worm.Win32.Cridex.A	 | 30fdd0af271f57a4f773b769dc12aad1</f>
        <v/>
      </c>
    </row>
    <row r="4705">
      <c r="A4705">
        <f>=107077	 | Trojan.Win32.Qbot.J	 | 04f16cb90e7940a72f30c7ef5849bec7</f>
        <v/>
      </c>
    </row>
    <row r="4706">
      <c r="A4706">
        <f>=107078	 | Trojan.Win32.Emotet.DBTUMUQ	 | 4e016a1833a5aeaa6277e15e4f9c403a</f>
        <v/>
      </c>
    </row>
    <row r="4707">
      <c r="A4707">
        <f>=107079	 | Trojan.Win32.Emotet.DBTUMUR	 | 2e2d4d422d756edd01f98ac05f939762</f>
        <v/>
      </c>
    </row>
    <row r="4708">
      <c r="A4708">
        <f>=107080	 | Trojan.Win32.Cuegoe.A	 | e0a45d2746a331daff174fded69427e2</f>
        <v/>
      </c>
    </row>
    <row r="4709">
      <c r="A4709">
        <f>=107081	 | Ransom.Win32.Lyposit.B	 | 24582e1c9e3e20037d3bd216175807c5</f>
        <v/>
      </c>
    </row>
    <row r="4710">
      <c r="A4710">
        <f>=107082	 | Trojan.Win32.Generic.IB	 | fac609e1312500888f308a343c6a7da3</f>
        <v/>
      </c>
    </row>
    <row r="4711">
      <c r="A4711">
        <f>=107083	 | Trojan.Win32.Salgorea.C	 | ef0a116f3949ba4abe2c4da4335363b2</f>
        <v/>
      </c>
    </row>
    <row r="4712">
      <c r="A4712">
        <f>=107085	 | Trojan.Win32.Emotet.DBTUMUS	 | 4fad35c5210cc8b4cf8fead1f9772f0c</f>
        <v/>
      </c>
    </row>
    <row r="4713">
      <c r="A4713">
        <f>=107086	 | Trojan.Win32.Emotet.DBTUMUT	 | 1e1a05533ebf6ccd36fa1efe8ba1cb99</f>
        <v/>
      </c>
    </row>
    <row r="4714">
      <c r="A4714">
        <f>=107087	 | Trojan.Win32.Wacatac.O	 | f37171e5f57d4d0538349cd4b6a51df9</f>
        <v/>
      </c>
    </row>
    <row r="4715">
      <c r="A4715">
        <f>=107088	 | Trojan.Win32.Cometer.C	 | f528bb40e6d1a809e04f449195d32fac</f>
        <v/>
      </c>
    </row>
    <row r="4716">
      <c r="A4716">
        <f>=107092	 | Trojan.Win32.Generic.IE	 | FA2137856D6F33D5277E9DA2C83A2151</f>
        <v/>
      </c>
    </row>
    <row r="4717">
      <c r="A4717">
        <f>=107096	 | Trojan.Win32.Generic.IF	 | 4db787f4fe3dc3849d652b432e8b774a</f>
        <v/>
      </c>
    </row>
    <row r="4718">
      <c r="A4718">
        <f>=107100	 | Trojan.Win32.Generic.IG	 | fe65ad7c150cd2c49f8422c1c54de5be</f>
        <v/>
      </c>
    </row>
    <row r="4719">
      <c r="A4719">
        <f>=107101	 | Trojan.Win32.Emotet.DBTUMUU	 | 4e83a3618eccf7ab8ede8941a8764c88</f>
        <v/>
      </c>
    </row>
    <row r="4720">
      <c r="A4720">
        <f>=107103	 | Trojan.Win32.Generic.IH	 | 7bdc27f0f74ea7b25cadca40aef76faa</f>
        <v/>
      </c>
    </row>
    <row r="4721">
      <c r="A4721">
        <f>=107105	 | Trojan.Win32.Salgorea.D	 | 51b4c2cb6e48b310f9630b41075a1d45</f>
        <v/>
      </c>
    </row>
    <row r="4722">
      <c r="A4722">
        <f>=107106	 | Trojan.Win32.Emotet.DBTUMUV	 | 08f6866e8b8315b3ce7b7fd673bcbc00</f>
        <v/>
      </c>
    </row>
    <row r="4723">
      <c r="A4723">
        <f>=107107	 | Trojan.Win32.Salgorea.E	 | faa554613a9bed41bed265a915223e56</f>
        <v/>
      </c>
    </row>
    <row r="4724">
      <c r="A4724">
        <f>=107108	 | Adware.Win32.Generic.GY	 | 2dfcccfe3a09b716878b904fed8f335c</f>
        <v/>
      </c>
    </row>
    <row r="4725">
      <c r="A4725">
        <f>=107109	 | Adware.Win32.Generic.HA	 | 64fc2d4be82dfa5bbdff7b36c9a1b576</f>
        <v/>
      </c>
    </row>
    <row r="4726">
      <c r="A4726">
        <f>=107110	 | Trojan.Win32.FileTour.B	 | 4c379dc8d3d1caf3535d0b7958b9ecba</f>
        <v/>
      </c>
    </row>
    <row r="4727">
      <c r="A4727">
        <f>=107112	 | Backdoor.Win32.Generic.BBH	 | 0d552b2c701fbe63eaf0eba457d9f74c</f>
        <v/>
      </c>
    </row>
    <row r="4728">
      <c r="A4728">
        <f>=107114	 | Trojan.Win32.Generic.II	 | 8ea53d2f87c2bbd7804d264279f31973</f>
        <v/>
      </c>
    </row>
    <row r="4729">
      <c r="A4729">
        <f>=107116	 | Trojan.Win32.Emotet.DBTUMUX	 | ffe2c1d72972259a736099abdca33354</f>
        <v/>
      </c>
    </row>
    <row r="4730">
      <c r="A4730">
        <f>=107118	 | Trojan.Win32.Salgorea.F	 | ff9a1aa9baada9b8e2dba1ce573bb729</f>
        <v/>
      </c>
    </row>
    <row r="4731">
      <c r="A4731">
        <f>=107119	 | Trojan.Win64.Adject.A	 | fc1d0d266b85853679976e0b3e24cf46</f>
        <v/>
      </c>
    </row>
    <row r="4732">
      <c r="A4732">
        <f>=107121	 | Trojan.Win32.Meterpreter.Q	 | d8c70233edfb83be8287a79ac9b36fda</f>
        <v/>
      </c>
    </row>
    <row r="4733">
      <c r="A4733">
        <f>=107122	 | Trojan.Win64.Agent.E	 | 0f703aae4c8e68ac6141e9dfedf045ff</f>
        <v/>
      </c>
    </row>
    <row r="4734">
      <c r="A4734">
        <f>=107126	 | Trojan.Win32.Wacatac.P	 | 50598b69696ceeb333ebaec7fe519278</f>
        <v/>
      </c>
    </row>
    <row r="4735">
      <c r="A4735">
        <f>=107127	 | Backdoor.Win32.Androm.GET	 | 91d6acb7e177ca9e536a8cbd9bf4cfee</f>
        <v/>
      </c>
    </row>
    <row r="4736">
      <c r="A4736">
        <f>=107128	 | Adware.Win32.Generic.HB	 | 8d69d52acfbc29e52a8ff440014975d2</f>
        <v/>
      </c>
    </row>
    <row r="4737">
      <c r="A4737">
        <f>=107129	 | Trojan.Win32.Emotet.DBTUMUY	 | 81a9ed90657feef6f596574a1f73ce67</f>
        <v/>
      </c>
    </row>
    <row r="4738">
      <c r="A4738">
        <f>=107130	 | Trojan.Win32.Generic.IK	 | 90ef0cb1dada5503c7692abacbe4ed15</f>
        <v/>
      </c>
    </row>
    <row r="4739">
      <c r="A4739">
        <f>=107133	 | Hackertool.Win32.Generic.B	 | 874f0e91b8d778a62a0192d6793f4a6b</f>
        <v/>
      </c>
    </row>
    <row r="4740">
      <c r="A4740">
        <f>=107135	 | Trojan.Win64.Agent.F	 | a9ea476330fd9dbb764da132a1f32c6e</f>
        <v/>
      </c>
    </row>
    <row r="4741">
      <c r="A4741">
        <f>=107136	 | Trojan.Win32.Emotet.DBTUMVA	 | c2fbd1b809668eaa2c90a37f4a866b83</f>
        <v/>
      </c>
    </row>
    <row r="4742">
      <c r="A4742">
        <f>=107137	 | Trojan.Win32.Cridex.Q	 | 129740b18fa690ed130dbef81acc6b5e</f>
        <v/>
      </c>
    </row>
    <row r="4743">
      <c r="A4743">
        <f>=107138	 | Ransom.Win32.Zeppelin.A	 | 071487edf4bd0c752f07561d595b9a5e</f>
        <v/>
      </c>
    </row>
    <row r="4744">
      <c r="A4744">
        <f>=107148	 | Trojan.Win32.Downloader.GFU	 | b74e932dd5c820db5dec6664eda5722d</f>
        <v/>
      </c>
    </row>
    <row r="4745">
      <c r="A4745">
        <f>=107152	 | Trojan.Win32.Emotet.DBTUMVB	 | 57043972bd865818a30db18ba20f13fb</f>
        <v/>
      </c>
    </row>
    <row r="4746">
      <c r="A4746">
        <f>=107153	 | Trojan.Win32.Coinminer.U	 | f102d21cdc590ccebf7793d4a3fb7832</f>
        <v/>
      </c>
    </row>
    <row r="4747">
      <c r="A4747">
        <f>=107154	 | Trojan.Win32.CryptInject.C	 | 481596108a8956005cbfb82067376872</f>
        <v/>
      </c>
    </row>
    <row r="4748">
      <c r="A4748">
        <f>=107155	 | Trojan.Win32.Qakbot.L	 | 076f822d30d87f4af9e498fc3a89451f</f>
        <v/>
      </c>
    </row>
    <row r="4749">
      <c r="A4749">
        <f>=107156	 | Trojan.Win32.Wacatac.Q	 | 1de960fc904604527535ab1b87d6684a</f>
        <v/>
      </c>
    </row>
    <row r="4750">
      <c r="A4750">
        <f>=107157	 | Trojan.Win32.Generic.IN	 | c57dcbe747551cfc9848c729aa6516ac</f>
        <v/>
      </c>
    </row>
    <row r="4751">
      <c r="A4751">
        <f>=107160	 | Trojan.Win32.Emotet.DBTUMVC	 | f7b2771cdd9706176d3984505389a057</f>
        <v/>
      </c>
    </row>
    <row r="4752">
      <c r="A4752">
        <f>=107161	 | Trojan.Win32.Loskad.A	 | b9ea9d5d5b6c370c406d879e58828d2a</f>
        <v/>
      </c>
    </row>
    <row r="4753">
      <c r="A4753">
        <f>=107163	 | Trojan.Win32.Ymacco.C	 | 2c3ba7f4d7615eeebe73b604a14c543d</f>
        <v/>
      </c>
    </row>
    <row r="4754">
      <c r="A4754">
        <f>=107164	 | Trojan.Win32.Emotet.DBTUMVD	 | 7600655b2db1b7eff0bf3c2e3b0bf193</f>
        <v/>
      </c>
    </row>
    <row r="4755">
      <c r="A4755">
        <f>=107165	 | Ransom.Win32.Shade.A	 | 0ce24bb4cd5e789359329dfd757a0303</f>
        <v/>
      </c>
    </row>
    <row r="4756">
      <c r="A4756">
        <f>=107166	 | Adware.Win32.Generic.HC	 | 2a97241073f9bddbeb2399296ece56e1</f>
        <v/>
      </c>
    </row>
    <row r="4757">
      <c r="A4757">
        <f>=107167	 | Trojan.Win32.Emotet.DBTUMVE	 | 1bbc63a6d796023c6be153290148ca1d</f>
        <v/>
      </c>
    </row>
    <row r="4758">
      <c r="A4758">
        <f>=107168	 | Trojan.Win32.Generic.IO	 | 1acba9c8513a91d7f19ffb034f76d5dc</f>
        <v/>
      </c>
    </row>
    <row r="4759">
      <c r="A4759">
        <f>=107170	 | Trojan.Win32.Generic.IQ	 | 232a0a4cecccb07262ed476621c422f6</f>
        <v/>
      </c>
    </row>
    <row r="4760">
      <c r="A4760">
        <f>=107171	 | Trojan.Win32.Emotet.DBTUMVF	 | e55514e8c090d7436c5966da5fa85192</f>
        <v/>
      </c>
    </row>
    <row r="4761">
      <c r="A4761">
        <f>=107172	 | Trojan.Win32.Zenpak.M	 | d2d2072d853de811215132e69d8a589a</f>
        <v/>
      </c>
    </row>
    <row r="4762">
      <c r="A4762">
        <f>=107174	 | Trojan.Win64.Generic.AG	 | b9500be0a12674b69845a715459bfad5</f>
        <v/>
      </c>
    </row>
    <row r="4763">
      <c r="A4763">
        <f>=107175	 | Trojan.Win32.Generic.IR	 | 4b3c757931c2f79299520d0f419ec680</f>
        <v/>
      </c>
    </row>
    <row r="4764">
      <c r="A4764">
        <f>=107179	 | Trojan.Win64.Fuery.A	 | cc1c71fb652ad242e2c5bda4bdfcd00b</f>
        <v/>
      </c>
    </row>
    <row r="4765">
      <c r="A4765">
        <f>=107180	 | Worm.Win32.Ardunk.A	 | 0b788abb2b2eb88c023838611e81c39c</f>
        <v/>
      </c>
    </row>
    <row r="4766">
      <c r="A4766">
        <f>=107181	 | Trojan.Win64.Generic.AH	 | ef0b7c10a77bab4b4da2e0e17c19e1d9</f>
        <v/>
      </c>
    </row>
    <row r="4767">
      <c r="A4767">
        <f>=107182	 | Adware.Win32.Generic.HD	 | 028d3125fdbae9197c5fd897188e3357</f>
        <v/>
      </c>
    </row>
    <row r="4768">
      <c r="A4768">
        <f>=107183	 | Adware.Win32.FileTour.H	 | 4ceae294b98defb5630ca44892c5ec6b</f>
        <v/>
      </c>
    </row>
    <row r="4769">
      <c r="A4769">
        <f>=107187	 | Adware.Win32.FileTour.I	 | 3cd1a064a1d8f09ebe4a26e8a465e45c</f>
        <v/>
      </c>
    </row>
    <row r="4770">
      <c r="A4770">
        <f>=107189	 | Trojan.Win32.Generic.IT	 | f07e38904ab5c8e0e50faad0a6f7865f</f>
        <v/>
      </c>
    </row>
    <row r="4771">
      <c r="A4771">
        <f>=107191	 | Adware.Win32.Generic.HE	 | 5d9f88fd8944ed4ee66abaff6f99dd21</f>
        <v/>
      </c>
    </row>
    <row r="4772">
      <c r="A4772">
        <f>=107193	 | Adware.Win32.Filetour.J	 | 62b7fbc4bcf4800b087a539a58b23d83</f>
        <v/>
      </c>
    </row>
    <row r="4773">
      <c r="A4773">
        <f>=107194	 | Adware.Win32.Filetour.K	 | 62b7fbc4bcf4800b087a539a58b23d83</f>
        <v/>
      </c>
    </row>
    <row r="4774">
      <c r="A4774">
        <f>=107195	 | Trojan.Win32.Emotet.DBTUMVG	 | 03d2f860a7e581d29bd95ede49ce1d39</f>
        <v/>
      </c>
    </row>
    <row r="4775">
      <c r="A4775">
        <f>=107197	 | Trojan.Win32.FormBook.D	 | d16ee264087da3a07e9da87433cb0592</f>
        <v/>
      </c>
    </row>
    <row r="4776">
      <c r="A4776">
        <f>=107198	 | Trojan.Win32.Agensla.X	 | f7c80679c8f68c60f2f88171bd086744</f>
        <v/>
      </c>
    </row>
    <row r="4777">
      <c r="A4777">
        <f>=107199	 | Trojan.Win32.Generic.IV	 | 08f3c533ac1746678de19e8f54225b59</f>
        <v/>
      </c>
    </row>
    <row r="4778">
      <c r="A4778">
        <f>=107200	 | Trojan.Win32.Skeeyah.D	 | 8f4734373903b29408d507ad11cee340</f>
        <v/>
      </c>
    </row>
    <row r="4779">
      <c r="A4779">
        <f>=107201	 | Trojan.Win32.Androm.A	 | 812755809f8c0ad0bab7d92ec35505fe</f>
        <v/>
      </c>
    </row>
    <row r="4780">
      <c r="A4780">
        <f>=107202	 | Trojan.Win32.Agentb.BVIW	 | c8ae64aaefebee507eb3062cd960fd4f</f>
        <v/>
      </c>
    </row>
    <row r="4781">
      <c r="A4781">
        <f>=107203	 | Trojan.Win64.Skeeyah.A	 | c26be40149be2f82207a40440dfe5d18</f>
        <v/>
      </c>
    </row>
    <row r="4782">
      <c r="A4782">
        <f>=107206	 | Trojan.Win32.Agent.XAANDX	 | 462ac58fb308fcc396363b9c1e69c345</f>
        <v/>
      </c>
    </row>
    <row r="4783">
      <c r="A4783">
        <f>=107209	 | Trojan.Win32.Azorult.C	 | 04b6466398315ac8e0d6d7d17162c9ac</f>
        <v/>
      </c>
    </row>
    <row r="4784">
      <c r="A4784">
        <f>=107210	 | Trojan.Win32.Predator.C	 | 7ac185e7a95b50b9b117229116d554d6</f>
        <v/>
      </c>
    </row>
    <row r="4785">
      <c r="A4785">
        <f>=107211	 | Trojan.Win32.AgentTesla.H	 | b7d46148daa8969d8b11c49a31425e10</f>
        <v/>
      </c>
    </row>
    <row r="4786">
      <c r="A4786">
        <f>=107212	 | Trojan.Win32.Staser.A	 | d834050b3d97542890d5e48e3128577e</f>
        <v/>
      </c>
    </row>
    <row r="4787">
      <c r="A4787">
        <f>=107214	 | Trojan.Win32.Hancitor.A	 | dda7f3bb9dee24e6e2564ed656f1bf64</f>
        <v/>
      </c>
    </row>
    <row r="4788">
      <c r="A4788">
        <f>=107215	 | Trojan.Win32.Downloader.GFV	 | 2789d8ecc091ca006e426a9db9361d7d</f>
        <v/>
      </c>
    </row>
    <row r="4789">
      <c r="A4789">
        <f>=107216	 | Trojan.Win32.Generic.IW	 | b060ae3d063546bf4ec83fecae5f80a2</f>
        <v/>
      </c>
    </row>
    <row r="4790">
      <c r="A4790">
        <f>=107217	 | Trojan.Win32.Inject.GELUR	 | 01ec01e1dc6a4469830fa1f3457da796</f>
        <v/>
      </c>
    </row>
    <row r="4791">
      <c r="A4791">
        <f>=107218	 | Trojan.Win32.Generic.IX	 | 358388541c7dc02e0360f39324952c36</f>
        <v/>
      </c>
    </row>
    <row r="4792">
      <c r="A4792">
        <f>=107219	 | Backdoor.Win32.Androm.GEU	 | a5fd2799091c867c6479626f8880f340</f>
        <v/>
      </c>
    </row>
    <row r="4793">
      <c r="A4793">
        <f>=107220	 | Trojan.Win32.Clipper.D	 | b79abd819033cb46652fb0fd900abbaa</f>
        <v/>
      </c>
    </row>
    <row r="4794">
      <c r="A4794">
        <f>=107221	 | Trojan.Win32.Generic.IY	 | 502378ddd66b0fd9bfcf71942b7dd6cc</f>
        <v/>
      </c>
    </row>
    <row r="4795">
      <c r="A4795">
        <f>=107223	 | Trojan.Win32.Emotet.DBTUMVH	 | 9a3c300eb443c0ea7ed49c299cee366d</f>
        <v/>
      </c>
    </row>
    <row r="4796">
      <c r="A4796">
        <f>=107224	 | Trojan.Win32.Generic.JB	 | ee1cabf066a735493f790f45bd4e5b2a</f>
        <v/>
      </c>
    </row>
    <row r="4797">
      <c r="A4797">
        <f>=107225	 | Worm.Win32.Viking.L	 | c23a59b0905f5bedf8c166e98a801dbb</f>
        <v/>
      </c>
    </row>
    <row r="4798">
      <c r="A4798">
        <f>=107227	 | Trojan.Win32.Generic.JD	 | ee1cabf066a735493f790f45bd4e5b2a</f>
        <v/>
      </c>
    </row>
    <row r="4799">
      <c r="A4799">
        <f>=107230	 | Adware.Win32.PrimeCasino.A	 | c1575c740977ac3f1a7c4fdb22356c72</f>
        <v/>
      </c>
    </row>
    <row r="4800">
      <c r="A4800">
        <f>=107232	 | Trojan.Win32.Generic.JE	 | a737e285ad071e136e86441c029140ba</f>
        <v/>
      </c>
    </row>
    <row r="4801">
      <c r="A4801">
        <f>=107233	 | Trojan.Win32.Dynamer.B	 | 8e28f04daf7855f3f76bb7c8d67b0d64</f>
        <v/>
      </c>
    </row>
    <row r="4802">
      <c r="A4802">
        <f>=107234	 | Adware.Win32.FileTour.L	 | e855e8741087225ad5efccb6ac7b447e</f>
        <v/>
      </c>
    </row>
    <row r="4803">
      <c r="A4803">
        <f>=107236	 | Trojan.Win32.Generic.JF	 | 3eab7e76d78cf0e996e9cb787cd47a75</f>
        <v/>
      </c>
    </row>
    <row r="4804">
      <c r="A4804">
        <f>=107237	 | Adware.Win32.BrowseFox.I	 | a98616804356b07fba0097d0f4b4f487</f>
        <v/>
      </c>
    </row>
    <row r="4805">
      <c r="A4805">
        <f>=107238	 | AdWare.Win32.FileTour.M	 | 3613a4bee989e1673b5d55c2b1b67ab5</f>
        <v/>
      </c>
    </row>
    <row r="4806">
      <c r="A4806">
        <f>=107239	 | Trojan.Win32.Razy.AI	 | 9fdd524d668f07b3d4e9964a90874534</f>
        <v/>
      </c>
    </row>
    <row r="4807">
      <c r="A4807">
        <f>=107240	 | Trojan.Win32.Generic.JG	 | 0d34908ff1a896d51196f37a46aef897</f>
        <v/>
      </c>
    </row>
    <row r="4808">
      <c r="A4808">
        <f>=107241	 | Trojan.Win32.Wacatac.R	 | d0c4ce9a690701b503b8c755dfa51c66</f>
        <v/>
      </c>
    </row>
    <row r="4809">
      <c r="A4809">
        <f>=107243	 | Trojan.Win32.Goabeny.B	 | 8b4861e0d3c518319ebedf0bb7716d64</f>
        <v/>
      </c>
    </row>
    <row r="4810">
      <c r="A4810">
        <f>=107244	 | Trojan.Win32.Wacatac.S	 | d0c4ce9a690701b503b8c755dfa51c66</f>
        <v/>
      </c>
    </row>
    <row r="4811">
      <c r="A4811">
        <f>=107245	 | Trojan.Win32.Generic.JH	 | e7e2df9d54b8ba149c93d03eafb8fa9c</f>
        <v/>
      </c>
    </row>
    <row r="4812">
      <c r="A4812">
        <f>=107246	 | Trojan.Win32.Tofsee.A	 | edbb0fd5cd2a62607abdc752a34e657d</f>
        <v/>
      </c>
    </row>
    <row r="4813">
      <c r="A4813">
        <f>=107250	 | Adware.Win32.FileTour.N	 | 6c91df8a21596453160f884368d5f52b</f>
        <v/>
      </c>
    </row>
    <row r="4814">
      <c r="A4814">
        <f>=107252	 | Adware.Win32.FileTour.O	 | fb32c6fcc96dcce76451987f249dfbba</f>
        <v/>
      </c>
    </row>
    <row r="4815">
      <c r="A4815">
        <f>=107253	 | Trojan.Win32.Delf.S	 | 5cad827cb08e9d4c124ce3f19dd852e3</f>
        <v/>
      </c>
    </row>
    <row r="4816">
      <c r="A4816">
        <f>=107254	 | Trojan.Win32.Delf.T	 | cd26d8e7b87d5f58a6aee94cd6b2a0a0</f>
        <v/>
      </c>
    </row>
    <row r="4817">
      <c r="A4817">
        <f>=107255	 | Trojan.Win32.Emotet.DBTUMVI	 | e8e6a4ccb4aa00188491920b2bdd11bd</f>
        <v/>
      </c>
    </row>
    <row r="4818">
      <c r="A4818">
        <f>=107257	 | Trojan.Win32.Emotet.DBTUMVJ	 | e46d7710a0b98475fe7cd720d1ecf805</f>
        <v/>
      </c>
    </row>
    <row r="4819">
      <c r="A4819">
        <f>=107258	 | Trojan.Win32.Wacatac.T	 | cbbb6f23dc9f8088c77436f37695ef12</f>
        <v/>
      </c>
    </row>
    <row r="4820">
      <c r="A4820">
        <f>=107259	 | Backdoor.Win32.Hupigon.UAGE	 | a02452236a56f2a996092352b3e9ac3e</f>
        <v/>
      </c>
    </row>
    <row r="4821">
      <c r="A4821">
        <f>=107260	 | Worm.Win32.Sfone.E	 | ffcf156c96da87b98f52812edd43708d</f>
        <v/>
      </c>
    </row>
    <row r="4822">
      <c r="A4822">
        <f>=107261	 | Trojan.Win64.CoinMiner.O	 | f16a10246c6069a34f0505a52f1b4cfd</f>
        <v/>
      </c>
    </row>
    <row r="4823">
      <c r="A4823">
        <f>=107262	 | Hackertool.Win64.CoinMiner.BCH	 | ede0a1a18ac928bbdc23e942b0537b07</f>
        <v/>
      </c>
    </row>
    <row r="4824">
      <c r="A4824">
        <f>=107263	 | Backdoor.Win32.Ircbot.K	 | c68822bee0a9091abb64a1e20fba238a</f>
        <v/>
      </c>
    </row>
    <row r="4825">
      <c r="A4825">
        <f>=107264	 | Trojan.Win32.Blutea.A	 | 331ceddc63a5e54eac533cbd29825b84</f>
        <v/>
      </c>
    </row>
    <row r="4826">
      <c r="A4826">
        <f>=107265	 | Trojan.Win32.Fareit.D	 | d206b896c355cda79edd8151deb59d68</f>
        <v/>
      </c>
    </row>
    <row r="4827">
      <c r="A4827">
        <f>=107266	 | Trojan.Win32.VBInject.D	 | 0ca87bf0b3b9d44ac2d11b0c312b988f</f>
        <v/>
      </c>
    </row>
    <row r="4828">
      <c r="A4828">
        <f>=107267	 | Trojan.Win32.Rabased.A	 | e8446f5f179eb2e2967673a1f22afd73</f>
        <v/>
      </c>
    </row>
    <row r="4829">
      <c r="A4829">
        <f>=107268	 | VirTool.Win32.VBInject.A	 | b04f25b9b7f2dee6bed5a5e0aff94f1a</f>
        <v/>
      </c>
    </row>
    <row r="4830">
      <c r="A4830">
        <f>=107269	 | Trojan.Win32.Emotet.DBTUMVK	 | d5391103025b25d6775391a833fe3b68</f>
        <v/>
      </c>
    </row>
    <row r="4831">
      <c r="A4831">
        <f>=107270	 | Trojan.Win64.Emotet.A	 | 8e7b76532c0bb541c727861f74a0b618</f>
        <v/>
      </c>
    </row>
    <row r="4832">
      <c r="A4832">
        <f>=107272	 | Trojan.Win32.Farfli.G	 | 1739a3e9eaa7fc6a68129fff299825c1</f>
        <v/>
      </c>
    </row>
    <row r="4833">
      <c r="A4833">
        <f>=107274	 | Trojan.Win32.Diztakun.A	 | aedd11697913b04b690fa5731956fe8c</f>
        <v/>
      </c>
    </row>
    <row r="4834">
      <c r="A4834">
        <f>=107276	 | Trojan.Win32.Generic.JI	 | 14334e9e9da620dd7d2d6def1b333284</f>
        <v/>
      </c>
    </row>
    <row r="4835">
      <c r="A4835">
        <f>=107277	 | VirTool.Win32.Dupshirk.A	 | b234085448d4f69300b3089f122106b0</f>
        <v/>
      </c>
    </row>
    <row r="4836">
      <c r="A4836">
        <f>=107278	 | Trojan.Win32.Zbot.TBTU	 | 087de30fb3ebaf8d3942bb0cd6da76bb</f>
        <v/>
      </c>
    </row>
    <row r="4837">
      <c r="A4837">
        <f>=107280	 | Trojan.Win32.VBCode.AG	 | 69ef3e3ba67ccbf66d5a8937e3e376e8</f>
        <v/>
      </c>
    </row>
    <row r="4838">
      <c r="A4838">
        <f>=107281	 | Trojan.Win32.Wacatac.U	 | cbbb6f23dc9f8088c77436f37695ef12</f>
        <v/>
      </c>
    </row>
    <row r="4839">
      <c r="A4839">
        <f>=107282	 | Trojan.Win32.Downloader.GFY	 | ddd037f16bde19b1ec13d314422d1dc5</f>
        <v/>
      </c>
    </row>
    <row r="4840">
      <c r="A4840">
        <f>=107284	 | Trojan.Win32.Emotet.DBTUMVM	 | 060ae5d1836cdb23e511123dd7a2215e</f>
        <v/>
      </c>
    </row>
    <row r="4841">
      <c r="A4841">
        <f>=107286	 | Script.Win32.Generic.G	 | 2d98b631b8464685e8db6f57af7903a1</f>
        <v/>
      </c>
    </row>
    <row r="4842">
      <c r="A4842">
        <f>=107288	 | Script.Win32.Generic.H	 | 05f1ddfa7f5ffce426b5eb0be3ddad2b</f>
        <v/>
      </c>
    </row>
    <row r="4843">
      <c r="A4843">
        <f>=107291	 | Trojan.Win32.Generic.JK	 | 7ad59f82986f56a569a89ae6e61974f3</f>
        <v/>
      </c>
    </row>
    <row r="4844">
      <c r="A4844">
        <f>=107293	 | Trojan.Win32.Generic.JL	 | 0cc41b0c5d4257d1ec81e8acbf1085d0</f>
        <v/>
      </c>
    </row>
    <row r="4845">
      <c r="A4845">
        <f>=107294	 | Trojan.Win32.Facido.A	 | 0a3876057a607812e73d1dc177a9fd0d</f>
        <v/>
      </c>
    </row>
    <row r="4846">
      <c r="A4846">
        <f>=107295	 | Trojan.Win32.Generic.JM	 | 17ccabd63b5b66f6366d91a30b7a044c</f>
        <v/>
      </c>
    </row>
    <row r="4847">
      <c r="A4847">
        <f>=107297	 | Backdoor.Win32.Finfish.A	 | 1458891d0b67d776e1145a3f6845ebe7</f>
        <v/>
      </c>
    </row>
    <row r="4848">
      <c r="A4848">
        <f>=107298	 | Trojan.Win32.Fake.BCL	 | 53265b1e497cab0caa38c15ebc1f1ccf</f>
        <v/>
      </c>
    </row>
    <row r="4849">
      <c r="A4849">
        <f>=107301	 | Trojan.Win32.Emotet.DBTUMVN	 | 1aa2df4c23b796f6752c7aa53f2ed56f</f>
        <v/>
      </c>
    </row>
    <row r="4850">
      <c r="A4850">
        <f>=107302	 | Trojan.Win32.Stealer.A	 | fc7308d902c2965e7807b0e0cfea66a2</f>
        <v/>
      </c>
    </row>
    <row r="4851">
      <c r="A4851">
        <f>=107304	 | Worm.Win32.STalk.A	 | 5fc55655eab13548918c68880271031c</f>
        <v/>
      </c>
    </row>
    <row r="4852">
      <c r="A4852">
        <f>=107305	 | Adware.Win32.ICLoader.L	 | ee11de3f9925c8c45fd97c06f5c2c086</f>
        <v/>
      </c>
    </row>
    <row r="4853">
      <c r="A4853">
        <f>=107306	 | Trojan.Win32.Generic.JO	 | fc6fd6cc1549ba6d17f9043359574516</f>
        <v/>
      </c>
    </row>
    <row r="4854">
      <c r="A4854">
        <f>=107307	 | Trojan.Win32.Generic.JP	 | f2e6153cf99a87c971b5399eb5673502</f>
        <v/>
      </c>
    </row>
    <row r="4855">
      <c r="A4855">
        <f>=107308	 | Trojan.Win32.Qakbot.M	 | ec8f1e8609c1660042e3d9ade07a9076</f>
        <v/>
      </c>
    </row>
    <row r="4856">
      <c r="A4856">
        <f>=107310	 | Trojan.Win32.Crypt.A	 | f327b54a18e651ba9160033a9e894677</f>
        <v/>
      </c>
    </row>
    <row r="4857">
      <c r="A4857">
        <f>=107311	 | Worm.Win32.Vobfus.EWVF	 | 3bb67d5f83e3ba1048adb99c5641156b</f>
        <v/>
      </c>
    </row>
    <row r="4858">
      <c r="A4858">
        <f>=107312	 | Trojan.Win32.Crypt.BM	 | d4043da9ef06f3b188ded2fa381e37c5</f>
        <v/>
      </c>
    </row>
    <row r="4859">
      <c r="A4859">
        <f>=107317	 | Trojan.Win32.Alien.A	 | 9406f9f170c41fa53ec65ec47e58405a</f>
        <v/>
      </c>
    </row>
    <row r="4860">
      <c r="A4860">
        <f>=107318	 | Trojan.Win32.Generic.JQ	 | c544df98936f14558257fa43cfdf7fb3</f>
        <v/>
      </c>
    </row>
    <row r="4861">
      <c r="A4861">
        <f>=107319	 | Trojan.Win32.Generic.JR	 | 4c766da0560b302c3875300d065541e</f>
        <v/>
      </c>
    </row>
    <row r="4862">
      <c r="A4862">
        <f>=107320	 | Trojan.Win32.Generic.JS	 | fb4d330648556b4e4b6ae9daf2b7506e</f>
        <v/>
      </c>
    </row>
    <row r="4863">
      <c r="A4863">
        <f>=107321	 | Trojan.Win32.Ursu.A	 | 89081f2e14e9266de8c042629b764926</f>
        <v/>
      </c>
    </row>
    <row r="4864">
      <c r="A4864">
        <f>=107323	 | Trojan.Win32.Generic.JU	 | 0536b474552ca2f0b97062a36388ec4d</f>
        <v/>
      </c>
    </row>
    <row r="4865">
      <c r="A4865">
        <f>=107327	 | Trojan.Win32.Generic.JX	 | af55f3f16387542d6ff73db980a44e3b</f>
        <v/>
      </c>
    </row>
    <row r="4866">
      <c r="A4866">
        <f>=107332	 | Trojan.Win32.Delf.U	 | 0782e6e91a27178b5805ff5c53146246</f>
        <v/>
      </c>
    </row>
    <row r="4867">
      <c r="A4867">
        <f>=107335	 | Trojan.Win32.Generic.KB	 | 00664baab7b49f09e50f44353fbdc087</f>
        <v/>
      </c>
    </row>
    <row r="4868">
      <c r="A4868">
        <f>=107336	 | Trojan.Win32.Generic.KC	 | 00b423610a4d8d29a307600b4765ce89</f>
        <v/>
      </c>
    </row>
    <row r="4869">
      <c r="A4869">
        <f>=107345	 | Adware.Win32.DownloadGuide.AEH	 | 5a535c3631f6fd2e99f71ee2cfa18c22</f>
        <v/>
      </c>
    </row>
    <row r="4870">
      <c r="A4870">
        <f>=107348	 | Ransom.Win32.Encryptest.B	 | e931fcfd92ef53c28fcbc58a9586fa10</f>
        <v/>
      </c>
    </row>
    <row r="4871">
      <c r="A4871">
        <f>=107352	 | Trojan.Win32.KillDisk.A	 | dc6e03a7478d7e0f9959e3a51feef4d7</f>
        <v/>
      </c>
    </row>
    <row r="4872">
      <c r="A4872">
        <f>=107353	 | Trojan.Win32.Generic.KH	 | 9884bc4b00d1668f52e5e91b4c2dd3b3</f>
        <v/>
      </c>
    </row>
    <row r="4873">
      <c r="A4873">
        <f>=107355	 | Trojan.Win64.TrickBot.A	 | 8297d814bf6d88b4712985dfefded086</f>
        <v/>
      </c>
    </row>
    <row r="4874">
      <c r="A4874">
        <f>=107361	 | Trojan.Win32.Inject.GELUS	 | 04f497e85d72d6b8a057927dd6eeb106</f>
        <v/>
      </c>
    </row>
    <row r="4875">
      <c r="A4875">
        <f>=107364	 | Trojan.Win32.Qakbot.O	 | a84cf033071b570cd5f50c7df8682c7a</f>
        <v/>
      </c>
    </row>
    <row r="4876">
      <c r="A4876">
        <f>=107365	 | Trojan.Win32.CryptInject.E	 | 974984b99b65f0a9ed06f11bb6fc1104</f>
        <v/>
      </c>
    </row>
    <row r="4877">
      <c r="A4877">
        <f>=107367	 | Trojan.Win32.Generic.KK	 | A8AEBB06F0EA31D34C91C14B70764EFF</f>
        <v/>
      </c>
    </row>
    <row r="4878">
      <c r="A4878">
        <f>=107370	 | Trojan.Win32.Obfuscator.F	 | 934159f878358ca192d6caeec151bb8c</f>
        <v/>
      </c>
    </row>
    <row r="4879">
      <c r="A4879">
        <f>=107372	 | Trojan.Win32.Agent.XAANDY	 | 0f81ffcd62792c97778c146bac08c5b9</f>
        <v/>
      </c>
    </row>
    <row r="4880">
      <c r="A4880">
        <f>=107376	 | Adware.Win32.Generic.HF	 | 0719ff85969e3fd78f1c929555158f46</f>
        <v/>
      </c>
    </row>
    <row r="4881">
      <c r="A4881">
        <f>=107377	 | Trojan.Win32.Obfuscator.H	 | 36a546da5feb190be759c20483d162c4</f>
        <v/>
      </c>
    </row>
    <row r="4882">
      <c r="A4882">
        <f>=107379	 | Backdoor.Win64.Drixed.A	 | 998fd23e07e5b5750bea14e66a484168</f>
        <v/>
      </c>
    </row>
    <row r="4883">
      <c r="A4883">
        <f>=107382	 | Adware.Win32.StartSurf.F	 | 9156f7c44a03c0c11e20170e5a312c0f</f>
        <v/>
      </c>
    </row>
    <row r="4884">
      <c r="A4884">
        <f>=107385	 | Trojan.Win32.Generic.KM	 | ee63ec993cf18df4960cc8f592083ab2</f>
        <v/>
      </c>
    </row>
    <row r="4885">
      <c r="A4885">
        <f>=107389	 | Adware.Win32.iTorrent.A	 | d4e81a044a7b3ba8bc3cadf721041842</f>
        <v/>
      </c>
    </row>
    <row r="4886">
      <c r="A4886">
        <f>=107390	 | Adware.Win32.iTorrent.B	 | ef4a23328bc3973f27a2d9d11ebef8bf</f>
        <v/>
      </c>
    </row>
    <row r="4887">
      <c r="A4887">
        <f>=107391	 | Trojan.Win64.Generic.AI	 | dafaf7cecabfb05f39a315ca38d70ced</f>
        <v/>
      </c>
    </row>
    <row r="4888">
      <c r="A4888">
        <f>=107393	 | Trojan.Win32.Generic.KO	 | 518cc76661b3b01e445035f037cee1f4</f>
        <v/>
      </c>
    </row>
    <row r="4889">
      <c r="A4889">
        <f>=107412	 | Worm.Win32.Phorpiex.A	 | 9326e52e7e88f4dee422b7e20bb146aac68ead75</f>
        <v/>
      </c>
    </row>
    <row r="4890">
      <c r="A4890">
        <f>=107430	 | Trojan.Win32.Emotet.DBTUMVO	 | 2429538ea1d03c7855674ebac188d35a</f>
        <v/>
      </c>
    </row>
    <row r="4891">
      <c r="A4891">
        <f>=107431	 | Trojan.Win32.Qakbot.Q	 | 0a9e2e04b47e7bce2442a3f32a2b96ab</f>
        <v/>
      </c>
    </row>
    <row r="4892">
      <c r="A4892">
        <f>=107432	 | Trojan.Win32.Emotet.DBTUMVP	 | f4805e3c4ffcd71d552aabecd2e59bd9</f>
        <v/>
      </c>
    </row>
    <row r="4893">
      <c r="A4893">
        <f>=107434	 | Trojan.Win32.Generic.KW	 | 1343981de4fa4e0d62e64d755a883979</f>
        <v/>
      </c>
    </row>
    <row r="4894">
      <c r="A4894">
        <f>=107435	 | Trojan.Win32.Emotet.DBTUMVQ	 | 5542e3cf9296921aaa28160baaed47a3</f>
        <v/>
      </c>
    </row>
    <row r="4895">
      <c r="A4895">
        <f>=107436	 | Trojan.Win32.Emotet.DBTUMVR	 | 33f61b917ffb7b2f8c249d98b7e9a38d</f>
        <v/>
      </c>
    </row>
    <row r="4896">
      <c r="A4896">
        <f>=107437	 | Trojan.Win32.Wacatac.V	 | 050111390d6bb11d6b3bd4afa54a5a91</f>
        <v/>
      </c>
    </row>
    <row r="4897">
      <c r="A4897">
        <f>=107438	 | Trojan.Win32.Inject.GELUT	 | 1a2ad1bf4091afb7ab66b8c82fb099b3</f>
        <v/>
      </c>
    </row>
    <row r="4898">
      <c r="A4898">
        <f>=107440	 | Trojan.Win32.CryptInject.F	 | 03b6d985c10837790c8c109dd7fd644d</f>
        <v/>
      </c>
    </row>
    <row r="4899">
      <c r="A4899">
        <f>=107444	 | Trojan.Win32.Wacatac.W	 | 2dd83dd327ed318009c9f79c04fce0e7</f>
        <v/>
      </c>
    </row>
    <row r="4900">
      <c r="A4900">
        <f>=107448	 | Trojan.Win32.Selfdel.B	 | 00bb72d6350f6913cf6f47b53d0cbefe</f>
        <v/>
      </c>
    </row>
    <row r="4901">
      <c r="A4901">
        <f>=107728	 | Trojan.Win32.Injector.GELUQ	 | 0c0d15f66fe9264de4a26fc2cfb9ab86</f>
        <v/>
      </c>
    </row>
    <row r="4902">
      <c r="A4902">
        <f>=107731	 | Trojan.Win32.Qakbot.S	 | 0e1e151f257d6478785ca6c5c558ab9e</f>
        <v/>
      </c>
    </row>
    <row r="4903">
      <c r="A4903">
        <f>=107734	 | Trojan.Win32.Generic.LD	 | 2b7d500a8a6f8ffd37e5271561110ee1</f>
        <v/>
      </c>
    </row>
    <row r="4904">
      <c r="A4904">
        <f>=107735	 | Trojan.Win32.Ekstak.A	 | 0699fedf03d51c7296c203268c0626b4</f>
        <v/>
      </c>
    </row>
    <row r="4905">
      <c r="A4905">
        <f>=107737	 | Trojan.Win32.Generic.LE	 | ffde1d6269e898cf490106e55df5af5e</f>
        <v/>
      </c>
    </row>
    <row r="4906">
      <c r="A4906">
        <f>=107738	 | Trojan.Win32.Emotet.DBTUMVS	 | 40e8e839d810b813916a138f0b93497c</f>
        <v/>
      </c>
    </row>
    <row r="4907">
      <c r="A4907">
        <f>=107739	 | Trojan.Win32.Generic.LF	 | f6976173d1124373035d0ea7a1d1995a</f>
        <v/>
      </c>
    </row>
    <row r="4908">
      <c r="A4908">
        <f>=107740	 | Adware.Win32.BrowserModifier.A	 | de52053324f841b851643e8cbf16e404</f>
        <v/>
      </c>
    </row>
    <row r="4909">
      <c r="A4909">
        <f>=107742	 | Adware.Win32.BrowserModifier.B	 | d463c69f704752dbfdba96d1022a93a0</f>
        <v/>
      </c>
    </row>
    <row r="4910">
      <c r="A4910">
        <f>=107748	 | Trojan.Win32.Malbehav.GELUG	 | 0f16e63cef3eafdfab5fa143603011a0</f>
        <v/>
      </c>
    </row>
    <row r="4911">
      <c r="A4911">
        <f>=107749	 | Trojan.Win32.Generic.LH	 | 72a916892d18274d6845de1399d6f474</f>
        <v/>
      </c>
    </row>
    <row r="4912">
      <c r="A4912">
        <f>=107750	 | Trojan.Win32.Banker.F	 | 03ff0a5f9599d08909ecaf935b9a64e4</f>
        <v/>
      </c>
    </row>
    <row r="4913">
      <c r="A4913">
        <f>=107751	 | Trojan.Win32.Zbot.TBTV	 | 6d13ebfe52bc93dda2b1491a9987c762</f>
        <v/>
      </c>
    </row>
    <row r="4914">
      <c r="A4914">
        <f>=107752	 | Trojan.Win32.Generic.LI	 | 1e1a8ed11ee31e694d342b988efd9e4b</f>
        <v/>
      </c>
    </row>
    <row r="4915">
      <c r="A4915">
        <f>=107756	 | Trojan.Win32.Qakbot.U	 | 5eb6a16f2fba9242eaad73666fe78c11</f>
        <v/>
      </c>
    </row>
    <row r="4916">
      <c r="A4916">
        <f>=107763	 | Worm.Win32.Agent.P	 | 14dbc889def98b61138f4b06fd99d575</f>
        <v/>
      </c>
    </row>
    <row r="4917">
      <c r="A4917">
        <f>=107764	 | Trojan.Win32.Emotet.DBTUMVT	 | 126343e563e145d77f5dcd5d345543ae</f>
        <v/>
      </c>
    </row>
    <row r="4918">
      <c r="A4918">
        <f>=107765	 | Trojan.Win32.Cridex.R	 | 96a8d1f9ab3927c27933668801c3e642</f>
        <v/>
      </c>
    </row>
    <row r="4919">
      <c r="A4919">
        <f>=107768	 | Trojan.Win32.Downloader.GGC	 | defff110df48eb72c16ce88ffb3b2207</f>
        <v/>
      </c>
    </row>
    <row r="4920">
      <c r="A4920">
        <f>=107769	 | Trojan.Win32.Downloader.GGD	 | 43e7580e15152b67112d3dad71c247ec</f>
        <v/>
      </c>
    </row>
    <row r="4921">
      <c r="A4921">
        <f>=107770	 | Backdoor.Win32.Mirai.A	 | c75bd297b87d71c8c73e6e27348c67d5</f>
        <v/>
      </c>
    </row>
    <row r="4922">
      <c r="A4922">
        <f>=107771	 | Trojan.Win32.Generic.LK	 | 5c0029225bf3d96713e02439d7a8fd6f</f>
        <v/>
      </c>
    </row>
    <row r="4923">
      <c r="A4923">
        <f>=107772	 | Trojan.Win32.Generic.LL	 | f84c643018c6548f6023ac50f2240d6b</f>
        <v/>
      </c>
    </row>
    <row r="4924">
      <c r="A4924">
        <f>=107773	 | Trojan.Win32.Generic.LM	 | c289c15d0f7e694382a7e0a2dc8bdfd8</f>
        <v/>
      </c>
    </row>
    <row r="4925">
      <c r="A4925">
        <f>=107774	 | Trojan.Win32.MyKings.A	 | 223f5e8facc8bfeb035e3f811595253c</f>
        <v/>
      </c>
    </row>
    <row r="4926">
      <c r="A4926">
        <f>=107775	 | Trojan.Win32.MyKings.B	 | d2c8761824eed03793dfc90c424df9ee</f>
        <v/>
      </c>
    </row>
    <row r="4927">
      <c r="A4927">
        <f>=107776	 | Trojan.Win32.MyKings.C	 | 7d520dfbbe1ea8e0f5d1070d7f27dee9</f>
        <v/>
      </c>
    </row>
    <row r="4928">
      <c r="A4928">
        <f>=107777	 | Trojan.Win32.MyKings.D	 | d56b007ff1b8aa1c36968fd93b5cfbf5</f>
        <v/>
      </c>
    </row>
    <row r="4929">
      <c r="A4929">
        <f>=107778	 | Trojan.Win32.Downloader.GGE	 | 1713d083aafbf7e8408e6cedfed42524</f>
        <v/>
      </c>
    </row>
    <row r="4930">
      <c r="A4930">
        <f>=107779	 | Trojan.Win32.Mirai.A	 | ad0496f544762a95af11f9314e434e94</f>
        <v/>
      </c>
    </row>
    <row r="4931">
      <c r="A4931">
        <f>=107780	 | Trojan.Win32.MyKings.E	 | 9a83639881c1a707d8bbd70f871004a0</f>
        <v/>
      </c>
    </row>
    <row r="4932">
      <c r="A4932">
        <f>=107781	 | Trojan.Win32.MyKings.F	 | bfb6ff469557ded7f7c12ffa4e5616a5</f>
        <v/>
      </c>
    </row>
    <row r="4933">
      <c r="A4933">
        <f>=107782	 | Trojan.Win32.MyKings.G	 | c9c1c02291433fc55f88b9a480c8956e</f>
        <v/>
      </c>
    </row>
    <row r="4934">
      <c r="A4934">
        <f>=107783	 | Trojan.Win32.Downloader.GGF	 | 0f2d98ddc6a1394b34fb641f41952cb5</f>
        <v/>
      </c>
    </row>
    <row r="4935">
      <c r="A4935">
        <f>=107784	 | Trojan.Win32.Downloader.GGG	 | 1a6fea56dc4ee1c445054e6bc208ce4f</f>
        <v/>
      </c>
    </row>
    <row r="4936">
      <c r="A4936">
        <f>=107785	 | Trojan.Win32.Mykings.H	 | fffc7497f7d6caf234b50141bda0adbe</f>
        <v/>
      </c>
    </row>
    <row r="4937">
      <c r="A4937">
        <f>=107786	 | Trojan.Win32.Mykings.I	 | 5707f1e71da33a1ab9fe2796dbe3fc74</f>
        <v/>
      </c>
    </row>
    <row r="4938">
      <c r="A4938">
        <f>=107787	 | Trojan.Win32.Downloader.GGH	 | 86C24027B55C824714B8C8D5979ECB8C</f>
        <v/>
      </c>
    </row>
    <row r="4939">
      <c r="A4939">
        <f>=107793	 | Trojan.Win32.Trickbot.I	 | 7bb2775f76743c66094048649e5cebfe</f>
        <v/>
      </c>
    </row>
    <row r="4940">
      <c r="A4940">
        <f>=107794	 | Trojan.Win32.Malbehav.GELUH	 | 03d56da8fbb754e5221b436e419dccc4</f>
        <v/>
      </c>
    </row>
    <row r="4941">
      <c r="A4941">
        <f>=107796	 | Backdoor.Win32.Banito.B	 | 08962540dacb94708d205b32006318fd</f>
        <v/>
      </c>
    </row>
    <row r="4942">
      <c r="A4942">
        <f>=107799	 | Worm.Win32.Allaple.AF	 | 06ddbec6b972b7b8cdaa38f2ddd7c056</f>
        <v/>
      </c>
    </row>
    <row r="4943">
      <c r="A4943">
        <f>=107800	 | Trojan.Win32.Generic.LN	 | d77f591958b4ca563c55d83a82a20136</f>
        <v/>
      </c>
    </row>
    <row r="4944">
      <c r="A4944">
        <f>=107802	 | Trojan.Win32.Zbot.TBTW	 | 05d92063526ac24df201983db9a45b19</f>
        <v/>
      </c>
    </row>
    <row r="4945">
      <c r="A4945">
        <f>=107803	 | Trojan.Win32.CryptInject.H	 | ac7350c4dd0cddeefcabcdf5009506f5</f>
        <v/>
      </c>
    </row>
    <row r="4946">
      <c r="A4946">
        <f>=107805	 | Trojan.Win64.BazarLoader.A	 | 94a2be35bf73c613247ac1a48992cbb3</f>
        <v/>
      </c>
    </row>
    <row r="4947">
      <c r="A4947">
        <f>=107808	 | Trojan.Win32.Emotet.DBTUMVU	 | 0c427e0d77ed46e73f6f3650a55b1358</f>
        <v/>
      </c>
    </row>
    <row r="4948">
      <c r="A4948">
        <f>=107809	 | Trojan.Win32.Emotet.DBTUMVV	 | e6f5290ae1cde6f58c0863eed13e4119</f>
        <v/>
      </c>
    </row>
    <row r="4949">
      <c r="A4949">
        <f>=107810	 | Trojan.Win32.EmotetCrypt.A	 | f6400d6a24f1088e96f818aaf21a8795</f>
        <v/>
      </c>
    </row>
    <row r="4950">
      <c r="A4950">
        <f>=107811	 | Backdoor.Win32.Generic.BBJ	 | ff321a0cc57f701d5013dcb89601979d</f>
        <v/>
      </c>
    </row>
    <row r="4951">
      <c r="A4951">
        <f>=107815	 | Trojan.Win32.Emotet.DBTUMVW	 | 007678040dc94408949b01ad4e23ff4a</f>
        <v/>
      </c>
    </row>
    <row r="4952">
      <c r="A4952">
        <f>=107816	 | Trojan.Win32.Generic.LR	 | f74811344a1fb4e537be0c6d10a7b929</f>
        <v/>
      </c>
    </row>
    <row r="4953">
      <c r="A4953">
        <f>=107817	 | Adware.Win32.FileTour.R	 | 09159d92f1d8ee562b6dfdbf2ac3fe27</f>
        <v/>
      </c>
    </row>
    <row r="4954">
      <c r="A4954">
        <f>=107822	 | Trojan.Win32.Goabeny.C	 | 0d5f2182261194604aa4fe2c2f217950</f>
        <v/>
      </c>
    </row>
    <row r="4955">
      <c r="A4955">
        <f>=107823	 | Adware.Win32.FileTour.V	 | bcbd992ac893ce3096ae2893dbade9a7</f>
        <v/>
      </c>
    </row>
    <row r="4956">
      <c r="A4956">
        <f>=107825	 | Trojan.Win32.Banker.G	 | 091aebafa5f627523e81b0ea7ff83044</f>
        <v/>
      </c>
    </row>
    <row r="4957">
      <c r="A4957">
        <f>=107826	 | Trojan.Win32.Generic.LT	 | a85114e8cc5153b8b10dae1a9830667f</f>
        <v/>
      </c>
    </row>
    <row r="4958">
      <c r="A4958">
        <f>=107827	 | Adware.Win32.Filetour.W	 | 06ae80524be7258afc7e17ced72f227e</f>
        <v/>
      </c>
    </row>
    <row r="4959">
      <c r="A4959">
        <f>=107828	 | Trojan.Win32.Emotet.DBTUMVY	 | f5fbf87fc72856f7a2a4acbb59e7837a</f>
        <v/>
      </c>
    </row>
    <row r="4960">
      <c r="A4960">
        <f>=107830	 | Trojan.Win32.InjectDcu.A	 | 375ea07b7dd8d905f55089949e65427a</f>
        <v/>
      </c>
    </row>
    <row r="4961">
      <c r="A4961">
        <f>=107833	 | Worm.Win32.Viking.M	 | 44fecb479712df4d2801169efb5bfc8b</f>
        <v/>
      </c>
    </row>
    <row r="4962">
      <c r="A4962">
        <f>=107834	 | Worm.Win32.Viking.N	 | 44fecb479712df4d2801169efb5bfc8b</f>
        <v/>
      </c>
    </row>
    <row r="4963">
      <c r="A4963">
        <f>=107838	 | Trojan.Win32.Emotet.DBTUMWB	 | 084c316bcbaba25f9c14e2e98da09464</f>
        <v/>
      </c>
    </row>
    <row r="4964">
      <c r="A4964">
        <f>=107839	 | Trojan.Win32.Emotet.DBTUMWC	 | 037a162dc75afb2979842cb3e85c44d5</f>
        <v/>
      </c>
    </row>
    <row r="4965">
      <c r="A4965">
        <f>=107841	 | Trojan.Win32.Generic.LU	 | a015f6ea337c5c650169caa965c95378</f>
        <v/>
      </c>
    </row>
    <row r="4966">
      <c r="A4966">
        <f>=107842	 | Trojan.Win32.Emotet.DBTUMWD	 | eab998c42ab97901487e8b809c1f51fb</f>
        <v/>
      </c>
    </row>
    <row r="4967">
      <c r="A4967">
        <f>=107843	 | Trojan.Win32.Emotet.DBTUMWE	 | fcb2223e578656359526e1730162bf11</f>
        <v/>
      </c>
    </row>
    <row r="4968">
      <c r="A4968">
        <f>=107844	 | Trojan.Win32.Emotet.DBTUMWF	 | 028c50c0f7f375acc8a4ce28e4d67084</f>
        <v/>
      </c>
    </row>
    <row r="4969">
      <c r="A4969">
        <f>=107845	 | Trojan.Win32.AntiAV.H	 | 181f975173b0b8bb2c6461b4a348aee4</f>
        <v/>
      </c>
    </row>
    <row r="4970">
      <c r="A4970">
        <f>=107850	 | Trojan.Win32.Emotet.DBTUMWG	 | 0b7fde52bac99e7c6803f85ed0c197ae</f>
        <v/>
      </c>
    </row>
    <row r="4971">
      <c r="A4971">
        <f>=107852	 | Trojan.Win32.Generic.LV	 | 970672E929769E53D7314949443BB73C</f>
        <v/>
      </c>
    </row>
    <row r="4972">
      <c r="A4972">
        <f>=107854	 | Trojan.Win32.Emotet.DBTUMWH	 | 0f991e3504180a00acffb98983c9ced1</f>
        <v/>
      </c>
    </row>
    <row r="4973">
      <c r="A4973">
        <f>=107855	 | Trojan.Win32.Malbehav.GELUI	 | 03381d28395181bf3b835ecf5fe64b73</f>
        <v/>
      </c>
    </row>
    <row r="4974">
      <c r="A4974">
        <f>=107856	 | Worm.Win32.Sfone.G	 | cedeca113c732e0f8a970cc05a6d9d5c</f>
        <v/>
      </c>
    </row>
    <row r="4975">
      <c r="A4975">
        <f>=107858	 | Ransom.Win32.WannaCrypt.B	 | f0683cad8147812769977228d4e92c56</f>
        <v/>
      </c>
    </row>
    <row r="4976">
      <c r="A4976">
        <f>=107860	 | Trojan.Win32.Emotet.DBTUMWI	 | dcade91c36f39d5f6b2214224a04c017</f>
        <v/>
      </c>
    </row>
    <row r="4977">
      <c r="A4977">
        <f>=107861	 | Trojan.Win32.Polyransom.A	 | 026f39177fb923c0da0c64348b8283d7</f>
        <v/>
      </c>
    </row>
    <row r="4978">
      <c r="A4978">
        <f>=107865	 | Trojan.Win32.Obfuscator.L	 | 0533ff3c98a15ffeafa6725a35a81f2f</f>
        <v/>
      </c>
    </row>
    <row r="4979">
      <c r="A4979">
        <f>=107866	 | Adware.Win32.Slimware.P	 | ccd4e19a815cd1a0d7d137b1bc26af3f</f>
        <v/>
      </c>
    </row>
    <row r="4980">
      <c r="A4980">
        <f>=107868	 | Trojan.Win32.CryptInject.I	 | 052eb2943d3bbf6210454533c891e3b3</f>
        <v/>
      </c>
    </row>
    <row r="4981">
      <c r="A4981">
        <f>=107871	 | Worm.Win32.Sfone.H	 | 02925177ae7cbe4db2f5d561b5025b62</f>
        <v/>
      </c>
    </row>
    <row r="4982">
      <c r="A4982">
        <f>=107873	 | Trojan.Win32.Obfuscator.N	 | 3b0fdc4ab85b048ad2ffa0a2f04f2008</f>
        <v/>
      </c>
    </row>
    <row r="4983">
      <c r="A4983">
        <f>=107874	 | Trojan.Win32.Emotet.DBTUMWJ	 | 0342da66bed9b14ded2bb6f205aa75ca</f>
        <v/>
      </c>
    </row>
    <row r="4984">
      <c r="A4984">
        <f>=107879	 | Trojan.Win32.Emotet.DBTUMWK	 | d23bcd28b1af2397f3f312760a1da7ec</f>
        <v/>
      </c>
    </row>
    <row r="4985">
      <c r="A4985">
        <f>=107880	 | Trojan.Win32.Injector.GELUR	 | 12baa51859ef4ca86fd4ff53617881d1</f>
        <v/>
      </c>
    </row>
    <row r="4986">
      <c r="A4986">
        <f>=107881	 | Trojan.Win32.Emotet.DBTUMWL	 | 235329c79786e94ff99a83681ec6a78b</f>
        <v/>
      </c>
    </row>
    <row r="4987">
      <c r="A4987">
        <f>=107882	 | Trojan.Win32.Goabeny.D	 | 8ccd18bb9a6b06c55a87486741dd0797</f>
        <v/>
      </c>
    </row>
    <row r="4988">
      <c r="A4988">
        <f>=107884	 | Trojan.Win32.Emotet.DBTUMWM	 | 095f4eacc4d2fc337ac36804483eb628</f>
        <v/>
      </c>
    </row>
    <row r="4989">
      <c r="A4989">
        <f>=107885	 | Trojan.Win32.Emotet.DBTUMWN	 | d742348c2954d3f54e20e94e44f9ab88</f>
        <v/>
      </c>
    </row>
    <row r="4990">
      <c r="A4990">
        <f>=107888	 | Trojan.Win32.Generic.ME	 | db28f44e2b36b53a1d48470e896da589</f>
        <v/>
      </c>
    </row>
    <row r="4991">
      <c r="A4991">
        <f>=107889	 | Trojan.Win32.Emotet.DBTUMWO	 | 00927de583f6412b1ea5ee71bcc4d471</f>
        <v/>
      </c>
    </row>
    <row r="4992">
      <c r="A4992">
        <f>=107890	 | Trojan.Win32.Generic.MF	 | f9926a90ab869545e24fe764ee75bfda</f>
        <v/>
      </c>
    </row>
    <row r="4993">
      <c r="A4993">
        <f>=107891	 | Trojan.Win32.Generic.MG	 | ff37b9460a5159a97e783ef379c275a8</f>
        <v/>
      </c>
    </row>
    <row r="4994">
      <c r="A4994">
        <f>=107895	 | Trojan.Win32.Generic.MH	 | 3dd1163efa3711148357b66780f30099</f>
        <v/>
      </c>
    </row>
    <row r="4995">
      <c r="A4995">
        <f>=107896	 | Trojan.Win32.Cometer.D	 | 134dd6a6102aac45419a99bf3cea9875</f>
        <v/>
      </c>
    </row>
    <row r="4996">
      <c r="A4996">
        <f>=107897	 | Trojan.Win32.Emotet.DBTUMWP	 | 4a99faa6e64c16e570c965c9bf9bc9ff</f>
        <v/>
      </c>
    </row>
    <row r="4997">
      <c r="A4997">
        <f>=107898	 | Worm.Win32.Autorun.DN	 | 0604ea79ef18b6b32e3fe3e26b6cad95</f>
        <v/>
      </c>
    </row>
    <row r="4998">
      <c r="A4998">
        <f>=107899	 | Trojan.Win32.Generic.MI	 | 11e91891b410b40589e69c3e61120538</f>
        <v/>
      </c>
    </row>
    <row r="4999">
      <c r="A4999">
        <f>=107901	 | Trojan.Win64.Emotet.B	 | 10dc734d78310877b340054911bd542d</f>
        <v/>
      </c>
    </row>
    <row r="5000">
      <c r="A5000">
        <f>=107902	 | Trojan.Win32.Ditertag.G	 | 02608454261ddd60dc871e1bfc4e89b5</f>
        <v/>
      </c>
    </row>
    <row r="5001">
      <c r="A5001">
        <f>=107904	 | Trojan.Win32.Emotet.DBTUMWQ	 | c77fecb52cdfc79da0db762891d34dae</f>
        <v/>
      </c>
    </row>
    <row r="5002">
      <c r="A5002">
        <f>=107905	 | Trojan.Win32.Cuegoe.B	 | 06875a42424de69d6462f16a8931bf0c</f>
        <v/>
      </c>
    </row>
    <row r="5003">
      <c r="A5003">
        <f>=107908	 | Trojan.Win32.Emotet.DBTUMWR	 | 7639db877e786ff4d7ac49ec3bf54eac</f>
        <v/>
      </c>
    </row>
    <row r="5004">
      <c r="A5004">
        <f>=107909	 | Trojan.Win32.Emotet.DBTUMWS	 | 00a39f6ec811dfc13a70137732be2e83</f>
        <v/>
      </c>
    </row>
    <row r="5005">
      <c r="A5005">
        <f>=107912	 | Trojan.Win64.CoinMiner.P	 | 26866ec3b141223103a2f6ee5ff04eb0</f>
        <v/>
      </c>
    </row>
    <row r="5006">
      <c r="A5006">
        <f>=107914	 | Trojan.Win32.Emotet.DBTUMWT	 | 9660d77c296e1107584efe7fde754ec4</f>
        <v/>
      </c>
    </row>
    <row r="5007">
      <c r="A5007">
        <f>=107915	 | Backdoor.Win32.Nanocoree.A	 | f543f24e1bc86ec7a1c375896e5e7854</f>
        <v/>
      </c>
    </row>
    <row r="5008">
      <c r="A5008">
        <f>=107916	 | Trojan.Win32.Emotet.DBTUMWU	 | f4de04fcbcf93fd0705fbdc7ea244799</f>
        <v/>
      </c>
    </row>
    <row r="5009">
      <c r="A5009">
        <f>=107918	 | Trojan.Win32.Generic.ML	 | f8fdc64c65fc513079a9ee31f96fd7a7</f>
        <v/>
      </c>
    </row>
    <row r="5010">
      <c r="A5010">
        <f>=107919	 | Trojan.Win64.CoinMiner.Q	 | 1587826137cf778b34961489cc58028f</f>
        <v/>
      </c>
    </row>
    <row r="5011">
      <c r="A5011">
        <f>=107920	 | Trojan.Win32.Generic.MM	 | c477c35173e0379768a2903e3684d60e</f>
        <v/>
      </c>
    </row>
    <row r="5012">
      <c r="A5012">
        <f>=107921	 | Trojan.Win32.Generic.MN	 | 47392ee2f5d457f6c7e81bee59c23e63</f>
        <v/>
      </c>
    </row>
    <row r="5013">
      <c r="A5013">
        <f>=107922	 | Trojan.Win32.Emotet.DBTUMWV	 | cdcfbbb7b3c139743b8ff60036f29eab</f>
        <v/>
      </c>
    </row>
    <row r="5014">
      <c r="A5014">
        <f>=107923	 | Trojan.Win32.Emotet.DBTUMWW	 | 16b837cfadf9c7bf51041efd8c10193a</f>
        <v/>
      </c>
    </row>
    <row r="5015">
      <c r="A5015">
        <f>=107924	 | Trojan.Win32.Emotet.DBTUMWX	 | 00fac06932f1644a1fbe0dba75994f62</f>
        <v/>
      </c>
    </row>
    <row r="5016">
      <c r="A5016">
        <f>=107925	 | Trojan.Win32.Generic.MO	 | de3d151d5999f7ba38ce55b6bf3b18ac</f>
        <v/>
      </c>
    </row>
    <row r="5017">
      <c r="A5017">
        <f>=107926	 | Trojan.Win32.Obfuscator.P	 | 0c8ec80fb31e02657c846679cb412d2e</f>
        <v/>
      </c>
    </row>
    <row r="5018">
      <c r="A5018">
        <f>=107927	 | Trojan.Win32.Generic.MP	 | e634d4f7310613ff010d95622970dbfa</f>
        <v/>
      </c>
    </row>
    <row r="5019">
      <c r="A5019">
        <f>=107929	 | Trojan.Win32.Emotet.DBTUMWY	 | 16b837cfadf9c7bf51041efd8c10193a</f>
        <v/>
      </c>
    </row>
    <row r="5020">
      <c r="A5020">
        <f>=107930	 | Hackertool.Win32.Gamehack.A	 | 15b6a25aff07f0623587b1599a89bad8</f>
        <v/>
      </c>
    </row>
    <row r="5021">
      <c r="A5021">
        <f>=107931	 | Trojan.Win64.Cometer.A	 | 66de306e4b00153eb5c7e66f509449e7</f>
        <v/>
      </c>
    </row>
    <row r="5022">
      <c r="A5022">
        <f>=107932	 | Trojan.Win64.Gobypass.A	 | 2a4c01dd8f8bc900d465d9b57b7ae6df</f>
        <v/>
      </c>
    </row>
    <row r="5023">
      <c r="A5023">
        <f>=107933	 | Trojan.Win32.Azorult.D	 | 1b0b04f4f1a659b7bdd7cc2fba23c222</f>
        <v/>
      </c>
    </row>
    <row r="5024">
      <c r="A5024">
        <f>=107935	 | Trojan.Win32.Farfli.H	 | 3405834db2f286e77f929fc89f83d8a2</f>
        <v/>
      </c>
    </row>
    <row r="5025">
      <c r="A5025">
        <f>=107936	 | Trojan.Win32.Xaparo.A	 | 55bdf2d117b11fee43dbc2bab6f2f4ea</f>
        <v/>
      </c>
    </row>
    <row r="5026">
      <c r="A5026">
        <f>=107938	 | Trojan.Win32.Generic.MR	 | 25b6f35ffd4be3f3d576d8c05d429a1a</f>
        <v/>
      </c>
    </row>
    <row r="5027">
      <c r="A5027">
        <f>=107939	 | Trojan.Win32.Ymacco.D	 | 67e68935fc4f53a7a505353979210cd5</f>
        <v/>
      </c>
    </row>
    <row r="5028">
      <c r="A5028">
        <f>=107940	 | Hackertool.Win32.KMSAuto.ES	 | 7cd8b711be93ff8858b7dc753c4065ca</f>
        <v/>
      </c>
    </row>
    <row r="5029">
      <c r="A5029">
        <f>=107941	 | Trojan.Win32.Generic.MS	 | 6480545b390d83ec9643bc79433a62b9</f>
        <v/>
      </c>
    </row>
    <row r="5030">
      <c r="A5030">
        <f>=107945	 | Trojan.Win32.Obfuscator.Q	 | 109a487c0ad283b4d7c0165c11eb159d</f>
        <v/>
      </c>
    </row>
    <row r="5031">
      <c r="A5031">
        <f>=107946	 | Trojan.Win32.Emotet.DBTUMXC	 | 80f93d4b8cde662529a3ae895c659654</f>
        <v/>
      </c>
    </row>
    <row r="5032">
      <c r="A5032">
        <f>=107947	 | Trojan.Win32.Aenjaris.D	 | 33f5b1a9e8acd0d0a9d15b3d9d4034eb</f>
        <v/>
      </c>
    </row>
    <row r="5033">
      <c r="A5033">
        <f>=107948	 | Trojan.Win32.Aenjaris.E	 | 252AF67A160C8685B6A56E83EA56B8B1</f>
        <v/>
      </c>
    </row>
    <row r="5034">
      <c r="A5034">
        <f>=107949	 | Trojan.Win32.Emotet.DBTUMXD	 | ef3ae0cacd32eab462c505063f4b141b</f>
        <v/>
      </c>
    </row>
    <row r="5035">
      <c r="A5035">
        <f>=107950	 | Trojan.Win32.Emotet.DBTUMXE	 | 0f25aa07973afdfcb233385fc447797b</f>
        <v/>
      </c>
    </row>
    <row r="5036">
      <c r="A5036">
        <f>=107952	 | Trojan.Win32.TrickBot.J	 | 082f234e3b24041ddbd0b9e71abfba25</f>
        <v/>
      </c>
    </row>
    <row r="5037">
      <c r="A5037">
        <f>=107954	 | Trojan.Win32.Qbot.K	 | 357cf5555c4b75caf8306f4cf11a3861</f>
        <v/>
      </c>
    </row>
    <row r="5038">
      <c r="A5038">
        <f>=107955	 | Trojan.Win32.Generic.MV	 | 176d9daaad9e916bf72779dd2fc2a9fa</f>
        <v/>
      </c>
    </row>
    <row r="5039">
      <c r="A5039">
        <f>=107956	 | Hackertool.Win64.WinCred.A	 | 22d49674222c927de3979a350c6f45d3</f>
        <v/>
      </c>
    </row>
    <row r="5040">
      <c r="A5040">
        <f>=107958	 | Trojan.Win64.Generic.AK	 | 2cdb8933bd366e96092feb3cb0f65506</f>
        <v/>
      </c>
    </row>
    <row r="5041">
      <c r="A5041">
        <f>=107959	 | Trojan.Win32.Gemalind.A	 | e5a6151fff038405ebfc9e7c578de24d</f>
        <v/>
      </c>
    </row>
    <row r="5042">
      <c r="A5042">
        <f>=107960	 | Trojan.Win32.Vflooder.D	 | 0575e17e0fd4f6b6277ba78e0435c9d7</f>
        <v/>
      </c>
    </row>
    <row r="5043">
      <c r="A5043">
        <f>=107962	 | Trojan.Win32.Banker.J	 | 412833dfc35988320f3aaa31e8d52794</f>
        <v/>
      </c>
    </row>
    <row r="5044">
      <c r="A5044">
        <f>=107963	 | Trojan.Win32.Emotet.DBTUMXF	 | d253baa1359b239bfb5a256c86cf2a4f</f>
        <v/>
      </c>
    </row>
    <row r="5045">
      <c r="A5045">
        <f>=107964	 | Adware.Win32.Generic.HH	 | 21485ae8dcce6f7e2a21b5edcec30da6</f>
        <v/>
      </c>
    </row>
    <row r="5046">
      <c r="A5046">
        <f>=107965	 | Trojan.Win32.Generic.MW	 | e47b65dd72151d81f0373107d97eef59</f>
        <v/>
      </c>
    </row>
    <row r="5047">
      <c r="A5047">
        <f>=107966	 | Trojan.Win32.Generic.MX	 | d5f9b83ec7eafdc207b97fc8eaf56fcc</f>
        <v/>
      </c>
    </row>
    <row r="5048">
      <c r="A5048">
        <f>=107967	 | Backdoor.Win32.Salgorea.A	 | 1b72d37b051eb25bebfcb49d109b7690</f>
        <v/>
      </c>
    </row>
    <row r="5049">
      <c r="A5049">
        <f>=107969	 | Trojan.Win32.Wacatac.X	 | 016eaac563dd0f7115e757fee92a659d</f>
        <v/>
      </c>
    </row>
    <row r="5050">
      <c r="A5050">
        <f>=107970	 | Trojan.Win32.Fake.BCM	 | 00026868dc55b4ec31209c6140ec4c70</f>
        <v/>
      </c>
    </row>
    <row r="5051">
      <c r="A5051">
        <f>=107971	 | Trojan.Win32.Vobfus.G	 | 04bca76186cc1c8817db98174251b6b7</f>
        <v/>
      </c>
    </row>
    <row r="5052">
      <c r="A5052">
        <f>=107973	 | Trojan.Win32.Wacatac.Y	 | 00236955162f9cdd462da69989e2882a</f>
        <v/>
      </c>
    </row>
    <row r="5053">
      <c r="A5053">
        <f>=107975	 | Trojan.Win32.Woreflint.B	 | 764085bbfec8310bd6a3d507cf1ecf76</f>
        <v/>
      </c>
    </row>
    <row r="5054">
      <c r="A5054">
        <f>=107976	 | Trojan.Win32.Obfuscator.R	 | 0953b8488af5811c64686c6739c1edf2</f>
        <v/>
      </c>
    </row>
    <row r="5055">
      <c r="A5055">
        <f>=107977	 | Trojan.Win32.Generic.NA	 | c00727dcaa8b81eb31b6d06e862e74e2</f>
        <v/>
      </c>
    </row>
    <row r="5056">
      <c r="A5056">
        <f>=107978	 | Trojan.Win64.Inject.A	 | 3a5601ec49aea93a7a3071e4012ae135</f>
        <v/>
      </c>
    </row>
    <row r="5057">
      <c r="A5057">
        <f>=107979	 | Trojan.Win32.Generic.NB	 | f938da7f8c3e0631bb04bbd7d64c449b</f>
        <v/>
      </c>
    </row>
    <row r="5058">
      <c r="A5058">
        <f>=107981	 | Adware.Win32.Filetour.X	 | 0757bbb90dc181969d6e05c3fa6c6c2b</f>
        <v/>
      </c>
    </row>
    <row r="5059">
      <c r="A5059">
        <f>=107982	 | Trojan.Win32.Rename.A	 | 0e9b676e6559391a2ecf68b01a512ea4</f>
        <v/>
      </c>
    </row>
    <row r="5060">
      <c r="A5060">
        <f>=107983	 | Trojan.Win32.Generic.NC	 | 7bce850da88950aacd8ee0834bf535c8</f>
        <v/>
      </c>
    </row>
    <row r="5061">
      <c r="A5061">
        <f>=107984	 | Trojan.Win32.Obfuscator.S	 | 011a688e8c59a61db6d867f206248e9a</f>
        <v/>
      </c>
    </row>
    <row r="5062">
      <c r="A5062">
        <f>=107986	 | Trojan.Win32.Generic.NE	 | ad1481d3b9b98011a5dacfec17516122</f>
        <v/>
      </c>
    </row>
    <row r="5063">
      <c r="A5063">
        <f>=107987	 | Trojan.Win32.Salgorea.G	 | 325dff1dca9ded1d5a7ef1a028b49258</f>
        <v/>
      </c>
    </row>
    <row r="5064">
      <c r="A5064">
        <f>=107988	 | Trojan.Win32.Ekstak.G	 | 38efffd174f4e81007a008c09e393b37</f>
        <v/>
      </c>
    </row>
    <row r="5065">
      <c r="A5065">
        <f>=107990	 | Worm.Win32.Drolnux.B	 | 24d6ff0895079a1a1a5479d4fff91201</f>
        <v/>
      </c>
    </row>
    <row r="5066">
      <c r="A5066">
        <f>=107992	 | Trojan.Win32.Fake.BCN	 | 024af0e6df81742a22494cc1443dc9aa</f>
        <v/>
      </c>
    </row>
    <row r="5067">
      <c r="A5067">
        <f>=107993	 | Trojan.Win32.Obfuscator.T	 | 6d80dff96c01a8611423fba2b8f70e56</f>
        <v/>
      </c>
    </row>
    <row r="5068">
      <c r="A5068">
        <f>=107994	 | Trojan.Win32.Cosmu.DNEL	 | 0c207ea6f77ff6a8c665bea802c97f80</f>
        <v/>
      </c>
    </row>
    <row r="5069">
      <c r="A5069">
        <f>=107995	 | Trojan.Win32.Dofoil.B	 | 093b8032a7268c0f9b031bea1fa0e071</f>
        <v/>
      </c>
    </row>
    <row r="5070">
      <c r="A5070">
        <f>=107996	 | Trojan.Win32.Dofoil.C	 | 03861d384071fb38ff88a6a77ca48d59</f>
        <v/>
      </c>
    </row>
    <row r="5071">
      <c r="A5071">
        <f>=107997	 | Trojan.Win32.Inject.GELUU	 | d51685a4c49cc86998ce57bba460dce7</f>
        <v/>
      </c>
    </row>
    <row r="5072">
      <c r="A5072">
        <f>=107998	 | Trojan.Win32.Qakbot.V	 | 1081879e9a9126bb2817dbc014943ee7</f>
        <v/>
      </c>
    </row>
    <row r="5073">
      <c r="A5073">
        <f>=107999	 | Trojan.Win32.Wacatac.AB	 | 21c06d3b56fc97cda80949ab07c18c06</f>
        <v/>
      </c>
    </row>
    <row r="5074">
      <c r="A5074">
        <f>=108000	 | Trojan.Win32.AgentTesla.I	 | def600847d534c06b6a2314d04f20dd4</f>
        <v/>
      </c>
    </row>
    <row r="5075">
      <c r="A5075">
        <f>=108001	 | Adware.Win64.SmartApps.A	 | 8d7ae699142c644d9905a32f3705384e</f>
        <v/>
      </c>
    </row>
    <row r="5076">
      <c r="A5076">
        <f>=108004	 | Trojan.Win32.StartPage.CY	 | fbeafff39dd9ebba457d98601565bdc5</f>
        <v/>
      </c>
    </row>
    <row r="5077">
      <c r="A5077">
        <f>=108011	 | Trojan.Win32.Glupteba.D	 | e8419b0353c28d5bbdccf842311866b3</f>
        <v/>
      </c>
    </row>
    <row r="5078">
      <c r="A5078">
        <f>=108014	 | Trojan.Win32.Injector.GELUS	 | 012b4b659917c14c379d351f5abb2de1</f>
        <v/>
      </c>
    </row>
    <row r="5079">
      <c r="A5079">
        <f>=108016	 | Trojan.Win64.Trickbot.C	 | 4a85d7863a02d5050f9d081cdf8ae443</f>
        <v/>
      </c>
    </row>
    <row r="5080">
      <c r="A5080">
        <f>=108018	 | Trojan.Win32.Upantix.A	 | dc70acc4a61f7001fef0bb67c21b10bd</f>
        <v/>
      </c>
    </row>
    <row r="5081">
      <c r="A5081">
        <f>=108019	 | Trojan.Win32.Generic.NH	 | 03166836c21045bd381354d90499e483</f>
        <v/>
      </c>
    </row>
    <row r="5082">
      <c r="A5082">
        <f>=108020	 | Adware.Win32.Ogimant.H	 | 55ce00b4869ea54f319702d6995dd0b2</f>
        <v/>
      </c>
    </row>
    <row r="5083">
      <c r="A5083">
        <f>=108021	 | Trojan.Win32.Injector.GELUT	 | 842e8dbdf5c2ae901e454241ea6f9658</f>
        <v/>
      </c>
    </row>
    <row r="5084">
      <c r="A5084">
        <f>=108022	 | Trojan.Win32.Generic.NI	 | 051c8de92d16d91bda7e76f4aee252fc</f>
        <v/>
      </c>
    </row>
    <row r="5085">
      <c r="A5085">
        <f>=108023	 | Trojan.Win32.Generic.NJ	 | 2a8d556730199383150c438ea67f93f4</f>
        <v/>
      </c>
    </row>
    <row r="5086">
      <c r="A5086">
        <f>=108026	 | Trojan.Win32.Generic.NL	 | 3f0d4d76c7b729258962131684217c95</f>
        <v/>
      </c>
    </row>
    <row r="5087">
      <c r="A5087">
        <f>=108027	 | Trojan.Win32.Obfuscated.BX	 | 0e294fd3c14d266d470479ed10f675f5</f>
        <v/>
      </c>
    </row>
    <row r="5088">
      <c r="A5088">
        <f>=108028	 | Trojan.Win32.Obfuscated.BY	 | 19122aa193d4807305c51eaed0b97af3</f>
        <v/>
      </c>
    </row>
    <row r="5089">
      <c r="A5089">
        <f>=108029	 | Worm.Win32.Autorun.DP	 | 0d74e7cb5fcee7069fed6c0e79d9cec7</f>
        <v/>
      </c>
    </row>
    <row r="5090">
      <c r="A5090">
        <f>=108030	 | Adware.Win32.Generic.HI	 | 24243bbc8cc85af93fafd7a7c9fe08cf</f>
        <v/>
      </c>
    </row>
    <row r="5091">
      <c r="A5091">
        <f>=108033	 | Trojan.Win64.Ymacco.A	 | b628965655fbd6683fec9af06a20ddbb</f>
        <v/>
      </c>
    </row>
    <row r="5092">
      <c r="A5092">
        <f>=108034	 | Trojan.Win32.Generic.NM	 | d524b7dd1eca345c723a8ee2fccd685d</f>
        <v/>
      </c>
    </row>
    <row r="5093">
      <c r="A5093">
        <f>=108035	 | Trojan.Win32.Trickbot.K	 | a4b5b2d6475fae9d6237a0b4bc233abc</f>
        <v/>
      </c>
    </row>
    <row r="5094">
      <c r="A5094">
        <f>=108036	 | Trojan.Win32.Generic.NN	 | 9ef62483a0fa27f318094b2a379403cd</f>
        <v/>
      </c>
    </row>
    <row r="5095">
      <c r="A5095">
        <f>=108037	 | Hackertool.Win32.Mimikatz.A	 | b105037939d759d0bb5654241aae0f24</f>
        <v/>
      </c>
    </row>
    <row r="5096">
      <c r="A5096">
        <f>=108038	 | Trojan.Win32.Generic.NO	 | d6edd5a466c284c51f2cd4ff0dff6901</f>
        <v/>
      </c>
    </row>
    <row r="5097">
      <c r="A5097">
        <f>=108039	 | Worm.Win32.Allaple.AG	 | 36b66dad04dd98c6b24e3a33f557082b</f>
        <v/>
      </c>
    </row>
    <row r="5098">
      <c r="A5098">
        <f>=108040	 | Trojan.Win32.Generic.NP	 | bd45e2d932fde767ccc056ef954fcfe1</f>
        <v/>
      </c>
    </row>
    <row r="5099">
      <c r="A5099">
        <f>=108041	 | Trojan.Win64.Ismdoor.A	 | 15b36b1e3a41ad80bbd363aea8f2d704</f>
        <v/>
      </c>
    </row>
    <row r="5100">
      <c r="A5100">
        <f>=108042	 | Trojan.Win32.Generic.NQ	 | 0106fcd205db7470283d847cbbcc3cf5</f>
        <v/>
      </c>
    </row>
    <row r="5101">
      <c r="A5101">
        <f>=108043	 | Trojan.Win32.Obfuscator.U	 | 59f3f6ee701f99de88fe6e7be47d5dc6</f>
        <v/>
      </c>
    </row>
    <row r="5102">
      <c r="A5102">
        <f>=108044	 | Trojan.Win32.Crypt.BN	 | 281c94d146e9fa12ed2f060bc95abbc2</f>
        <v/>
      </c>
    </row>
    <row r="5103">
      <c r="A5103">
        <f>=108045	 | Worm.Win32.Autorun.DQ	 | 0a38fb505ced966a923e081b182b27f8</f>
        <v/>
      </c>
    </row>
    <row r="5104">
      <c r="A5104">
        <f>=108046	 | Trojan.Win32.Generic.NR	 | 04968ade9e86d4184fd59193ec10337d</f>
        <v/>
      </c>
    </row>
    <row r="5105">
      <c r="A5105">
        <f>=108047	 | Trojan.Win32.Patched.H	 | 01814323714ab37f800fe11dabad6864</f>
        <v/>
      </c>
    </row>
    <row r="5106">
      <c r="A5106">
        <f>=108052	 | Ransom.Win32.Wannacry.A	 | 4fef5e34143e646dbf9907c4374276f5</f>
        <v/>
      </c>
    </row>
    <row r="5107">
      <c r="A5107">
        <f>=108054	 | Ransom.Win32.Ergop.B	 | 4bd87ee7fd68ca7843969135db94ed75</f>
        <v/>
      </c>
    </row>
    <row r="5108">
      <c r="A5108">
        <f>=108059	 | Trojan.Win32.Gimemo.C	 | 63ed117449c0bbd3df179f3c33487084</f>
        <v/>
      </c>
    </row>
    <row r="5109">
      <c r="A5109">
        <f>=108060	 | Ransom.Win32.Urausy.A	 | 6162b212a183ef4150354d2c00023750</f>
        <v/>
      </c>
    </row>
    <row r="5110">
      <c r="A5110">
        <f>=108062	 | Trojan.Win64.Generic.AL	 | 86cc73574cb5acf0ed52ece308230791</f>
        <v/>
      </c>
    </row>
    <row r="5111">
      <c r="A5111">
        <f>=108063	 | Trojan.Win64.Generic.AM	 | 5e2d89a98a64adde0a4b61569e516a0a</f>
        <v/>
      </c>
    </row>
    <row r="5112">
      <c r="A5112">
        <f>=108064	 | Trojan.Win64.Cometer.B	 | f1adc9227814bf695b33ef358c477878</f>
        <v/>
      </c>
    </row>
    <row r="5113">
      <c r="A5113">
        <f>=108066	 | Trojan.Win32.Generic.NV	 | 88a0ecbac05c39c9fc78ae89b6abcc08</f>
        <v/>
      </c>
    </row>
    <row r="5114">
      <c r="A5114">
        <f>=108067	 | Trojan.Win32.Qbot.L	 | 022c724cd110d3b465690d470beb240a</f>
        <v/>
      </c>
    </row>
    <row r="5115">
      <c r="A5115">
        <f>=108069	 | Trojan.Win64.CoinMiner.R	 | 0657f2286e7a4d108bc217cbbf3e2dc6</f>
        <v/>
      </c>
    </row>
    <row r="5116">
      <c r="A5116">
        <f>=108071	 | Trojan.Win64.Dridex.C	 | 0074e48f6c4e6507907fa97f710f3dbc</f>
        <v/>
      </c>
    </row>
    <row r="5117">
      <c r="A5117">
        <f>=108072	 | Trojan.Win32.Banker.K	 | 0b2a0d91aa4ed8f344fde5616f779132</f>
        <v/>
      </c>
    </row>
    <row r="5118">
      <c r="A5118">
        <f>=108073	 | Trojan.Win32.WannaMine.C	 | 177a8eb8e5d9b409d40068c459456ebd</f>
        <v/>
      </c>
    </row>
    <row r="5119">
      <c r="A5119">
        <f>=108074	 | Trojan.Win32.Vimditator.A	 | a14b07b989c55ea9f14ebb312c7d2ba6</f>
        <v/>
      </c>
    </row>
    <row r="5120">
      <c r="A5120">
        <f>=108078	 | Adware.Win32.FileTour.AB	 | eea65ef1578bd1b591ebde1b6e820005.til</f>
        <v/>
      </c>
    </row>
    <row r="5121">
      <c r="A5121">
        <f>=108079	 | Trojan.Win32.Wacatac.AD	 | f97c0a30a00d23f0543f269b8007ac9b</f>
        <v/>
      </c>
    </row>
    <row r="5122">
      <c r="A5122">
        <f>=108080	 | Trojan.Win32.FileTour.C	 | 951e86440a73cd9974f6db902e7e0935</f>
        <v/>
      </c>
    </row>
    <row r="5123">
      <c r="A5123">
        <f>=108081	 | Adware.Win32.Poison.A	 | 3d441cb3c25d17b7b37cfa2a0b78fb0f</f>
        <v/>
      </c>
    </row>
    <row r="5124">
      <c r="A5124">
        <f>=108082	 | Adware.Win32.Generic.HJ	 | 25e369361663d2cb34feff1b556997c8</f>
        <v/>
      </c>
    </row>
    <row r="5125">
      <c r="A5125">
        <f>=108084	 | Trojan.Win32.MalBehav.GELUK	 | 0e31c33d54afcb71eb6ea7f55008989a</f>
        <v/>
      </c>
    </row>
    <row r="5126">
      <c r="A5126">
        <f>=108086	 | Trojan.Win64.Dridex.D	 | ebb081d3b8e924e684453a89c902ec35</f>
        <v/>
      </c>
    </row>
    <row r="5127">
      <c r="A5127">
        <f>=108087	 | Trojan.Win32.Wizrem.B	 | 9eefd4e679d37d4b665ae1426120e29</f>
        <v/>
      </c>
    </row>
    <row r="5128">
      <c r="A5128">
        <f>=108088	 | Backdoor.Win32.Botgor.A	 | 1d52899f8193aeffebec7a2edd8e3803</f>
        <v/>
      </c>
    </row>
    <row r="5129">
      <c r="A5129">
        <f>=108089	 | Trojan.Win32.Dinwod.UNM	 | fdc35a1600a7ba651fde67d7658de107</f>
        <v/>
      </c>
    </row>
    <row r="5130">
      <c r="A5130">
        <f>=108093	 | Trojan.Win32.Generic.NY	 | fdfd8ad83dba151e5faa816a4139991c</f>
        <v/>
      </c>
    </row>
    <row r="5131">
      <c r="A5131">
        <f>=108094	 | Backdoor.Win32.Berbew.C	 | ede63e0e8ee07570f9b48f918502bfa1</f>
        <v/>
      </c>
    </row>
    <row r="5132">
      <c r="A5132">
        <f>=108095	 | Adware.Win32.Ogimant.I	 | 9688ba95b9bba86615b0e33dffb8b7eb</f>
        <v/>
      </c>
    </row>
    <row r="5133">
      <c r="A5133">
        <f>=108096	 | Ransom.Win32.Rantest.B	 | 0074e48f6c4e6507907fa97f710f3dbc</f>
        <v/>
      </c>
    </row>
    <row r="5134">
      <c r="A5134">
        <f>=108097	 | Worm.Win32.Generic.D	 | 08371f68b39433f8c21bacffd2ed9e15</f>
        <v/>
      </c>
    </row>
    <row r="5135">
      <c r="A5135">
        <f>=108098	 | Adware.Win32.Downloader.I	 | 3021519529a623a5bde8dd9d6bc74a5c</f>
        <v/>
      </c>
    </row>
    <row r="5136">
      <c r="A5136">
        <f>=108099	 | Trojan.Win32.MereTam.A	 | 4dbaa2fea1bdff2eefca37fd641e156e</f>
        <v/>
      </c>
    </row>
    <row r="5137">
      <c r="A5137">
        <f>=108100	 | Ransom.Win32.Cerber.P	 | b599410fbdf452681aec73a8e7e0d6a7</f>
        <v/>
      </c>
    </row>
    <row r="5138">
      <c r="A5138">
        <f>=108104	 | Trojan.Win32.Ogimant.A	 | fb9f59321633684e09f2ba1f4aea65d1</f>
        <v/>
      </c>
    </row>
    <row r="5139">
      <c r="A5139">
        <f>=108105	 | Trojan.Win32.MalBehav.GELUL	 | 28e6708d43f94ffe0bb6174bfe767fd0</f>
        <v/>
      </c>
    </row>
    <row r="5140">
      <c r="A5140">
        <f>=108106	 | Trojan.Win32.Cometer.E	 | f4c1bbb2aafd1c6b4821b812c200fc03</f>
        <v/>
      </c>
    </row>
    <row r="5141">
      <c r="A5141">
        <f>=108107	 | Hackertool.Win64.CoinMiner.BCL	 | 68f8c51811225a4bcfa1cad1f34064b0</f>
        <v/>
      </c>
    </row>
    <row r="5142">
      <c r="A5142">
        <f>=108108	 | Trojan.Win32.AutoRun.CG	 | b6d87b681bff250218bc161682920a6f</f>
        <v/>
      </c>
    </row>
    <row r="5143">
      <c r="A5143">
        <f>=108109	 | Trojan.Win32.Banker.L	 | 5f07df5c8350c7994e57b7594b729336</f>
        <v/>
      </c>
    </row>
    <row r="5144">
      <c r="A5144">
        <f>=108111	 | Trojan.Win32.Generic.OA	 | 2272a51fd40d7f0a3a60508525711bd4</f>
        <v/>
      </c>
    </row>
    <row r="5145">
      <c r="A5145">
        <f>=108112	 | Trojan.Win32.Meterpreter.S	 | 87e1593cb617fdf5e3ccc733fbc08ede</f>
        <v/>
      </c>
    </row>
    <row r="5146">
      <c r="A5146">
        <f>=108113	 | Trojan.Win64.Cometer.C	 | faaa66f86f1b8170ed359bb240566d38</f>
        <v/>
      </c>
    </row>
    <row r="5147">
      <c r="A5147">
        <f>=108114	 | Trojan.Win64.Cometer.D	 | faaa66f86f1b8170ed359bb240566d38</f>
        <v/>
      </c>
    </row>
    <row r="5148">
      <c r="A5148">
        <f>=108115	 | Trojan.Win64.Generic.AO	 | 3f08138ff9611a338f665acbd049f321</f>
        <v/>
      </c>
    </row>
    <row r="5149">
      <c r="A5149">
        <f>=108116	 | Trojan.Win32.Kryptik.B	 | 2dc925338b4c776feb462fa4362f5a41</f>
        <v/>
      </c>
    </row>
    <row r="5150">
      <c r="A5150">
        <f>=108118	 | Trojan.Win32.Kryptik.C	 | 04c0f5764febb138934a2ed9e4d75e09</f>
        <v/>
      </c>
    </row>
    <row r="5151">
      <c r="A5151">
        <f>=108120	 | Trojan.Win32.Kryptik.D	 | 034c4c12e76a9e3b64d37cfa126a732b</f>
        <v/>
      </c>
    </row>
    <row r="5152">
      <c r="A5152">
        <f>=108124	 | Adware.Win32.Downloader.J	 | e03567d5ddbb301f381e3f50bdbd04c5</f>
        <v/>
      </c>
    </row>
    <row r="5153">
      <c r="A5153">
        <f>=108125	 | Adware.Win32.Downloader.K	 | f8202cbb67e9104b031a952bae72950d</f>
        <v/>
      </c>
    </row>
    <row r="5154">
      <c r="A5154">
        <f>=108126	 | Trojan.Win32.Qakbot.W	 | b958cbbbcae0f82474b5bd6b5bcc0972</f>
        <v/>
      </c>
    </row>
    <row r="5155">
      <c r="A5155">
        <f>=108127	 | Trojan.Win32.Generic.OB	 | fa86cb0b42852a0419061408e192e303</f>
        <v/>
      </c>
    </row>
    <row r="5156">
      <c r="A5156">
        <f>=108128	 | Trojan.Win32.Generic.OC	 | f66c05c0d4475f24caa6485dabc4760d</f>
        <v/>
      </c>
    </row>
    <row r="5157">
      <c r="A5157">
        <f>=108129	 | Trojan.Win32.Generic.OD	 | e8d2e6d3a3472e4dbd003ee15e5fb13c</f>
        <v/>
      </c>
    </row>
    <row r="5158">
      <c r="A5158">
        <f>=108130	 | Adware.Win32.Downloader.L	 | e8a6f7804f644bf672a49fb3cb180a0a</f>
        <v/>
      </c>
    </row>
    <row r="5159">
      <c r="A5159">
        <f>=108131	 | Worm.Win32.Conficker.AF	 | 9c09418c738e265a27e6c599f43d86ab</f>
        <v/>
      </c>
    </row>
    <row r="5160">
      <c r="A5160">
        <f>=108132	 | Trojan.Win32.Qakbot.X	 | 0309e21b31bdcd18ec16f54d953cfe1b</f>
        <v/>
      </c>
    </row>
    <row r="5161">
      <c r="A5161">
        <f>=108133	 | Trojan.Win32.Danabot.A	 | 8bfd5868ae097ff26ba3b4f13aaf35c8</f>
        <v/>
      </c>
    </row>
    <row r="5162">
      <c r="A5162">
        <f>=108135	 | Trojan.Win64.Generic.AP	 | F56CA2D639764AF8E961053DF0DC1E3B</f>
        <v/>
      </c>
    </row>
    <row r="5163">
      <c r="A5163">
        <f>=108137	 | Trojan.Win32.MalBehav.GELUM	 | 45dce9b951ba777b7e551e709f4450d6</f>
        <v/>
      </c>
    </row>
    <row r="5164">
      <c r="A5164">
        <f>=108138	 | Trojan.Win32.Ditertag.H	 | edfe4509d88d8d3997f7f77f20b9755a</f>
        <v/>
      </c>
    </row>
    <row r="5165">
      <c r="A5165">
        <f>=108139	 | Trojan.Win32.Glupteba.F	 | 26c63c4a51ac9ff8e8d85e7bf4e51dd3</f>
        <v/>
      </c>
    </row>
    <row r="5166">
      <c r="A5166">
        <f>=108140	 | Trojan.Win32.Generic.OE	 | 043f58f63cb9e192702b09878aef08b3</f>
        <v/>
      </c>
    </row>
    <row r="5167">
      <c r="A5167">
        <f>=108141	 | Trojan.Win32.Banker.M	 | 3dfd37f4de6649ccf3b47e2ed966c224</f>
        <v/>
      </c>
    </row>
    <row r="5168">
      <c r="A5168">
        <f>=108142	 | Trojan.Win32.Qakbot.Y	 | 01b7d8cf845517d48d3e7935c98648b4</f>
        <v/>
      </c>
    </row>
    <row r="5169">
      <c r="A5169">
        <f>=108143	 | Trojan.Win32.Qakbot.AA	 | 0309e21b31bdcd18ec16f54d953cfe1b</f>
        <v/>
      </c>
    </row>
    <row r="5170">
      <c r="A5170">
        <f>=108146	 | Trojan.Win32.Ymacco.E	 | 6d3709e91cc4b356b91b9c41f47e4bb0</f>
        <v/>
      </c>
    </row>
    <row r="5171">
      <c r="A5171">
        <f>=108148	 | Trojan.Win64.Generic.AQ	 | 3dc0cc6d417a4132886f0fd51fb4600e</f>
        <v/>
      </c>
    </row>
    <row r="5172">
      <c r="A5172">
        <f>=108152	 | Trojan.Win32.Injector.GELUU	 | d445ea1cbe49a700c6b794a0d2748857</f>
        <v/>
      </c>
    </row>
    <row r="5173">
      <c r="A5173">
        <f>=108154	 | Trojan.Win32.Generic.OH	 | f293a3c6225b3f16b0b44f7321704660</f>
        <v/>
      </c>
    </row>
    <row r="5174">
      <c r="A5174">
        <f>=108155	 | Backdoor.Win32.Generic.BBK	 | 34ade2c8f81793826a2729bf3c721c39</f>
        <v/>
      </c>
    </row>
    <row r="5175">
      <c r="A5175">
        <f>=108156	 | Hackertool.Win64.Generic.A	 | d0f930dd699c17ecce9c18dda9516f32</f>
        <v/>
      </c>
    </row>
    <row r="5176">
      <c r="A5176">
        <f>=108157	 | Trojan.Win32.Agensla.Y	 | 333a206039b70f584dfeb6c749589c7d</f>
        <v/>
      </c>
    </row>
    <row r="5177">
      <c r="A5177">
        <f>=108158	 | Trojan.Win32.Generic.OI	 | 0ff311c5c8f457da81d64714f9118e96</f>
        <v/>
      </c>
    </row>
    <row r="5178">
      <c r="A5178">
        <f>=108159	 | Trojan.Win32.Generic.OJ	 | 190b7394085f4d1a91a010523013b644</f>
        <v/>
      </c>
    </row>
    <row r="5179">
      <c r="A5179">
        <f>=108160	 | Trojan.Win32.StartPage.DA	 | eaa5cae0946f5723ec1a293f9fba7417</f>
        <v/>
      </c>
    </row>
    <row r="5180">
      <c r="A5180">
        <f>=108161	 | Trojan.Win32.Wacatac.AE	 | c23449b6c195080cb8de4f14737fa4a9</f>
        <v/>
      </c>
    </row>
    <row r="5181">
      <c r="A5181">
        <f>=108162	 | Trojan.Win32.Magania.AV	 | 864a39e55cc0f48e3d07d32b1f54795b</f>
        <v/>
      </c>
    </row>
    <row r="5182">
      <c r="A5182">
        <f>=108163	 | Trojan.Win64.Ymacco.B	 | 090e3b6b0e8aa0abbf02b330b386a117</f>
        <v/>
      </c>
    </row>
    <row r="5183">
      <c r="A5183">
        <f>=108165	 | Trojan.Win32.Qakbot.AB	 | f3a680863e3eaa253bad0fe7e4e451c1</f>
        <v/>
      </c>
    </row>
    <row r="5184">
      <c r="A5184">
        <f>=108167	 | Trojan.Win32.MalBehav.GELUN	 | e950d232645355ee0dbca4edc81f3e6b</f>
        <v/>
      </c>
    </row>
    <row r="5185">
      <c r="A5185">
        <f>=108168	 | Trojan.Win32.Bitrep.A	 | 20113e2f8208a0e32b346001a747e8f7</f>
        <v/>
      </c>
    </row>
    <row r="5186">
      <c r="A5186">
        <f>=108334	 | Adware.Win32.Firseria.C	 | 7d11ce67e952365684374d9611493bde</f>
        <v/>
      </c>
    </row>
    <row r="5187">
      <c r="A5187">
        <f>=108335	 | Adware.Win32.Downloader.M	 | 062f6d5f2fbac8869833de75530a094b</f>
        <v/>
      </c>
    </row>
    <row r="5188">
      <c r="A5188">
        <f>=108336	 | Adware.Win32.SoftPulse.CHAK	 | e1b1f2f8c205f1cb67d1f5b11b515a42</f>
        <v/>
      </c>
    </row>
    <row r="5189">
      <c r="A5189">
        <f>=108337	 | Backdoor.Win64.Meterpreter.A	 | ab67fb7f962a2b833bd75e4413e30ac5</f>
        <v/>
      </c>
    </row>
    <row r="5190">
      <c r="A5190">
        <f>=108338	 | Trojan.Win32.Downloader.GGJ	 | 3e61c86824d7cd8d4034ce42c7298fda</f>
        <v/>
      </c>
    </row>
    <row r="5191">
      <c r="A5191">
        <f>=108339	 | Trojan.Win32.Downloader.GGK	 | 121201934d96514491921d9dcaba8476</f>
        <v/>
      </c>
    </row>
    <row r="5192">
      <c r="A5192">
        <f>=108340	 | Adware.Win32.MultiPlug.MHDC	 | 03c1f1553ccdff6ce96374d5171d4d9f</f>
        <v/>
      </c>
    </row>
    <row r="5193">
      <c r="A5193">
        <f>=108341	 | Adware.Win32.MultiPlug.MHDD	 | 8f7e2357a0d56b0445133379524b8b95</f>
        <v/>
      </c>
    </row>
    <row r="5194">
      <c r="A5194">
        <f>=108342	 | Adware.Win32.Downloader.N	 | 177506fd971de9b58eb973c8124e5b81</f>
        <v/>
      </c>
    </row>
    <row r="5195">
      <c r="A5195">
        <f>=108343	 | Adware.Win32.Popeler.A	 | 340cab46ab3f4efd2d2e92890f89f2fa</f>
        <v/>
      </c>
    </row>
    <row r="5196">
      <c r="A5196">
        <f>=108344	 | Adware.Win32.Popeler.B	 | 10a5c7f84ad46dd2c3c1df3bda7a9e45</f>
        <v/>
      </c>
    </row>
    <row r="5197">
      <c r="A5197">
        <f>=108345	 | Adware.Win32.Popeler.C	 | 01f1244f62138f30de9d0ac96e3c97fc</f>
        <v/>
      </c>
    </row>
    <row r="5198">
      <c r="A5198">
        <f>=108346	 | Adware.Win32.Downloader.O	 | 1d51fb13b2c98c10269dfbc2958d3252</f>
        <v/>
      </c>
    </row>
    <row r="5199">
      <c r="A5199">
        <f>=108350	 | Adware.Win32.Softpulse.CHAL	 | 2895004b26f73dc8288ce5a1a6c1bbb0</f>
        <v/>
      </c>
    </row>
    <row r="5200">
      <c r="A5200">
        <f>=108356	 | Trojan.Win32.Generic.OK	 | 73ac199e211d8b429b16902d63c9d125</f>
        <v/>
      </c>
    </row>
    <row r="5201">
      <c r="A5201">
        <f>=108358	 | Backdoor.Win32.Meterpreter.C	 | 77f009462d318d01cddcef477de84c86</f>
        <v/>
      </c>
    </row>
    <row r="5202">
      <c r="A5202">
        <f>=108360	 | Trojan.Win32.Meterpreter.U	 | 63a15fab9da208efa349e82705b17a35</f>
        <v/>
      </c>
    </row>
    <row r="5203">
      <c r="A5203">
        <f>=108361	 | Trojan.Win64.Meterpreter.H	 | ca97b09bd64146e80023aeec5ade6efc</f>
        <v/>
      </c>
    </row>
    <row r="5204">
      <c r="A5204">
        <f>=108362	 | Trojan.Win32.Meterpreter.V	 | 4afaedf91476602a4442bffecc3e646e</f>
        <v/>
      </c>
    </row>
    <row r="5205">
      <c r="A5205">
        <f>=108363	 | Trojan.Win32.KillAV.AV	 | 82d28c41baf79bc227e6d3ed764fab6e</f>
        <v/>
      </c>
    </row>
    <row r="5206">
      <c r="A5206">
        <f>=108364	 | Trojan.Win32.Webshell.C	 | 5001ef50c7e869253a7c152a638eab8a</f>
        <v/>
      </c>
    </row>
    <row r="5207">
      <c r="A5207">
        <f>=108365	 | Backdoor.Win32.Hupigon.UAGF	 | 8acb0c427c90457f791f9be5b25b3da8</f>
        <v/>
      </c>
    </row>
    <row r="5208">
      <c r="A5208">
        <f>=108366	 | Hackertool.Win32.Portscn.A	 | 7edcd94dab4b4d1b039dc05dcced9afb</f>
        <v/>
      </c>
    </row>
    <row r="5209">
      <c r="A5209">
        <f>=108367	 | Hackertool.Win32.RemoteAdmin.A	 | 85c536a83313f7b92dbc7a22a17ff460</f>
        <v/>
      </c>
    </row>
    <row r="5210">
      <c r="A5210">
        <f>=108368	 | Trojan.Win64.Generic.AR	 | 90fadcd88b6319e834d41db4b6477f94</f>
        <v/>
      </c>
    </row>
    <row r="5211">
      <c r="A5211">
        <f>=108369	 | Trojan.Win32.Generic.OL	 | 90aa7789eb43c001909597380aa601bf</f>
        <v/>
      </c>
    </row>
    <row r="5212">
      <c r="A5212">
        <f>=108370	 | Trojan.Win32.Downloader.GGL	 | bb90277af4bf8cd370d030f62cbd662c</f>
        <v/>
      </c>
    </row>
    <row r="5213">
      <c r="A5213">
        <f>=108371	 | Hackertool.Win32.Generic.C	 | 597120a39b5f0d040793a9568754c67e</f>
        <v/>
      </c>
    </row>
    <row r="5214">
      <c r="A5214">
        <f>=108372	 | Trojan.Win32.Fsysna.FCPU	 | 00c4e33e58ca686f71be54994f4533be</f>
        <v/>
      </c>
    </row>
    <row r="5215">
      <c r="A5215">
        <f>=108373	 | Trojan.Win32.Obfuscator.V	 | fae0e5d7d5d64f3c9f7318028306def2</f>
        <v/>
      </c>
    </row>
    <row r="5216">
      <c r="A5216">
        <f>=108375	 | VirTool.Win32.Injector.C	 | 18c61259d4025ba832b165461fdfbebd</f>
        <v/>
      </c>
    </row>
    <row r="5217">
      <c r="A5217">
        <f>=108376	 | Adware.Win32.ICLoader.M	 | 9255d94d5b77ee660253a9546ecd953d</f>
        <v/>
      </c>
    </row>
    <row r="5218">
      <c r="A5218">
        <f>=108377	 | Trojan.Win32.Zenpak.N	 | 05ac21958a4e452f9d4d31b40f19c16e</f>
        <v/>
      </c>
    </row>
    <row r="5219">
      <c r="A5219">
        <f>=108378	 | Trojan.Win32.Generic.OM	 | a10c1fcd0223a324a97ada73eecd00e7</f>
        <v/>
      </c>
    </row>
    <row r="5220">
      <c r="A5220">
        <f>=108381	 | Trojan.Win32.Generic.ON	 | 3e0c473b754187b8be8eac74c4d75a4d</f>
        <v/>
      </c>
    </row>
    <row r="5221">
      <c r="A5221">
        <f>=108382	 | Hackertool.Win64.Inject.A	 | ae7b6a01482096cf9270af7eb57836f1</f>
        <v/>
      </c>
    </row>
    <row r="5222">
      <c r="A5222">
        <f>=108383	 | Adware.Win32.Softpulse.CHAM	 | fb9317106ef8dd87524faeba6432c1ea</f>
        <v/>
      </c>
    </row>
    <row r="5223">
      <c r="A5223">
        <f>=108385	 | Adware.Win32.Softpulse.CHAO	 | f55bf021b7139aaf096ff29b051e51c5</f>
        <v/>
      </c>
    </row>
    <row r="5224">
      <c r="A5224">
        <f>=108386	 | Trojan.Win32.Generic.OO	 | fc693b6a08c0c4ecbd020fe13fc0a086</f>
        <v/>
      </c>
    </row>
    <row r="5225">
      <c r="A5225">
        <f>=108387	 | Adware.Win32.Softpulse.CHAP	 | db409518f50cbeca2c1daad24ecf6ac0</f>
        <v/>
      </c>
    </row>
    <row r="5226">
      <c r="A5226">
        <f>=108388	 | Backdoor.Win64.Meterpreter.B	 | c2f51aa282be3c7e6dd1f6fc7dc90c3d</f>
        <v/>
      </c>
    </row>
    <row r="5227">
      <c r="A5227">
        <f>=108389	 | AdWare.Win32.SoftPulse.CHAQ	 | e57850e8c86e8d8476c676e393b13b84</f>
        <v/>
      </c>
    </row>
    <row r="5228">
      <c r="A5228">
        <f>=108390	 | Adware.Win32.Popeler.D	 | fe15e705afb75fb2065efa75925c50f9</f>
        <v/>
      </c>
    </row>
    <row r="5229">
      <c r="A5229">
        <f>=108392	 | Trojan.Win32.Downloader.GGM	 | 001303237e8af0e376412ae2356722a1</f>
        <v/>
      </c>
    </row>
    <row r="5230">
      <c r="A5230">
        <f>=108393	 | Adware.Win32.Popeler.E	 | 033178b78ff8f502d988bd23404ab408</f>
        <v/>
      </c>
    </row>
    <row r="5231">
      <c r="A5231">
        <f>=108394	 | Adware.Win32.Popeler.F	 | ffc382ae0d6cedc39b4ba06747fe3c49</f>
        <v/>
      </c>
    </row>
    <row r="5232">
      <c r="A5232">
        <f>=108395	 | Adware.Win32.Softpulse.CHAR	 | 030df6030bf44f7359a95f7a43a92fe4</f>
        <v/>
      </c>
    </row>
    <row r="5233">
      <c r="A5233">
        <f>=108396	 | Adware.Win32.SoftPulse.CHAS	 | df5bc2683c074b2aa18ecf2fec10c1fd</f>
        <v/>
      </c>
    </row>
    <row r="5234">
      <c r="A5234">
        <f>=108397	 | Adware.Win32.SoftPulse.CHAT	 | 08d6f34b0df96c79822b0a7c627494c3</f>
        <v/>
      </c>
    </row>
    <row r="5235">
      <c r="A5235">
        <f>=108398	 | Adware.Win32.Generic.HK	 | b962fe5bc8ed83a698878ad9d525212d</f>
        <v/>
      </c>
    </row>
    <row r="5236">
      <c r="A5236">
        <f>=108399	 | Trojan.Win32.Generic.OP	 | df5b4e2991d7f5ba9e93aa93b5db4b62</f>
        <v/>
      </c>
    </row>
    <row r="5237">
      <c r="A5237">
        <f>=108400	 | Adware.Win32.SoftPulse.CHAU	 | 2fa5c19a2f9b1775cc7e5ba0b1b63bec</f>
        <v/>
      </c>
    </row>
    <row r="5238">
      <c r="A5238">
        <f>=108401	 | Trojan.Win32.Downloader.GGN	 | d8fb76890dd6107fac2ddf45aecef55a</f>
        <v/>
      </c>
    </row>
    <row r="5239">
      <c r="A5239">
        <f>=108402	 | Adware.Win32.Popeler.G	 | 0a06f6ad844707051cc01ed818804c5f</f>
        <v/>
      </c>
    </row>
    <row r="5240">
      <c r="A5240">
        <f>=108403	 | Trojan.Win32.Inject.GELUW	 | ae51bc02de70794f46c0fda1a87ca1e2</f>
        <v/>
      </c>
    </row>
    <row r="5241">
      <c r="A5241">
        <f>=108406	 | Trojan.Win32.Inject.GELUX	 | 419a01327257e6b0c275040845ceada2</f>
        <v/>
      </c>
    </row>
    <row r="5242">
      <c r="A5242">
        <f>=108407	 | Trojan.Win32.Lokibot.F	 | 0da46f3098090604e268f89ad9c115f7</f>
        <v/>
      </c>
    </row>
    <row r="5243">
      <c r="A5243">
        <f>=108410	 | Adware.Win32.Ogimant.J	 | 1b541d2057b0a0fca10054ae83a1b75e</f>
        <v/>
      </c>
    </row>
    <row r="5244">
      <c r="A5244">
        <f>=108411	 | Trojan.Win32.Qakbot.AC	 | f320a6795412de720b764ee2f1a74d51</f>
        <v/>
      </c>
    </row>
    <row r="5245">
      <c r="A5245">
        <f>=108412	 | Worm.Win32.Sfone.I	 | f9dc49e5488ada9eac5d88b526f493c1</f>
        <v/>
      </c>
    </row>
    <row r="5246">
      <c r="A5246">
        <f>=108413	 | Trojan.Win32.Qakbot.AD	 | fd2e4cd8e3a4368ce57ffc966cbadcd1</f>
        <v/>
      </c>
    </row>
    <row r="5247">
      <c r="A5247">
        <f>=108414	 | Trojan.Win32.Ditertag.I	 | 02f152e314e283359fde1b29c6dedacf</f>
        <v/>
      </c>
    </row>
    <row r="5248">
      <c r="A5248">
        <f>=108415	 | Worm.Win32.Palevo.AVIS	 | ff9f73dcb94ddb2b402eafb73334bf6d</f>
        <v/>
      </c>
    </row>
    <row r="5249">
      <c r="A5249">
        <f>=108416	 | Backdoor.Win32.UltimateDefender.A	 | 1fc01b616d196e56e322ed34eee917e8</f>
        <v/>
      </c>
    </row>
    <row r="5250">
      <c r="A5250">
        <f>=108417	 | Trojan.Win32.Qakbot.AE	 | 5267ede2c5606312ab3d764c773f59bd</f>
        <v/>
      </c>
    </row>
    <row r="5251">
      <c r="A5251">
        <f>=108421	 | Trojan.Win32.Qakbot.AF	 | fc5a9a039876c8b8d833928bf70d9ff8</f>
        <v/>
      </c>
    </row>
    <row r="5252">
      <c r="A5252">
        <f>=108422	 | Trojan.Win32.Generic.OR	 | 09d0aed688ff012233fbd18c04cfe68f</f>
        <v/>
      </c>
    </row>
    <row r="5253">
      <c r="A5253">
        <f>=108423	 | Trojan.Win32.Upatre.GELUX	 | ec8712b82ded4ea0977f0b48050e588e</f>
        <v/>
      </c>
    </row>
    <row r="5254">
      <c r="A5254">
        <f>=108424	 | Trojan.Win32.Generic.OS	 | ff36078a12311adc03c9c0e7e64d3975</f>
        <v/>
      </c>
    </row>
    <row r="5255">
      <c r="A5255">
        <f>=108425	 | Trojan.Win32.Ogimant.B	 | 0b8bee0f2ddc0fc9de1e820e5082b86c</f>
        <v/>
      </c>
    </row>
    <row r="5256">
      <c r="A5256">
        <f>=108429	 | Hackertool.Win32.RemCom.A	 | f2bfe48c6662797a7efcd561e8d415aa</f>
        <v/>
      </c>
    </row>
    <row r="5257">
      <c r="A5257">
        <f>=108430	 | Hackertool.Win32.RemCom.B	 | 43f941b706edaa9fbeed1fce6867c646</f>
        <v/>
      </c>
    </row>
    <row r="5258">
      <c r="A5258">
        <f>=108431	 | Hackertool.Win32.RemCom.C	 | cec4bb3b2f4d2ca2f3468103efb5967d</f>
        <v/>
      </c>
    </row>
    <row r="5259">
      <c r="A5259">
        <f>=108432	 | Worm.Win32.Gamarue.AH	 | adc71ca27c216dab4ab0b60bf78733bf</f>
        <v/>
      </c>
    </row>
    <row r="5260">
      <c r="A5260">
        <f>=108433	 | Trojan.Win32.Generic.OT	 | b16d7b8f655c337be3335e164eb94fd2</f>
        <v/>
      </c>
    </row>
    <row r="5261">
      <c r="A5261">
        <f>=108434	 | Hackertool.Win32.RemCom.D	 | 03e9413c7fc4151d0b9b5c0eb35946cf</f>
        <v/>
      </c>
    </row>
    <row r="5262">
      <c r="A5262">
        <f>=108435	 | Trojan.Win32.AgentTesla.J	 | 86ae189729101ea1af395054186a5b74</f>
        <v/>
      </c>
    </row>
    <row r="5263">
      <c r="A5263">
        <f>=108436	 | Trojan.Win32.Qakbot.AG	 | ed63646f7b7363a8f0848e3ff2f3844e</f>
        <v/>
      </c>
    </row>
    <row r="5264">
      <c r="A5264">
        <f>=108437	 | Trojan.Win32.VBInject.E	 | fa754acb088ea11f5c898fa323f9331b</f>
        <v/>
      </c>
    </row>
    <row r="5265">
      <c r="A5265">
        <f>=108439	 | Trojan.Win32.AutoRun.CH	 | b6d87b681bff250218bc161682920a6f</f>
        <v/>
      </c>
    </row>
    <row r="5266">
      <c r="A5266">
        <f>=108440	 | Ransom.Win32.Generic.OF	 | d600fa644e924a4f094a7c17e1f1ee5d</f>
        <v/>
      </c>
    </row>
    <row r="5267">
      <c r="A5267">
        <f>=108442	 | Trojan.Win32.Generic.OU	 | d9d26daaa30f233a0de58fce60c22d15</f>
        <v/>
      </c>
    </row>
    <row r="5268">
      <c r="A5268">
        <f>=108443	 | Trojan.Win32.SmallAgent.A	 | 30a79ae37934c264e4f66fa400bb3a38</f>
        <v/>
      </c>
    </row>
    <row r="5269">
      <c r="A5269">
        <f>=108444	 | Trojan.Win32.Inject.GELUY	 | 68128c67d9ebcbabadc167144c4a3429</f>
        <v/>
      </c>
    </row>
    <row r="5270">
      <c r="A5270">
        <f>=108446	 | Trojan.Win32.Fixflo.A	 | 4fcd7574537cebec8e75b4e646996643</f>
        <v/>
      </c>
    </row>
    <row r="5271">
      <c r="A5271">
        <f>=108452	 | Trojan.Win32.Obfuscated.CA	 | ba43e09015da5dc9ced2e36902b4feb3</f>
        <v/>
      </c>
    </row>
    <row r="5272">
      <c r="A5272">
        <f>=108453	 | Worm.Win32.Picsys.I	 | f10e20b14c04b0950481a327c0ac71f7</f>
        <v/>
      </c>
    </row>
    <row r="5273">
      <c r="A5273">
        <f>=108455	 | Trojan.Win32.Zegost.C	 | a7efce096db1931f63351fe19cadeb21</f>
        <v/>
      </c>
    </row>
    <row r="5274">
      <c r="A5274">
        <f>=108456	 | Trojan.Win64.Agent.G	 | 07d06f71bcec89f6a4b431baabf835c5</f>
        <v/>
      </c>
    </row>
    <row r="5275">
      <c r="A5275">
        <f>=108457	 | Trojan.Win32.Bluteal.A	 | 3cf481ccbb1019894fcbacb554f3bda1</f>
        <v/>
      </c>
    </row>
    <row r="5276">
      <c r="A5276">
        <f>=108458	 | Trojan.Win32.Emotet.DBTUMXG	 | 46b237e5d377f510004eb5740e3eb7c7</f>
        <v/>
      </c>
    </row>
    <row r="5277">
      <c r="A5277">
        <f>=108459	 | Trojan.Win32.Autoit.GFD	 | 07a2ffa999232f3f40916d4867e01958</f>
        <v/>
      </c>
    </row>
    <row r="5278">
      <c r="A5278">
        <f>=108460	 | Trojan.Win32.Agent.XAANUQ	 | fc6d2c55d0b6003a08e0ad405988a397</f>
        <v/>
      </c>
    </row>
    <row r="5279">
      <c r="A5279">
        <f>=108461	 | Adware.Win32.SoftPulse.CHAV	 | 2df06f750cbab37a8c5b5d6d48b2e6a4</f>
        <v/>
      </c>
    </row>
    <row r="5280">
      <c r="A5280">
        <f>=108462	 | Trojan.Win32.Inject.GELVA	 | e4863053146c9635916750d4f61ae173</f>
        <v/>
      </c>
    </row>
    <row r="5281">
      <c r="A5281">
        <f>=108463	 | Hackertool.Win32.Hscan.A	 | 6263b67a59dad81aecae69276d265e1f</f>
        <v/>
      </c>
    </row>
    <row r="5282">
      <c r="A5282">
        <f>=108464	 | Hackertool.Win32.Hscan.B	 | 42be6717898901b0dc245800a219a3d1</f>
        <v/>
      </c>
    </row>
    <row r="5283">
      <c r="A5283">
        <f>=108465	 | Trojan.Win32.Inject.GELVB	 | 10f9058c504453e501d54d0e4b6c0a54</f>
        <v/>
      </c>
    </row>
    <row r="5284">
      <c r="A5284">
        <f>=108470	 | Hackertool.Win32.Hscan.C	 | 4a9509c2d86a6b782df2837506015a3d</f>
        <v/>
      </c>
    </row>
    <row r="5285">
      <c r="A5285">
        <f>=108471	 | Hackertool.Win32.RemoteExec.A	 | 970078b1a1d69f05bcd3944eb96a16b9</f>
        <v/>
      </c>
    </row>
    <row r="5286">
      <c r="A5286">
        <f>=108472	 | Trojan.Win32.Portop.A	 | f79cb9d2893b254cc75dfb7f3e454a69</f>
        <v/>
      </c>
    </row>
    <row r="5287">
      <c r="A5287">
        <f>=108473	 | Trojan.Win64.WannaMine.AK	 | 6dc722c9844e61427a47a2759a8fbec0</f>
        <v/>
      </c>
    </row>
    <row r="5288">
      <c r="A5288">
        <f>=108474	 | Trojan.Win32.WannaMine.E	 | 95786b6c28bf8dba7bbfeeba9e1ec27a</f>
        <v/>
      </c>
    </row>
    <row r="5289">
      <c r="A5289">
        <f>=108476	 | Trojan.Win32.Portop.B	 | 74e2a43b2b7c6e258b3a3fc2516c1235</f>
        <v/>
      </c>
    </row>
    <row r="5290">
      <c r="A5290">
        <f>=108478	 | Trojan.Win32.Trickster.C	 | 2e9710a4b9cba3cd11e977af87570e3b</f>
        <v/>
      </c>
    </row>
    <row r="5291">
      <c r="A5291">
        <f>=108482	 | Adware.Win32.Popeler.H	 | f9b1dcfc7fe1b22a8ebc550e0e69778b</f>
        <v/>
      </c>
    </row>
    <row r="5292">
      <c r="A5292">
        <f>=108483	 | Adware.Win32.Morstar.A	 | 16547c613b6fc53c0b5c24d65e91018a</f>
        <v/>
      </c>
    </row>
    <row r="5293">
      <c r="A5293">
        <f>=108484	 | Adware.Win32.Downloader.P	 | 19df80fbc90960db421c2349f675a34e</f>
        <v/>
      </c>
    </row>
    <row r="5294">
      <c r="A5294">
        <f>=108485	 | Adware.Win32.Morstar.B	 | 8866cbfdb19dd710160227afcd66ec6b</f>
        <v/>
      </c>
    </row>
    <row r="5295">
      <c r="A5295">
        <f>=108487	 | Trojan.Win32.Ogimant.C	 | dc6d9f9e9413ae844f20d2dac7ffd8a1</f>
        <v/>
      </c>
    </row>
    <row r="5296">
      <c r="A5296">
        <f>=108489	 | Adware.Win32.Downloader.Q	 | f622b85c95ece1126780aa8d70631a07</f>
        <v/>
      </c>
    </row>
    <row r="5297">
      <c r="A5297">
        <f>=108490	 | Trojan.Win32.Ogimant.D	 | 1cba901e8dc69a36024842587424c328</f>
        <v/>
      </c>
    </row>
    <row r="5298">
      <c r="A5298">
        <f>=108491	 | Trojan.Win32.Injector.GELUV	 | d040a34d1fdef5a00222f8a25e129511</f>
        <v/>
      </c>
    </row>
    <row r="5299">
      <c r="A5299">
        <f>=108492	 | Trojan.Win32.Injector.GELUW	 | 1533f7059be7f488a09caf5c3fa2c2af</f>
        <v/>
      </c>
    </row>
    <row r="5300">
      <c r="A5300">
        <f>=108494	 | Worm.Win32.Viking.O	 | 4c5510b890a1423dcad911d6abbb736f</f>
        <v/>
      </c>
    </row>
    <row r="5301">
      <c r="A5301">
        <f>=108495	 | Hackertool.Win32.BloodHound.A	 | 829a9dfd2cdcf50519a1cec1f529854b</f>
        <v/>
      </c>
    </row>
    <row r="5302">
      <c r="A5302">
        <f>=108498	 | Trojan.Win32.Dropper.F	 | 398da9393eb5f92246eb288609568628</f>
        <v/>
      </c>
    </row>
    <row r="5303">
      <c r="A5303">
        <f>=108501	 | Adware.Win32.InstallBrain.B	 | f2878d791b950c644ecb298b6e5f62cb</f>
        <v/>
      </c>
    </row>
    <row r="5304">
      <c r="A5304">
        <f>=108503	 | Worm.Win32.Chinky.B	 | 00eb68183bf47646a21d45ede847607f</f>
        <v/>
      </c>
    </row>
    <row r="5305">
      <c r="A5305">
        <f>=108504	 | Worm.Win32.Chinky.C	 | 586ef990eba93005ac632c6f5064ac8c</f>
        <v/>
      </c>
    </row>
    <row r="5306">
      <c r="A5306">
        <f>=108505	 | Adware.Win32.Diplugem.A	 | 423320118f55b73c5aa64429803d5d48</f>
        <v/>
      </c>
    </row>
    <row r="5307">
      <c r="A5307">
        <f>=108506	 | Adware.Win32.InstalleRex.A	 | cdafb0a2e59e488947c4f4bbf7aa034a</f>
        <v/>
      </c>
    </row>
    <row r="5308">
      <c r="A5308">
        <f>=108507	 | Adware.Win32.BrainInst.A	 | 6dc13212fc54e624c907a09ad8dc1170</f>
        <v/>
      </c>
    </row>
    <row r="5309">
      <c r="A5309">
        <f>=108508	 | Adware.Win32.BrainInst.B	 | 2dfc7ef5913b6f5c6668de9ae7614cf2</f>
        <v/>
      </c>
    </row>
    <row r="5310">
      <c r="A5310">
        <f>=108509	 | Adware.Win32.InstallBrain.C	 | 29da4cdaf564aef04ec3371b20b6858d</f>
        <v/>
      </c>
    </row>
    <row r="5311">
      <c r="A5311">
        <f>=108511	 | Adware.Win32.InstalleRex.B	 | 01be653d18589d7d1011e88b355fc546</f>
        <v/>
      </c>
    </row>
    <row r="5312">
      <c r="A5312">
        <f>=108512	 | Adware.Win32.Diplugem.B	 | 7dfbe4e79d4d210158f43401bd129ba9</f>
        <v/>
      </c>
    </row>
    <row r="5313">
      <c r="A5313">
        <f>=108515	 | Worm.Win32.Dynamer.A	 | bc23d268701ebef9d6ccc5a68054e7e2</f>
        <v/>
      </c>
    </row>
    <row r="5314">
      <c r="A5314">
        <f>=108516	 | Worm.Win32.Generic.E	 | 3cdf76b82e51f77e25afcad1bd97d91f</f>
        <v/>
      </c>
    </row>
    <row r="5315">
      <c r="A5315">
        <f>=108517	 | Adware.Win32.MultiPlug.MHDE	 | 500d279965ff77899b158434ac75a559</f>
        <v/>
      </c>
    </row>
    <row r="5316">
      <c r="A5316">
        <f>=108518	 | Trojan.Win32.NanoBot.B	 | eb62bf5e10bc9b1fb721de826a7734d5</f>
        <v/>
      </c>
    </row>
    <row r="5317">
      <c r="A5317">
        <f>=108520	 | Worm.Win32.ipz.A	 | 67a79095eced1e33ec8c69afa0c612c4</f>
        <v/>
      </c>
    </row>
    <row r="5318">
      <c r="A5318">
        <f>=108521	 | Trojan.Win64.Cobaltstrike.A	 | e4ea03ceb3c241668de7f9d61e43ec4c</f>
        <v/>
      </c>
    </row>
    <row r="5319">
      <c r="A5319">
        <f>=108522	 | Worm.Win32.ipz.B	 | 8da94d369cc05d5f5c6e77d1c9bd23b6</f>
        <v/>
      </c>
    </row>
    <row r="5320">
      <c r="A5320">
        <f>=108523	 | Worm.Win32.ipz.C	 | 458ac3a977839a8a530359e314c78650</f>
        <v/>
      </c>
    </row>
    <row r="5321">
      <c r="A5321">
        <f>=108525	 | Trojan.Win32.Agentb.BVIX	 | 963232a856ca083ef54fb6c762de68cd</f>
        <v/>
      </c>
    </row>
    <row r="5322">
      <c r="A5322">
        <f>=108527	 | HackerTool.Win32.AutoKMS.C	 | 0206eda62796fee2300a3da2b7e2c937</f>
        <v/>
      </c>
    </row>
    <row r="5323">
      <c r="A5323">
        <f>=108528	 | Trojan.Win32.CoinMiner.W	 | 052409e4ebc34a3582b3319b574d566a</f>
        <v/>
      </c>
    </row>
    <row r="5324">
      <c r="A5324">
        <f>=108529	 | Trojan.Win32.Kuaibpy.A	 | 66963732190340740c137e3bd9091b3c</f>
        <v/>
      </c>
    </row>
    <row r="5325">
      <c r="A5325">
        <f>=108530	 | Trojan.Win32.Occamy.H	 | cd042a8d87dfeaf32afa55b6cbe26115</f>
        <v/>
      </c>
    </row>
    <row r="5326">
      <c r="A5326">
        <f>=108531	 | Adware.Win32.Agent.VHS	 | 0dbe791ba6e9bd34d6fe369407ace4e8</f>
        <v/>
      </c>
    </row>
    <row r="5327">
      <c r="A5327">
        <f>=108532	 | Adware.Win32.Foxiebro.A	 | 6f7e0314b54b4634fceb3f669a6fdf4c</f>
        <v/>
      </c>
    </row>
    <row r="5328">
      <c r="A5328">
        <f>=108533	 | Adware.Win64.Foxiebro.A	 | fd090425883a81d5a247a55fac703778</f>
        <v/>
      </c>
    </row>
    <row r="5329">
      <c r="A5329">
        <f>=108534	 | Trojan.Win32.Wakme.A	 | 1cae9e37170c4d794cb362dd08e9e14b</f>
        <v/>
      </c>
    </row>
    <row r="5330">
      <c r="A5330">
        <f>=108535	 | Trojan.Win32.Agent.XAANUR	 | 678ac547cfb99dae3057163745eac0bc</f>
        <v/>
      </c>
    </row>
    <row r="5331">
      <c r="A5331">
        <f>=108536	 | Worm.Win32.Detnat.A	 | 0153614258a0fb0d452018b576f932ba</f>
        <v/>
      </c>
    </row>
    <row r="5332">
      <c r="A5332">
        <f>=108537	 | Trojan.Win32.Patched.I	 | 0715f7095b5a3771480d80d9c0542bde</f>
        <v/>
      </c>
    </row>
    <row r="5333">
      <c r="A5333">
        <f>=108540	 | Trojan.Win32.Sventore.J	 | ae77c4807a8172d7f661e977556478b4</f>
        <v/>
      </c>
    </row>
    <row r="5334">
      <c r="A5334">
        <f>=108542	 | Trojan.Win32.CoinMiner.X	 | bcc85a9caa61c270efda7242c14308b7</f>
        <v/>
      </c>
    </row>
    <row r="5335">
      <c r="A5335">
        <f>=108544	 | Worm.Win32.Wukill.B	 | 0c5efdba7250eae21788bb6a17c656f2</f>
        <v/>
      </c>
    </row>
    <row r="5336">
      <c r="A5336">
        <f>=108545	 | Adware.Win32.Specaecupa.A	 | ddfd2e8a96d3f3c30067bc23a3835e9d</f>
        <v/>
      </c>
    </row>
    <row r="5337">
      <c r="A5337">
        <f>=108550	 | Trojan.Win32.CoinMiner.Y	 | 548818353a21dec02ad1bd9d7ac68461</f>
        <v/>
      </c>
    </row>
    <row r="5338">
      <c r="A5338">
        <f>=108555	 | Trojan.Win32.Dorv.C	 | e324a85cf9d1e4cd13308b137334287d</f>
        <v/>
      </c>
    </row>
    <row r="5339">
      <c r="A5339">
        <f>=108556	 | Adware.Win32.Morstar.E	 | 0e87327d436385c68c6b9bb44cb610aa</f>
        <v/>
      </c>
    </row>
    <row r="5340">
      <c r="A5340">
        <f>=108558	 | Hackertool.Win64.CoinMiner.BCM	 | 124b07c3fe1bd5a71275719032f488e9</f>
        <v/>
      </c>
    </row>
    <row r="5341">
      <c r="A5341">
        <f>=108559	 | Hackertool.Win32.CoinMiner.F	 | 2691f1faa84d8fe54f55cd7c2f35fa18</f>
        <v/>
      </c>
    </row>
    <row r="5342">
      <c r="A5342">
        <f>=108560	 | Adware.Win32.GoGroup.A	 | 69699b96f9f6618a4a3ba693d6a9d3a7</f>
        <v/>
      </c>
    </row>
    <row r="5343">
      <c r="A5343">
        <f>=108561	 | Backdoor.Win32.Xtreme.B	 | 4b4352fea4367e1592bc8e4a5d89184a</f>
        <v/>
      </c>
    </row>
    <row r="5344">
      <c r="A5344">
        <f>=108562	 | Ransom.Win32.Genasom.A	 | e540c93c2fae8f0d8ccee182704378ea</f>
        <v/>
      </c>
    </row>
    <row r="5345">
      <c r="A5345">
        <f>=108563	 | Trojan.Win32.VBKryjetor.AH	 | b8a31616d6eaf317349e62da1bca69c7</f>
        <v/>
      </c>
    </row>
    <row r="5346">
      <c r="A5346">
        <f>=108565	 | Worm.Win32.Dorkbot.A	 | b4210f1ead4b855aa538f8cbdcd7ecf3</f>
        <v/>
      </c>
    </row>
    <row r="5347">
      <c r="A5347">
        <f>=108575	 | Trojan.Win32.Lokibot.G	 | b6d220ed99600e2236da1e3ce2e540c6</f>
        <v/>
      </c>
    </row>
    <row r="5348">
      <c r="A5348">
        <f>=108577	 | Adware.Win32.Ogimant.K	 | 2d16bc310a9923844647e7dd57e34faa</f>
        <v/>
      </c>
    </row>
    <row r="5349">
      <c r="A5349">
        <f>=108579	 | Adware.Win32.ExpressDownloader.B	 | b639f4915ae1da49a7b0ff8f21981982</f>
        <v/>
      </c>
    </row>
    <row r="5350">
      <c r="A5350">
        <f>=108586	 | Adware.Win32.OutBrowse.CON	 | 2e2ff28bbfbbae32fcd62f094536f040</f>
        <v/>
      </c>
    </row>
    <row r="5351">
      <c r="A5351">
        <f>=108592	 | Trojan.Win32.Generic.PB	 | f987982d5da363de4163d8e9641bc411</f>
        <v/>
      </c>
    </row>
    <row r="5352">
      <c r="A5352">
        <f>=108593	 | Adware.Win32.InstallBrain.D	 | 013aa91e178c74062fc83e5be7618f87</f>
        <v/>
      </c>
    </row>
    <row r="5353">
      <c r="A5353">
        <f>=108595	 | Adware.Win32.Softpulse.CHAW	 | e1edcf48d326d6cb4209ab2d85513241</f>
        <v/>
      </c>
    </row>
    <row r="5354">
      <c r="A5354">
        <f>=108596	 | Trojan.Win32.Generic.PC	 | 04ec7bf315d0301c28622cc8af71b8e5</f>
        <v/>
      </c>
    </row>
    <row r="5355">
      <c r="A5355">
        <f>=108597	 | Trojan.Win32.Toga.A	 | 0b6a0944c8395b5f7fe566c35b6e3dc8</f>
        <v/>
      </c>
    </row>
    <row r="5356">
      <c r="A5356">
        <f>=108601	 | Adware.Win32.MultiPlug.MHDF	 | 5ed1357a29e07b0fd88728609d502da9</f>
        <v/>
      </c>
    </row>
    <row r="5357">
      <c r="A5357">
        <f>=108602	 | Trojan.Win32.MalBehav.GELUO	 | 3472568ffd3c1b0668bde1116d047b35</f>
        <v/>
      </c>
    </row>
    <row r="5358">
      <c r="A5358">
        <f>=108606	 | Adware.Win32.ICLoader.O	 | 338306d730f843d9889eab749bc5bd49</f>
        <v/>
      </c>
    </row>
    <row r="5359">
      <c r="A5359">
        <f>=108607	 | Adware.Win32.ICLoader.P	 | 481c697b7c43fe6c8c7512ed0a504d41</f>
        <v/>
      </c>
    </row>
    <row r="5360">
      <c r="A5360">
        <f>=108608	 | Trojan.Win32.Kovter.A	 | ff3f16ca8d47d15196a029a6e37c4e79</f>
        <v/>
      </c>
    </row>
    <row r="5361">
      <c r="A5361">
        <f>=108609	 | Trojan.Win32.Rofin.A	 | 1ec6e7102cf2f72e15fb9f10b457daef</f>
        <v/>
      </c>
    </row>
    <row r="5362">
      <c r="A5362">
        <f>=108610	 | Trojan.Win32.StartPage.DB	 | 20110c2215fa9d5900fc8e90cb162d14</f>
        <v/>
      </c>
    </row>
    <row r="5363">
      <c r="A5363">
        <f>=108611	 | Worm.Win32.Koobface.A	 | 3ec2bdf74453d11acbe647667e9177d7</f>
        <v/>
      </c>
    </row>
    <row r="5364">
      <c r="A5364">
        <f>=108612	 | Adware.Win64.BrowseFox.A	 | c30dea4819402dd2322c4d8faf0771e4</f>
        <v/>
      </c>
    </row>
    <row r="5365">
      <c r="A5365">
        <f>=108614	 | Backdoor.Win32.Lotok.A	 | 57bd18f7f8a61d86680d2ceec961a89a</f>
        <v/>
      </c>
    </row>
    <row r="5366">
      <c r="A5366">
        <f>=108615	 | Trojan.Win32.Downloader.GGQ	 | b070e3b35074860ca68a41486677467b</f>
        <v/>
      </c>
    </row>
    <row r="5367">
      <c r="A5367">
        <f>=108616	 | Trojan.Win32.Downloader.GGR	 | 3fc91f85b0200bd00fd7b277f724b73a</f>
        <v/>
      </c>
    </row>
    <row r="5368">
      <c r="A5368">
        <f>=108618	 | Trojan.Win32.Softpulse.B	 | 17c362f77ef4f40252671f6340c59838</f>
        <v/>
      </c>
    </row>
    <row r="5369">
      <c r="A5369">
        <f>=108620	 | Ransom.Win32.AmnesiaE.A	 | 815f827cbedec5631f73178fd1ac9aa8</f>
        <v/>
      </c>
    </row>
    <row r="5370">
      <c r="A5370">
        <f>=108621	 | Adware.Win32.MultiPlug.MHDH	 | dddf824bdd50028ee1253685dea1d8bc</f>
        <v/>
      </c>
    </row>
    <row r="5371">
      <c r="A5371">
        <f>=108622	 | Adware.Win32.MultiPlug.MHDI	 | bcdd37a4c223ba2a62304d1fe70e2f71</f>
        <v/>
      </c>
    </row>
    <row r="5372">
      <c r="A5372">
        <f>=108624	 | Backdoor.Win32.Pcclient.V	 | ada9e746ffa65e2568c38b21ff49c097</f>
        <v/>
      </c>
    </row>
    <row r="5373">
      <c r="A5373">
        <f>=108625	 | Hackertool.Win32.AutoKMS.D	 | 889f2e441d0d879b0f8c50500cdb7cea</f>
        <v/>
      </c>
    </row>
    <row r="5374">
      <c r="A5374">
        <f>=108628	 | Trojan.Win32.CobaltStrike.B	 | 4b6560baa33a66011704e572edda4ac6</f>
        <v/>
      </c>
    </row>
    <row r="5375">
      <c r="A5375">
        <f>=108631	 | Trojan.Win64.CoinMiner.S	 | 99f89ef16db29820f6c025176eab7b03</f>
        <v/>
      </c>
    </row>
    <row r="5376">
      <c r="A5376">
        <f>=108632	 | Ransom.Win32.Thanos.A	 | e01e11dca5e8b08fc8231b1cb6e2048c</f>
        <v/>
      </c>
    </row>
    <row r="5377">
      <c r="A5377">
        <f>=108634	 | Adware.Win32.Installer.A	 | 1740f5cdc1704abf8c7b51cf5d589cec</f>
        <v/>
      </c>
    </row>
    <row r="5378">
      <c r="A5378">
        <f>=108636	 | Adware.Win32.SoftPulse.CHAY	 | 446c4b65dfbd718e0592476515b6fe88</f>
        <v/>
      </c>
    </row>
    <row r="5379">
      <c r="A5379">
        <f>=108638	 | Trojan.Win32.Generic.PD	 | 3c0d740347b0362331c882c2dee96dbf</f>
        <v/>
      </c>
    </row>
    <row r="5380">
      <c r="A5380">
        <f>=108641	 | Trojan.Win32.Downloader.GGS	 | f257945fe380a3bbd1419ab07cf074d0</f>
        <v/>
      </c>
    </row>
    <row r="5381">
      <c r="A5381">
        <f>=108647	 | Trojan.Win32.Generic.PE	 | 077f7cc9deb715915b063193793f38e1</f>
        <v/>
      </c>
    </row>
    <row r="5382">
      <c r="A5382">
        <f>=108648	 | Backdoor.Win32.Crysan.A	 | 761440bda18b113e242c976fba0e18b6</f>
        <v/>
      </c>
    </row>
    <row r="5383">
      <c r="A5383">
        <f>=108650	 | Trojan.Win32.Generic.PF	 | 7a807fb6e216caca90f65744fbb2b509</f>
        <v/>
      </c>
    </row>
    <row r="5384">
      <c r="A5384">
        <f>=108652	 | Trojan.Win32.Generic.PG	 | 36a383bb9c3c2afb3fc5cdd8d4fb9413</f>
        <v/>
      </c>
    </row>
    <row r="5385">
      <c r="A5385">
        <f>=108664	 | Backdoor.Win32.DarkKomet.E	 | 1745370cb700213ade0ccf0910cfc9f2</f>
        <v/>
      </c>
    </row>
    <row r="5386">
      <c r="A5386">
        <f>=108667	 | Trojan.Win32.Qakbot.AH	 | 04b1a2f7aff5fb42c850332c23c8d6d3</f>
        <v/>
      </c>
    </row>
    <row r="5387">
      <c r="A5387">
        <f>=108673	 | Hackertool.Win32.KillAV.A	 | 9ebbf12d4f848464ee7651be5eb2ada9</f>
        <v/>
      </c>
    </row>
    <row r="5388">
      <c r="A5388">
        <f>=108674	 | Trojan.Win32.Miner.A	 | c560be5fd3882a133e233239fcbf713a</f>
        <v/>
      </c>
    </row>
    <row r="5389">
      <c r="A5389">
        <f>=108675	 | Ransom.Win32.Generic.OH	 | 31da378ca181aac151ed7dec5a5ac990</f>
        <v/>
      </c>
    </row>
    <row r="5390">
      <c r="A5390">
        <f>=108676	 | Trojan.Win32.Qbot.M	 | 47ea6baf6d67035bc274e26107679ad5</f>
        <v/>
      </c>
    </row>
    <row r="5391">
      <c r="A5391">
        <f>=108678	 | Trojan.Win32.Generic.PH	 | 80e97dd8366b8a39776534340234b905</f>
        <v/>
      </c>
    </row>
    <row r="5392">
      <c r="A5392">
        <f>=108679	 | Worm.Win32.AutoRun.DR	 | eed5a60c141382c10a2856b2745e4623</f>
        <v/>
      </c>
    </row>
    <row r="5393">
      <c r="A5393">
        <f>=108680	 | Worm.Win32.Vobfus.EWVG	 | 316b31addffc34b803ed68360c5ee4de</f>
        <v/>
      </c>
    </row>
    <row r="5394">
      <c r="A5394">
        <f>=108681	 | Worm.Win32.Vobfus.EWVH	 | 316b31addffc34b803ed68360c5ee4de</f>
        <v/>
      </c>
    </row>
    <row r="5395">
      <c r="A5395">
        <f>=108682	 | Worm.Win32.AutoRun.DS	 | ecbc145b2b819f8c644be13a9cf35d2e</f>
        <v/>
      </c>
    </row>
    <row r="5396">
      <c r="A5396">
        <f>=108683	 | Trojan.Win32.Agent.XAANUS	 | fb5f0cfb577e62f1e419cae32e70126d</f>
        <v/>
      </c>
    </row>
    <row r="5397">
      <c r="A5397">
        <f>=108684	 | Worm.Win32.Autorun.DT	 | 02a0701b0f4ab9500b4db5aec1d63e65</f>
        <v/>
      </c>
    </row>
    <row r="5398">
      <c r="A5398">
        <f>=108686	 | Worm.Win32.Vobfus.EWVJ	 | fd2d457c8f3e53240ecfa8918684fff6</f>
        <v/>
      </c>
    </row>
    <row r="5399">
      <c r="A5399">
        <f>=108687	 | Worm.Win32.Vobfus.EWVK	 | ed8203ebf1203446a5a695fbe7d9b197</f>
        <v/>
      </c>
    </row>
    <row r="5400">
      <c r="A5400">
        <f>=108690	 | Trojan.Win32.Salgorea.H	 | edb280f82d39dee6a539a04f1c06a4ca</f>
        <v/>
      </c>
    </row>
    <row r="5401">
      <c r="A5401">
        <f>=108691	 | Trojan.Win32.Generic.PI	 | 41a03d5250237c3b53d213cc570ec19c</f>
        <v/>
      </c>
    </row>
    <row r="5402">
      <c r="A5402">
        <f>=108693	 | Worm.Win32.Vobfus.EWVL	 | e556197f9b5734c2b19048655cd1afd3</f>
        <v/>
      </c>
    </row>
    <row r="5403">
      <c r="A5403">
        <f>=108695	 | Trojan.Win32.Agensla.AA	 | 27f5fddeafad348a1d03ead40951140b</f>
        <v/>
      </c>
    </row>
    <row r="5404">
      <c r="A5404">
        <f>=108696	 | Trojan.Win32.Agensla.AB	 | e39bced242234186d3bed2b60ee574f0</f>
        <v/>
      </c>
    </row>
    <row r="5405">
      <c r="A5405">
        <f>=108697	 | Trojan.Win32.Agent.XAANUT	 | 86e3a83c79122edce51a5ca52ebc62e3</f>
        <v/>
      </c>
    </row>
    <row r="5406">
      <c r="A5406">
        <f>=108698	 | VirTool.Win32.Obfuscator.DU	 | c5a458169c66e630bd720a8030192bdb</f>
        <v/>
      </c>
    </row>
    <row r="5407">
      <c r="A5407">
        <f>=108699	 | VirTool.Win32.Obfuscator.DV	 | c5a458169c66e630bd720a8030192bdb</f>
        <v/>
      </c>
    </row>
    <row r="5408">
      <c r="A5408">
        <f>=108700	 | Trojan.Win32.Zenpak.O	 | fb71c812e8312a9fa21999277c018109</f>
        <v/>
      </c>
    </row>
    <row r="5409">
      <c r="A5409">
        <f>=108701	 | Trojan.Win32.Agensla.AC	 | 27f5fddeafad348a1d03ead40951140b</f>
        <v/>
      </c>
    </row>
    <row r="5410">
      <c r="A5410">
        <f>=108702	 | Backdoor.Win32.AveMaria.A	 | 2C9C6ECB0015541724B82433D31996EDC33B319F</f>
        <v/>
      </c>
    </row>
    <row r="5411">
      <c r="A5411">
        <f>=108703	 | Backdoor.Win32.Remcos.G	 | 933fd6315e05519a2b6ba9dbea17ff37</f>
        <v/>
      </c>
    </row>
    <row r="5412">
      <c r="A5412">
        <f>=108706	 | Ransom.Win32.Blocker.H	 | 1583fdc3e1df94dfb1a3103eba791f2e</f>
        <v/>
      </c>
    </row>
    <row r="5413">
      <c r="A5413">
        <f>=108707	 | Backdoor.Win32.Androm.GEV	 | 7d204135c78c327b6fb30aa3bdb32b59</f>
        <v/>
      </c>
    </row>
    <row r="5414">
      <c r="A5414">
        <f>=108709	 | Backdoor.Win64.CobaltStrike.A	 | 2e864e175955b44990255928e359b8ab</f>
        <v/>
      </c>
    </row>
    <row r="5415">
      <c r="A5415">
        <f>=108711	 | Trojan.Win32.Dropper.G	 | 3d235aa8f66ddeec5dc4268806c22229</f>
        <v/>
      </c>
    </row>
    <row r="5416">
      <c r="A5416">
        <f>=108712	 | Trojan.Win32.CoinMiner.AB	 | bebcc3c2b1f94093ee86fecbeeae7ac3</f>
        <v/>
      </c>
    </row>
    <row r="5417">
      <c r="A5417">
        <f>=108716	 | Trojan.Win32.Injector.GELVB	 | aaede7cf49eeaecad17a173f0403ac37</f>
        <v/>
      </c>
    </row>
    <row r="5418">
      <c r="A5418">
        <f>=108718	 | Trojan.Win32.JakyllHyde.A	 | 6423fd4c8be66e6adf95f62821b9b93c</f>
        <v/>
      </c>
    </row>
    <row r="5419">
      <c r="A5419">
        <f>=108719	 | Trojan.Win32.Generic.PJ	 | d8031f404c4937f52d038c7344dbeffb</f>
        <v/>
      </c>
    </row>
    <row r="5420">
      <c r="A5420">
        <f>=108720	 | Backdoor.Win32.CobaltStrike.A	 | f26dd9fdb91bc0aeeb85a7b7cc2e0965</f>
        <v/>
      </c>
    </row>
    <row r="5421">
      <c r="A5421">
        <f>=108721	 | Trojan.Win32.Agent.XAANUU	 | 2449a2a1a20c37b570a8f3ad3174ab64</f>
        <v/>
      </c>
    </row>
    <row r="5422">
      <c r="A5422">
        <f>=108727	 | Trojan.Win32.Ymacco.F	 | 809ff867d2cfe803ef4ae4102283b45c</f>
        <v/>
      </c>
    </row>
    <row r="5423">
      <c r="A5423">
        <f>=108728	 | Trojan.Win32.JakyllHyde.B	 | ae625c151814fcb5cd4f48329285665b</f>
        <v/>
      </c>
    </row>
    <row r="5424">
      <c r="A5424">
        <f>=108730	 | Ransom.Win32.Generic.OI	 | 77fa8fafc5dda8d10ae51e97eae0ce4e</f>
        <v/>
      </c>
    </row>
    <row r="5425">
      <c r="A5425">
        <f>=108731	 | Trojan.Win32.Generic.PK	 | 52c9f67648eceeeaacfb58432a673873</f>
        <v/>
      </c>
    </row>
    <row r="5426">
      <c r="A5426">
        <f>=108733	 | Trojan.Win32.Qbot.N	 | fdbd0989adf4e71b2f24859d89842332</f>
        <v/>
      </c>
    </row>
    <row r="5427">
      <c r="A5427">
        <f>=108734	 | Trojan.Win32.Qbot.O	 | f32a79f870230669d79add9c07860faa</f>
        <v/>
      </c>
    </row>
    <row r="5428">
      <c r="A5428">
        <f>=108735	 | Trojan.Win32.CryptoJoker.A	 | 13ff68dd7ae88a7759f05931d647c9a7</f>
        <v/>
      </c>
    </row>
    <row r="5429">
      <c r="A5429">
        <f>=108736	 | Trojan.Win32.CryptoJoker.B	 | 34239059a5da9e511b3df314efc2e9c7</f>
        <v/>
      </c>
    </row>
    <row r="5430">
      <c r="A5430">
        <f>=108737	 | Trojan.Win32.Qbot.P	 | ba78fe46bbe598823703299ce791a324</f>
        <v/>
      </c>
    </row>
    <row r="5431">
      <c r="A5431">
        <f>=108738	 | Trojan.Win32.MSILLoader.A	 | BA2858FF26FB3A2EB21D1F517674CB5D</f>
        <v/>
      </c>
    </row>
    <row r="5432">
      <c r="A5432">
        <f>=108739	 | Trojan.Win32.CryptoJoker.C	 | EB67A140753377AB058ADAC564334B94</f>
        <v/>
      </c>
    </row>
    <row r="5433">
      <c r="A5433">
        <f>=108742	 | Adware.Win32.BrowseFox.M	 | ec8d08e7a1577865dee8ad385ec5e6e6</f>
        <v/>
      </c>
    </row>
    <row r="5434">
      <c r="A5434">
        <f>=108744	 | Adware.Win32.ICLoader.Q	 | 7824e708f4a90a6cf0469cb19d896015</f>
        <v/>
      </c>
    </row>
    <row r="5435">
      <c r="A5435">
        <f>=108747	 | Adware.Win64.BrowseFox.B	 | ebde4038bc4ab1f22ea12358fe125715</f>
        <v/>
      </c>
    </row>
    <row r="5436">
      <c r="A5436">
        <f>=108748	 | Trojan.Win32.CryptoJoker.E	 | 303fc4b8693775d3b52b16a14fa6dd1d</f>
        <v/>
      </c>
    </row>
    <row r="5437">
      <c r="A5437">
        <f>=108750	 | Trojan.Win32.CryptoJoker.F	 | db7c4d812557f3d954023cd9e240af71</f>
        <v/>
      </c>
    </row>
    <row r="5438">
      <c r="A5438">
        <f>=108754	 | Trojan.Win32.Patched.J	 | 31fe65ccc0537cf044eef761a57f818d</f>
        <v/>
      </c>
    </row>
    <row r="5439">
      <c r="A5439">
        <f>=108756	 | Hackertool.Win32.CoinMiner.G	 | ef5f277bf9d0a4a283865fe0583081e0</f>
        <v/>
      </c>
    </row>
    <row r="5440">
      <c r="A5440">
        <f>=108757	 | Backdoor.Win32.Xaparo.B	 | 950c47402b3020ac142bbf955f7371ab</f>
        <v/>
      </c>
    </row>
    <row r="5441">
      <c r="A5441">
        <f>=108761	 | Trojan.Win32.Qbot.R	 | dfcd08392145c38c9d4f9882ab9c03b6</f>
        <v/>
      </c>
    </row>
    <row r="5442">
      <c r="A5442">
        <f>=108762	 | Trojan.Win32.Inject.GELVC	 | b13d8c427213fa2c2a770ae3fad81d71</f>
        <v/>
      </c>
    </row>
    <row r="5443">
      <c r="A5443">
        <f>=108769	 | Hackertool.Win32.Rubeus.A	 | 66e0681a500c726ed52e5ea9423d2654</f>
        <v/>
      </c>
    </row>
    <row r="5444">
      <c r="A5444">
        <f>=108770	 | Hackertool.Win64.Agent.A	 | 6a9a114928554c26675884eeb40cc01b</f>
        <v/>
      </c>
    </row>
    <row r="5445">
      <c r="A5445">
        <f>=108771	 | Hackertool.Win32.Menace.A	 | 66e0681a500c726ed52e5ea9423d2654</f>
        <v/>
      </c>
    </row>
    <row r="5446">
      <c r="A5446">
        <f>=108772	 | Trojan.Win32.Cobalt.A	 | 3fb9341fb11eca439b50121c6f7c59c7</f>
        <v/>
      </c>
    </row>
    <row r="5447">
      <c r="A5447">
        <f>=108774	 | Ransom.Win32.DoppelPaymer.A	 | 8c54bbe3f191a8627bfeeb4cb02634a9</f>
        <v/>
      </c>
    </row>
    <row r="5448">
      <c r="A5448">
        <f>=108776	 | Trojan.Win32.Meterpreter.W	 | 00944e3901e8df234bdef456888389fe</f>
        <v/>
      </c>
    </row>
    <row r="5449">
      <c r="A5449">
        <f>=108777	 | Hackertool.Win32.SharpHound3.A	 | 7748fd8d4294b0005d4d1ab6cf041461</f>
        <v/>
      </c>
    </row>
    <row r="5450">
      <c r="A5450">
        <f>=108778	 | Hackertool.Win32.Cestus.A	 | f9e2b1007c4752b808b8acb0060c12cb</f>
        <v/>
      </c>
    </row>
    <row r="5451">
      <c r="A5451">
        <f>=108779	 | Hackertool.Win32.SharpHound.A	 | 4997b818540e90aca36c910e9422009f</f>
        <v/>
      </c>
    </row>
    <row r="5452">
      <c r="A5452">
        <f>=108780	 | Hackertool.Win32.SharpHound.B	 | 55c2a8bd2cd2e882fa3ca9065de263a1</f>
        <v/>
      </c>
    </row>
    <row r="5453">
      <c r="A5453">
        <f>=108781	 | Hackertool.Win32.SharpHound.C	 | ce35a560faca8d2193e2f6fb1d5bbf84</f>
        <v/>
      </c>
    </row>
    <row r="5454">
      <c r="A5454">
        <f>=108782	 | Hackertool.Win32.SafeTykatz.A	 | 8bb9caac1d7df97c43ab283fd6704c2c</f>
        <v/>
      </c>
    </row>
    <row r="5455">
      <c r="A5455">
        <f>=108783	 | Hackertool.Win32.SafeTykatz.B	 | b78e37d0dea7370c95162f591ca7e5a0</f>
        <v/>
      </c>
    </row>
    <row r="5456">
      <c r="A5456">
        <f>=108784	 | Hackertool.Win32.SafeTykatz.C	 | fedc8c554106e8380987bed396136402</f>
        <v/>
      </c>
    </row>
    <row r="5457">
      <c r="A5457">
        <f>=108785	 | Hackertool.Win32.Rubeus.B	 | 0c7a7ff5442b5240e481f94d8e94306b</f>
        <v/>
      </c>
    </row>
    <row r="5458">
      <c r="A5458">
        <f>=108786	 | Hackertool.Win32.Rubeus.C	 | 17fcbb747fd75d2c4ad8fbe7cff458ac</f>
        <v/>
      </c>
    </row>
    <row r="5459">
      <c r="A5459">
        <f>=108787	 | Hackertool.Win32.Rubeus.D	 | c280980a8d9b104090f935778f7ff16d</f>
        <v/>
      </c>
    </row>
    <row r="5460">
      <c r="A5460">
        <f>=108788	 | Hackertool.Win32.Rubeus.E	 | d01a5bac93efd751471d2a251fe03d1f</f>
        <v/>
      </c>
    </row>
    <row r="5461">
      <c r="A5461">
        <f>=108789	 | Hackertool.Win32.Rubeus.F	 | dae087e18ea7ba404a6aaac56c51c6de</f>
        <v/>
      </c>
    </row>
    <row r="5462">
      <c r="A5462">
        <f>=108790	 | Hackertool.Win32.Rubeus.G	 | ed00e37b7f294a775fea7870c534b9bc</f>
        <v/>
      </c>
    </row>
    <row r="5463">
      <c r="A5463">
        <f>=108791	 | Hackertool.Win32.Rubeus.H	 | f1579433e33a0fb01b84ac6f46d23ce5</f>
        <v/>
      </c>
    </row>
    <row r="5464">
      <c r="A5464">
        <f>=108792	 | Hackertool.Win32.Rubeus.I	 | f7f5201ea25bd7872547d18fcd309ec3</f>
        <v/>
      </c>
    </row>
    <row r="5465">
      <c r="A5465">
        <f>=108793	 | Hackertool.Win32.Rubeus.J	 | fa4f1a53806ed122ab35edf8a190048c</f>
        <v/>
      </c>
    </row>
    <row r="5466">
      <c r="A5466">
        <f>=108794	 | Hackertool.Win32.Rubeus.K	 | 2439cc085aecc4b5e994d14fbff8d317</f>
        <v/>
      </c>
    </row>
    <row r="5467">
      <c r="A5467">
        <f>=108795	 | Hackertool.Win32.Rubeus.L	 | 39176c4f54ba908ac98150e54ab95f68</f>
        <v/>
      </c>
    </row>
    <row r="5468">
      <c r="A5468">
        <f>=108796	 | Hackertool.Win32.Rubeus.M	 | 3925eaf7944f5a000d781c32745e4ca3</f>
        <v/>
      </c>
    </row>
    <row r="5469">
      <c r="A5469">
        <f>=108797	 | Hackertool.Win32.Rubeus.N	 | 4917546cbfe983f87b5a4ed516f37913</f>
        <v/>
      </c>
    </row>
    <row r="5470">
      <c r="A5470">
        <f>=108798	 | Hackertool.Win32.Rubeus.O	 | 69e51ef01af747fbeeadd5944f829f5b</f>
        <v/>
      </c>
    </row>
    <row r="5471">
      <c r="A5471">
        <f>=108799	 | Hackertool.Win32.Rubeus.P	 | 8d1c1ea43d70713ddf1694336e0be4f5</f>
        <v/>
      </c>
    </row>
    <row r="5472">
      <c r="A5472">
        <f>=108800	 | Hackertool.Win32.Rubeus.Q	 | b188cec9b3b6d3ea2c51ee231a8a02d5</f>
        <v/>
      </c>
    </row>
    <row r="5473">
      <c r="A5473">
        <f>=108801	 | Hackertool.Win64.Rubeus.A	 | 7f3f4400d302db11b00f78f58b3efb9a</f>
        <v/>
      </c>
    </row>
    <row r="5474">
      <c r="A5474">
        <f>=108804	 | HackerTool.Win32.Fireeyetool.C	 | 37e88291c8b7106b0d02edb76fe58f22</f>
        <v/>
      </c>
    </row>
    <row r="5475">
      <c r="A5475">
        <f>=108805	 | HackerTool.Win32.Fireeyetool.D	 | 30b40f4c88cc0072f143c4123ffc2bbc</f>
        <v/>
      </c>
    </row>
    <row r="5476">
      <c r="A5476">
        <f>=108806	 | HackerTool.Win32.Fireeyetool.E	 | 30b40f4c88cc0072f143c4123ffc2bbc</f>
        <v/>
      </c>
    </row>
    <row r="5477">
      <c r="A5477">
        <f>=108807	 | Hackertool.Win32.Menace.B	 | d6a69f04e8747428f7dab5b03b50e7fa</f>
        <v/>
      </c>
    </row>
    <row r="5478">
      <c r="A5478">
        <f>=108808	 | Hackertool.Win32.Seatbelt.A	 | 2ab45bf1db2f0e797116b26248580704</f>
        <v/>
      </c>
    </row>
    <row r="5479">
      <c r="A5479">
        <f>=108809	 | Hackertool.Win32.Seatbelt.B	 | 3221d60cc531d6f56844f75d6fe8830e</f>
        <v/>
      </c>
    </row>
    <row r="5480">
      <c r="A5480">
        <f>=108810	 | Hackertool.Win32.Seatbelt.C	 | 3c48ac4312765b53133ffde4d67dd410</f>
        <v/>
      </c>
    </row>
    <row r="5481">
      <c r="A5481">
        <f>=108811	 | Hackertool.Win32.Seatbelt.D	 | 8028bb01477b32ff99b627d75444bd22</f>
        <v/>
      </c>
    </row>
    <row r="5482">
      <c r="A5482">
        <f>=108812	 | Hackertool.Win32.Seatbelt.E	 | dd85dd41958ff70542a5373c0bc949c8</f>
        <v/>
      </c>
    </row>
    <row r="5483">
      <c r="A5483">
        <f>=108813	 | Hackertool.Win32.Seatbelt.F	 | f7b9b2e1c9bf9f1eaa45ea3be915e581</f>
        <v/>
      </c>
    </row>
    <row r="5484">
      <c r="A5484">
        <f>=108817	 | Trojan.Win64.CobaltStrike.B	 | 30bcc1f9d19af235e8251cf3e02d6c4f</f>
        <v/>
      </c>
    </row>
    <row r="5485">
      <c r="A5485">
        <f>=108825	 | Hackertool.Win32.Portscan.A	 | b9946b76064be7fe24c135d52c26a1d2</f>
        <v/>
      </c>
    </row>
    <row r="5486">
      <c r="A5486">
        <f>=108834	 | Trojan.Win64.Meterpreter.I	 | 284ef528f138895e0ec1ba07f5482856</f>
        <v/>
      </c>
    </row>
    <row r="5487">
      <c r="A5487">
        <f>=108839	 | Trojan.Win32.Generic.PM	 | 34b72eeb3302599839c2bc2774bcacb1</f>
        <v/>
      </c>
    </row>
    <row r="5488">
      <c r="A5488">
        <f>=108840	 | Trojan.Win32.Swrort.A	 | 97ab07afcf042b859928ae2f8d713aa0</f>
        <v/>
      </c>
    </row>
    <row r="5489">
      <c r="A5489">
        <f>=108845	 | Trojan.Win64.TrickBot.D	 | 406c7180fdf423c0e99b72c45f175bf0</f>
        <v/>
      </c>
    </row>
    <row r="5490">
      <c r="A5490">
        <f>=108855	 | Trojan.Win32.ClipBanker.A	 | 3c12770819b2d930595e362ad113981b</f>
        <v/>
      </c>
    </row>
    <row r="5491">
      <c r="A5491">
        <f>=108867	 | Trojan.Win64.Generic.AT	 | 544c537d17d282c30d17759450fe1185</f>
        <v/>
      </c>
    </row>
    <row r="5492">
      <c r="A5492">
        <f>=108870	 | Trojan.Win32.Supernova.A	 | 56ceb6d0011d87b6e4d7023d7ef85676</f>
        <v/>
      </c>
    </row>
    <row r="5493">
      <c r="A5493">
        <f>=108904	 | Backdoor.Win32.Sunburst.C	 | b91ce2fa41029f6955bff20079468448</f>
        <v/>
      </c>
    </row>
    <row r="5494">
      <c r="A5494">
        <f>=108939	 | Trojan.Win32.Generic.PO	 | 053176238ba02c6359b33ab9cdc3cd56</f>
        <v/>
      </c>
    </row>
    <row r="5495">
      <c r="A5495">
        <f>=108940	 | Trojan.Win32.Generic.PP	 | b6e0e2200a7992c65f2fbb5ee1d89ee5</f>
        <v/>
      </c>
    </row>
    <row r="5496">
      <c r="A5496">
        <f>=108943	 | Backdoor.Win32.Sunburst.E	 | 846e27a652a5e1bfbd0ddd38a16dc865</f>
        <v/>
      </c>
    </row>
    <row r="5497">
      <c r="A5497">
        <f>=108946	 | Trojan.Win32.Cipfejlog.B	 | c3e52d1fb5d22115725c328d4c7599eb</f>
        <v/>
      </c>
    </row>
    <row r="5498">
      <c r="A5498">
        <f>=109321	 | Backdoor.Win32.Meterpreter.E	 | aa61318ea75ac67c91df3bc1d8db4ade</f>
        <v/>
      </c>
    </row>
    <row r="5499">
      <c r="A5499">
        <f>=109325	 | Backdoor.Win32.Meterpreter.F	 | 36faad66cdfad5b5edab5c3ae03d8b8d</f>
        <v/>
      </c>
    </row>
    <row r="5500">
      <c r="A5500">
        <f>=109331	 | Backdoor.Win32.Meterpreter.G	 | 2cc54482b427561dfe6897bed4ad8758</f>
        <v/>
      </c>
    </row>
    <row r="5501">
      <c r="A5501">
        <f>=109662	 | Trojan.Win32.Qbot.S	 | 7dff5c9bde5110d940da3062d35a8ff7</f>
        <v/>
      </c>
    </row>
    <row r="5502">
      <c r="A5502">
        <f>=109666	 | Backdoor.Win32.Sunburst.F	 | e18a6a21eb44e77ca8d739a72209c370</f>
        <v/>
      </c>
    </row>
    <row r="5503">
      <c r="A5503">
        <f>=109669	 | Backdoor.Win32.Sunburst.H	 | 2c4a910a1299cdae2a4e55988a2f102e</f>
        <v/>
      </c>
    </row>
    <row r="5504">
      <c r="A5504">
        <f>=109670	 | Trojan.Win64.Redflare.C	 | a9813ad9955e393f3726e2e1181ba57e</f>
        <v/>
      </c>
    </row>
    <row r="5505">
      <c r="A5505">
        <f>=109695	 | Trojan.Win32.Generic.PR	 | c2f9394ff0bc8e40116d56124d6b426e</f>
        <v/>
      </c>
    </row>
    <row r="5506">
      <c r="A5506">
        <f>=109708	 | Trojan.Win64.Trickbot.E	 | e2e6b73c933c284baaeb3b04df50cf03</f>
        <v/>
      </c>
    </row>
    <row r="5507">
      <c r="A5507">
        <f>=109713	 | Trojan.Win32.Generic.PS	 | 5684590e521b35c60a0f9310dc57fecb</f>
        <v/>
      </c>
    </row>
    <row r="5508">
      <c r="A5508">
        <f>=109723	 | Dropper.Win32.IronTiger.A	 | c5c05d63b9eba0bdc7553dfb46d1ac3a</f>
        <v/>
      </c>
    </row>
    <row r="5509">
      <c r="A5509">
        <f>=109724	 | Trojan.Win32.AgentTesla.K	 | 923ebe305831669cc2dbbd6af6a7c5c2</f>
        <v/>
      </c>
    </row>
    <row r="5510">
      <c r="A5510">
        <f>=109725	 | Trojan.Win32.Downloader.GGT	 | 1754b94b10aef6ed2601ff4180dc6963</f>
        <v/>
      </c>
    </row>
    <row r="5511">
      <c r="A5511">
        <f>=109726	 | Trojan.Win32.Generic.PT	 | bfebeece029e65f03a206d845cb91baf</f>
        <v/>
      </c>
    </row>
    <row r="5512">
      <c r="A5512">
        <f>=109730	 | Trojan.Win32.Generic.PU	 | 57ad80ba37dbdf6e0460b97888bacc7a</f>
        <v/>
      </c>
    </row>
    <row r="5513">
      <c r="A5513">
        <f>=109739	 | Ransom.Win32.Hospit.A	 | 1156ed0c860b16e1835030f95fc58e9e</f>
        <v/>
      </c>
    </row>
    <row r="5514">
      <c r="A5514">
        <f>=109747	 | Ransom.Win32.Phobos.K	 | c4c8e242b5025104c6f85cb2d2c6f355</f>
        <v/>
      </c>
    </row>
    <row r="5515">
      <c r="A5515">
        <f>=109748	 | Ransom.Win32.Makop.C	 | c4c8e242b5025104c6f85cb2d2c6f355</f>
        <v/>
      </c>
    </row>
    <row r="5516">
      <c r="A5516">
        <f>=109749	 | Adware.Win32.Ogimant.O	 | c20caf4e43578411a8c772a751b25f8f</f>
        <v/>
      </c>
    </row>
    <row r="5517">
      <c r="A5517">
        <f>=109750	 | Adware.Win64.Foxiebro.B	 | 36a60122f72b245d7813d23c3833ba37</f>
        <v/>
      </c>
    </row>
    <row r="5518">
      <c r="A5518">
        <f>=109751	 | Adware.Win32.Generic.HS	 | 053cd7568ee2203b59c67b917a8b35f3</f>
        <v/>
      </c>
    </row>
    <row r="5519">
      <c r="A5519">
        <f>=109752	 | Hackertool.Win64.CoinMiner.BCN	 | 2f77b9764f2e17fe23f3848b9baf399a</f>
        <v/>
      </c>
    </row>
    <row r="5520">
      <c r="A5520">
        <f>=109754	 | Ransom.Win32.Hospit.B	 | 26a294748b709fbf32412adcb8fabac9</f>
        <v/>
      </c>
    </row>
    <row r="5521">
      <c r="A5521">
        <f>=109755	 | Ransom.Win32.Rastar.A	 | d11377a3ead4ef5bb7489f6d8598ad01</f>
        <v/>
      </c>
    </row>
    <row r="5522">
      <c r="A5522">
        <f>=109756	 | Adware.Win32.BrowseFox.O	 | 76a2daba9e5decd86516a3e691d09523</f>
        <v/>
      </c>
    </row>
    <row r="5523">
      <c r="A5523">
        <f>=109757	 | Ransom.Win32.Makop.D	 | 1a317b457f6261d28d432ed5cb719d57</f>
        <v/>
      </c>
    </row>
    <row r="5524">
      <c r="A5524">
        <f>=109758	 | Adware.Win32.Adposhel.W	 | c1d0abdf3100669aed10b028fcc1b9b7</f>
        <v/>
      </c>
    </row>
    <row r="5525">
      <c r="A5525">
        <f>=109759	 | Trojan.Win32.Dinwod.UNN	 | 59f1d766dcc158f7657988a62289b375</f>
        <v/>
      </c>
    </row>
    <row r="5526">
      <c r="A5526">
        <f>=109760	 | VirTool.Win32.Generic.A	 | 8cf83b4db3b7d00540e1392759cfd124</f>
        <v/>
      </c>
    </row>
    <row r="5527">
      <c r="A5527">
        <f>=109761	 | Adware.Win32.Webatlta.A	 | a0675933b9e23bdb30737fb00c9c8ae1</f>
        <v/>
      </c>
    </row>
    <row r="5528">
      <c r="A5528">
        <f>=109762	 | Adware.Win32.SoftPulse.CHBA	 | a9375de913c1e433891aaf17f4f3ed0a</f>
        <v/>
      </c>
    </row>
    <row r="5529">
      <c r="A5529">
        <f>=109763	 | Adware.Win32.SoftPulse.CHBB	 | 487bb3ae292cc6c81050830c86d03399</f>
        <v/>
      </c>
    </row>
    <row r="5530">
      <c r="A5530">
        <f>=109764	 | Adware.Win32.MultiPlug.MHDL	 | cd3a52547953e2f2c97e7d54a045a69a</f>
        <v/>
      </c>
    </row>
    <row r="5531">
      <c r="A5531">
        <f>=109765	 | Trojan.Win32.CobaltStrike.C	 | 8f574385db536d6ab51a39100749758f</f>
        <v/>
      </c>
    </row>
    <row r="5532">
      <c r="A5532">
        <f>=109766	 | Trojan.Win32.CobaltStrike.D	 | 8f574385db536d6ab51a39100749758f</f>
        <v/>
      </c>
    </row>
    <row r="5533">
      <c r="A5533">
        <f>=109769	 | Trojan.Win32.Emotet.DBTUMXH	 | a0ab1ec713e03e744e0057e349b1a1f0</f>
        <v/>
      </c>
    </row>
    <row r="5534">
      <c r="A5534">
        <f>=109771	 | Trojan.Win32.CobaltStrike.F	 | 0f0811025e28b49052a887d919614d8b</f>
        <v/>
      </c>
    </row>
    <row r="5535">
      <c r="A5535">
        <f>=109772	 | Trojan.Win32.CobaltStrike.G	 | 0f0811025e28b49052a887d919614d8b</f>
        <v/>
      </c>
    </row>
    <row r="5536">
      <c r="A5536">
        <f>=109773	 | Worm.Win32.Allaple.AH	 | f6656c22c3672b8e2809219ae8af030a</f>
        <v/>
      </c>
    </row>
    <row r="5537">
      <c r="A5537">
        <f>=109774	 | Worm.Win32.Allaple.AI	 | f6656c22c3672b8e2809219ae8af030a</f>
        <v/>
      </c>
    </row>
    <row r="5538">
      <c r="A5538">
        <f>=109777	 | Worm.Win32.Conficker.AG	 | 35b3f4ad55e3cf32784ced7b0e035ebe</f>
        <v/>
      </c>
    </row>
    <row r="5539">
      <c r="A5539">
        <f>=109778	 | Adware.Win32.Firseria.D	 | 6261ff2c0d2ad9a867059eccd8bf59c2</f>
        <v/>
      </c>
    </row>
    <row r="5540">
      <c r="A5540">
        <f>=109780	 | Trojan.Win32.Generic.PV	 | aa505ca6759146499e6d197c99fe0b52</f>
        <v/>
      </c>
    </row>
    <row r="5541">
      <c r="A5541">
        <f>=109781	 | Trojan.Win32.Generic.PW	 | 6342d0802f959c54fd6dbc2d7130ffd9</f>
        <v/>
      </c>
    </row>
    <row r="5542">
      <c r="A5542">
        <f>=109782	 | Trojan.Win32.QHost.H	 | ffe0598637ed4f019f052891100c4550</f>
        <v/>
      </c>
    </row>
    <row r="5543">
      <c r="A5543">
        <f>=109783	 | Trojan.Win32.Generic.PX	 | 95158e71c00b3f80c9b5053e77d4b5f3</f>
        <v/>
      </c>
    </row>
    <row r="5544">
      <c r="A5544">
        <f>=109784	 | Trojan.Win64.Kovter.B	 | 3c2c114ffb01cf18bac5bc96a997b0aa</f>
        <v/>
      </c>
    </row>
    <row r="5545">
      <c r="A5545">
        <f>=109787	 | Trojan.Win32.CobaltStrike.H	 | F39346D4358D617E793994542D50BBF8</f>
        <v/>
      </c>
    </row>
    <row r="5546">
      <c r="A5546">
        <f>=109788	 | Trojan.Win32.Generic.PY	 | 642d73c85e6e79720a5ae7b82fc427c5</f>
        <v/>
      </c>
    </row>
    <row r="5547">
      <c r="A5547">
        <f>=109789	 | Trojan.Win64.CobaltStrike.C	 | B8E968A811EEF0528C316C12F9E09D1D</f>
        <v/>
      </c>
    </row>
    <row r="5548">
      <c r="A5548">
        <f>=109790	 | Trojan.Win64.CobaltStrike.D	 | 785B32E528C8782814E40DFBCFFBF09C</f>
        <v/>
      </c>
    </row>
    <row r="5549">
      <c r="A5549">
        <f>=109791	 | Backdoor.Win32.Generic.BBL	 | 030231d96234f06ae09ca18d621241e5</f>
        <v/>
      </c>
    </row>
    <row r="5550">
      <c r="A5550">
        <f>=109792	 | Backdoor.Win32.SysrvHello.A	 | cae2b58fc73551901a70465fa46ea23c</f>
        <v/>
      </c>
    </row>
    <row r="5551">
      <c r="A5551">
        <f>=109801	 | Trojan.Win32.Emotet.DBTUMXI	 | 41f2c440934d494ce7ee62124caafc10</f>
        <v/>
      </c>
    </row>
    <row r="5552">
      <c r="A5552">
        <f>=109898	 | Trojan.Win32.Generic.QA	 | 1474bd3eda2e087560754241a0b92991</f>
        <v/>
      </c>
    </row>
    <row r="5553">
      <c r="A5553">
        <f>=109899	 | Trojan.Win32.Mlxg.A	 | 25c59f546bd82d51394c92d1f2c5dcaa</f>
        <v/>
      </c>
    </row>
    <row r="5554">
      <c r="A5554">
        <f>=109905	 | Trojan.Win32.Emotet.DBTUMXJ	 | 12f5aef80a3699a201c7f04ae901f1d2</f>
        <v/>
      </c>
    </row>
    <row r="5555">
      <c r="A5555">
        <f>=109906	 | Trojan.Win32.Emotet.DBTUMXK	 | ef9841d085f2ccecf37f6dc99191397c</f>
        <v/>
      </c>
    </row>
    <row r="5556">
      <c r="A5556">
        <f>=109908	 | Trojan.Win32.Generic.QC	 | 9970c8f5242b14748bc0ca6a95067005</f>
        <v/>
      </c>
    </row>
    <row r="5557">
      <c r="A5557">
        <f>=109909	 | Trojan.Win32.Generic.QD	 | a94088c0440d365b28f3f2212c6cbf26</f>
        <v/>
      </c>
    </row>
    <row r="5558">
      <c r="A5558">
        <f>=109910	 | Trojan.Win32.Obfuscated.CB	 | 3c7bf48fa26ea79219da244ffd801983</f>
        <v/>
      </c>
    </row>
    <row r="5559">
      <c r="A5559">
        <f>=109911	 | Trojan.Win32.Obfuscated.B	 | f7b5dfc4b0e2bde0125fa76c065b7f35</f>
        <v/>
      </c>
    </row>
    <row r="5560">
      <c r="A5560">
        <f>=109913	 | Trojan.Win32.Obfuscated.CD	 | 36a87a0c4f4b07d43708aa812e7c356a</f>
        <v/>
      </c>
    </row>
    <row r="5561">
      <c r="A5561">
        <f>=109914	 | Trojan.Win64.Generic.AU	 | 5e2d89a98a64adde0a4b61569e516a0a</f>
        <v/>
      </c>
    </row>
    <row r="5562">
      <c r="A5562">
        <f>=109915	 | Trojan.Win64.Generic.AV	 | 86cc73574cb5acf0ed52ece308230791</f>
        <v/>
      </c>
    </row>
    <row r="5563">
      <c r="A5563">
        <f>=109917	 | Trojan.Win32.Crypt.BO	 | f5d6b575d5c043aeed6b95d6fdb19841</f>
        <v/>
      </c>
    </row>
    <row r="5564">
      <c r="A5564">
        <f>=109918	 | Trojan.Win32.Crypt.BP	 | f85430e8253345988cd4133e7cefd6cd</f>
        <v/>
      </c>
    </row>
    <row r="5565">
      <c r="A5565">
        <f>=109919	 | Trojan.Win32.Crypt.BQ	 | 9bd700cfabf222a7b8b835c922e7edd7</f>
        <v/>
      </c>
    </row>
    <row r="5566">
      <c r="A5566">
        <f>=109920	 | Trojan.Win32.Crypt.BR	 | 0b08d33da248e0d23da00fa894ef11f7</f>
        <v/>
      </c>
    </row>
    <row r="5567">
      <c r="A5567">
        <f>=109921	 | Trojan.Win32.Crypt.BS	 | a1e58e6079391af2de72d8dd96dd58f9</f>
        <v/>
      </c>
    </row>
    <row r="5568">
      <c r="A5568">
        <f>=109922	 | Trojan.Win32.Crypt.BT	 | 07d0ac932d199d282f12f5ee781fea35</f>
        <v/>
      </c>
    </row>
    <row r="5569">
      <c r="A5569">
        <f>=109923	 | Trojan.Win32.Crypt.BU	 | 1956c0c8766dc9223483c9d2da1b655c</f>
        <v/>
      </c>
    </row>
    <row r="5570">
      <c r="A5570">
        <f>=109924	 | Trojan.Win32.Crypt.BV	 | 054c141ed64631bfb74af810356a2837</f>
        <v/>
      </c>
    </row>
    <row r="5571">
      <c r="A5571">
        <f>=109925	 | Trojan.Win32.Crypt.BW	 | 06ab58ab052a46f5688845b577559b51</f>
        <v/>
      </c>
    </row>
    <row r="5572">
      <c r="A5572">
        <f>=109926	 | Trojan.Win32.Crypt.BX	 | 0577ed4f79200c769c1e6311d55c4380</f>
        <v/>
      </c>
    </row>
    <row r="5573">
      <c r="A5573">
        <f>=109927	 | Trojan.Win32.Crypt.BY	 | 166952cf5bd6bbccdaeb7636bd325806</f>
        <v/>
      </c>
    </row>
    <row r="5574">
      <c r="A5574">
        <f>=109928	 | Trojan.Win32.Crypt.CA	 | 02f304f56a3560142c761e5d3d24c6e2</f>
        <v/>
      </c>
    </row>
    <row r="5575">
      <c r="A5575">
        <f>=11003461	 | Vbs.Win32.Downloader.C	 | </f>
        <v/>
      </c>
    </row>
    <row r="5576">
      <c r="A5576">
        <f>=11003481	 | Js.Win32.CoinMiner.F	 | </f>
        <v/>
      </c>
    </row>
    <row r="5577">
      <c r="A5577">
        <f>=11003544	 | Js.Win32.Faceliker.H	 | 3e10d90a4a8a29dd75e26d4175b36d32</f>
        <v/>
      </c>
    </row>
    <row r="5578">
      <c r="A5578">
        <f>=11003597	 | Js.Win32.HideLink.C	 | 29ad2bc89db0890e159c6959d7173064</f>
        <v/>
      </c>
    </row>
    <row r="5579">
      <c r="A5579">
        <f>=11003605	 | Js.Win32.iframpacked.C	 | 160838d5f13fde4be31470b7f40cac34</f>
        <v/>
      </c>
    </row>
    <row r="5580">
      <c r="A5580">
        <f>=11003890	 | Js.Win32.FakeJSQuery.F	 | f36e03351f945b7eb5db22069a357a28</f>
        <v/>
      </c>
    </row>
    <row r="5581">
      <c r="A5581">
        <f>=11004006	 | Js.Win32.WSHideRun.A	 | 5520bcb599e9e5e6cadedeaf3767a68b</f>
        <v/>
      </c>
    </row>
    <row r="5582">
      <c r="A5582">
        <f>=11004012	 | Vbs.Win32.Dropper.A	 | bbf3746124f6a97c314cffd50828e86a</f>
        <v/>
      </c>
    </row>
    <row r="5583">
      <c r="A5583">
        <f>=11004016	 | Js.Win32.Downloader.K	 | 473523d4a4e0de3ced84f6507cfdd506</f>
        <v/>
      </c>
    </row>
    <row r="5584">
      <c r="A5584">
        <f>=11004068	 | Js.Win32.HideLink.I	 | ffa5dec817a1ef92983c93d80402c108</f>
        <v/>
      </c>
    </row>
    <row r="5585">
      <c r="A5585">
        <f>=11004137	 | Js.Win32.Iframe.E	 | d05b3c42ffe990001dcc44e93846c142</f>
        <v/>
      </c>
    </row>
    <row r="5586">
      <c r="A5586">
        <f>=11004139	 | Js.Win32.Iframe.G	 | 6bf31fbd83f58662182ff6efc0f03890</f>
        <v/>
      </c>
    </row>
    <row r="5587">
      <c r="A5587">
        <f>=11004170	 | Js.Win32.Nemucod.AB	 | cd36ff6e68db32b043079039a7310398</f>
        <v/>
      </c>
    </row>
    <row r="5588">
      <c r="A5588">
        <f>=11005519	 | Js.Win32.CoinHive.B	 | 3c920ebd3475934cdfee42abacc16cdc</f>
        <v/>
      </c>
    </row>
    <row r="5589">
      <c r="A5589">
        <f>=11005521	 | Js.Win32.CoinHive.D	 | eef29d65e65debe15c71c42ee1a68200</f>
        <v/>
      </c>
    </row>
    <row r="5590">
      <c r="A5590">
        <f>=11006405	 | Js.Win32.Downloader.W	 | 6e4f304e628b688e6288832291751745</f>
        <v/>
      </c>
    </row>
    <row r="5591">
      <c r="A5591">
        <f>=11006966	 | Html.Win32.IframeRef.I	 | 3f6148185dfe8f1ac965fb1b6e69c8b1</f>
        <v/>
      </c>
    </row>
    <row r="5592">
      <c r="A5592">
        <f>=11007798	 | Script.Win32.Blouiroet.A	 | 756b6353239874d64291e399584ac9e5</f>
        <v/>
      </c>
    </row>
    <row r="5593">
      <c r="A5593">
        <f>=11007972	 | Script.Win32.Emotet.A	 | 6c9f2f2d03185a4c3c246700acffc9cb</f>
        <v/>
      </c>
    </row>
    <row r="5594">
      <c r="A5594">
        <f>=11008852	 | Macro.Office.Downloader.DV	 | 46e109a17c6911b360657707f182f373</f>
        <v/>
      </c>
    </row>
    <row r="5595">
      <c r="A5595">
        <f>=11010646	 | Script.Win32.Redirector.D	 | eea983e95d99ab271b4e59efb53962e5</f>
        <v/>
      </c>
    </row>
    <row r="5596">
      <c r="A5596">
        <f>=11010693	 | Trojan.Win32.IframeRef.AE	 | 8a4871234b72078b2d2a741c675129b2</f>
        <v/>
      </c>
    </row>
    <row r="5597">
      <c r="A5597">
        <f>=11010709	 | Trojan.Win32.IframeRef.AU	 | 94dc1a4d9d8f0f8bc7978f13d85e4b6a</f>
        <v/>
      </c>
    </row>
    <row r="5598">
      <c r="A5598">
        <f>=11010711	 | Trojan.Win32.IframeRef.AW	 | 170fa6ed0bcbc3a1807bf59cf06210d6</f>
        <v/>
      </c>
    </row>
    <row r="5599">
      <c r="A5599">
        <f>=11010712	 | Trojan.Win32.IframeRef.AX	 | 000525bdf71d4c540fa2d567ed5501eb</f>
        <v/>
      </c>
    </row>
    <row r="5600">
      <c r="A5600">
        <f>=11010721	 | Trojan.Win32.IframeRef.BH	 | 18116f560436741feb2c0afa508fd563</f>
        <v/>
      </c>
    </row>
    <row r="5601">
      <c r="A5601">
        <f>=11010729	 | Trojan.Win32.IframeRef.BP	 | 05053688a1361a8da0fd1c69547fcc37</f>
        <v/>
      </c>
    </row>
    <row r="5602">
      <c r="A5602">
        <f>=11010740	 | Trojan.Win32.IframeRef.CB	 | de96aaa0ce0989b83079d583d0f691a2</f>
        <v/>
      </c>
    </row>
    <row r="5603">
      <c r="A5603">
        <f>=11010758	 | Html.Win32.Fujacks.E	 | 57c0429264b0c8d0d6c4dddfcf392403</f>
        <v/>
      </c>
    </row>
    <row r="5604">
      <c r="A5604">
        <f>=11010762	 | Trojan.Win32.IframeRef.CF	 | f134b98fbf28a47425ebcc32cbb1a230</f>
        <v/>
      </c>
    </row>
    <row r="5605">
      <c r="A5605">
        <f>=11010763	 | Trojan.Win32.IframeRef.CG	 | e4a7bbcea33474f65699e14c368c947b</f>
        <v/>
      </c>
    </row>
    <row r="5606">
      <c r="A5606">
        <f>=11011830	 | Script.Win32.CoinMiner.C	 | c9bf0286afd6d7c804377fe397c4b371</f>
        <v/>
      </c>
    </row>
    <row r="5607">
      <c r="A5607">
        <f>=11011913	 | Js.Win32.Mimikatz.Y	 | 25909ee805528f4636005eda8d5d6e0d</f>
        <v/>
      </c>
    </row>
    <row r="5608">
      <c r="A5608">
        <f>=11011930	 | Script.MacOS.SilverSparrow.A	 | 30c9bc7d40454e501c358f77449071aa</f>
        <v/>
      </c>
    </row>
    <row r="5609">
      <c r="A5609">
        <f>=11011965	 | Xml.Win32.Downloader.B	 | 3fc7ae9bbf760aa1f42a90696e953fee</f>
        <v/>
      </c>
    </row>
    <row r="5610">
      <c r="A5610">
        <f>=11012262	 | Backdoor.Win32.WebShell.AB	 | 08671efaead2b4072c7ca4542c66ca6b</f>
        <v/>
      </c>
    </row>
    <row r="5611">
      <c r="A5611">
        <f>=110345	 | Ransom.Win32.GlobeImposter.C	 | fd1d098226ddbae3a1668f06c6928d71</f>
        <v/>
      </c>
    </row>
    <row r="5612">
      <c r="A5612">
        <f>=110346	 | Ransom.Win32.GlobeImposter.D	 | fd1d098226ddbae3a1668f06c6928d71</f>
        <v/>
      </c>
    </row>
    <row r="5613">
      <c r="A5613">
        <f>=110347	 | Trojan.Win32.Emotet.DBTUMXL	 | 0a258f91c9ea82afb85a2d4eb1199f9b</f>
        <v/>
      </c>
    </row>
    <row r="5614">
      <c r="A5614">
        <f>=110350	 | Trojan.Win32.Gozi.C	 | 81a639a0d87b150bef88c1c698eb4d42</f>
        <v/>
      </c>
    </row>
    <row r="5615">
      <c r="A5615">
        <f>=110351	 | Backdoor.Win32.Qbot.A	 | 307797cbc7cb362a88bba12be1d88bd9</f>
        <v/>
      </c>
    </row>
    <row r="5616">
      <c r="A5616">
        <f>=110352	 | Trojan.Win32.Downloader.GGU	 | 5c3571c76038233d8bffc45e9c78be19</f>
        <v/>
      </c>
    </row>
    <row r="5617">
      <c r="A5617">
        <f>=110357	 | VirusOrg.Win32.Alman.A	 | 90b3be5dd6625c85bf97d1efbe871cd0</f>
        <v/>
      </c>
    </row>
    <row r="5618">
      <c r="A5618">
        <f>=110369	 | Trojan.Win32.Injector.GELVC	 | e175bd1b7b086b6f443a175ad110f709</f>
        <v/>
      </c>
    </row>
    <row r="5619">
      <c r="A5619">
        <f>=110370	 | RootKit.Win64.Mlxg.A	 | 5b51cd3eea1806ff4355728488346035</f>
        <v/>
      </c>
    </row>
    <row r="5620">
      <c r="A5620">
        <f>=110372	 | Trojan.Win64.Mlxg.A	 | fb063098983512efadbc06388357b5fb</f>
        <v/>
      </c>
    </row>
    <row r="5621">
      <c r="A5621">
        <f>=110376	 | Trojan.Win32.AutoRun.CI	 | 220a23f2002fac3be9ffde9eb1e71b82</f>
        <v/>
      </c>
    </row>
    <row r="5622">
      <c r="A5622">
        <f>=110377	 | Trojan.Win32.Generic.QE	 | 35b7a0f79503b76871978fd6d4c88744</f>
        <v/>
      </c>
    </row>
    <row r="5623">
      <c r="A5623">
        <f>=110382	 | VirusOrg.Win32.Viking.A	 | 563fc5b23da269e993cddeb6bd50c66f</f>
        <v/>
      </c>
    </row>
    <row r="5624">
      <c r="A5624">
        <f>=110384	 | Trojan.Win32.Emotet.DBTUMXM	 | 152029c3ea3297b98f97ca2c4ac42306</f>
        <v/>
      </c>
    </row>
    <row r="5625">
      <c r="A5625">
        <f>=110386	 | Trojan.Win32.Emotet.DBTUMXN	 | 47daad347cc060c18a649dbbf4fb666a</f>
        <v/>
      </c>
    </row>
    <row r="5626">
      <c r="A5626">
        <f>=110387	 | Ransom.Win32.GlobeImposter.E	 | c80eefa3ebe8ff9c0e92d3d55c552553</f>
        <v/>
      </c>
    </row>
    <row r="5627">
      <c r="A5627">
        <f>=110389	 | Trojan.Win32.Generic.QF	 | e0193b5e78b02c14f8d7b7e26b3a37ec</f>
        <v/>
      </c>
    </row>
    <row r="5628">
      <c r="A5628">
        <f>=110390	 | Trojan.Win32.Agent.XAAOLQ	 | 68710cff6064ceefa09781f9864352f8</f>
        <v/>
      </c>
    </row>
    <row r="5629">
      <c r="A5629">
        <f>=110391	 | Worm.Win32.Conficker.AH	 | d80241bbe4f555ad8d55be98c099d1eb</f>
        <v/>
      </c>
    </row>
    <row r="5630">
      <c r="A5630">
        <f>=110392	 | Trojan.Win32.Killav.AW	 | 883fdc960635814fd7d97f9f18aae180</f>
        <v/>
      </c>
    </row>
    <row r="5631">
      <c r="A5631">
        <f>=110393	 | Trojan.Win32.Starter.D	 | 2311710b4c97bf19c802b910f21dacca</f>
        <v/>
      </c>
    </row>
    <row r="5632">
      <c r="A5632">
        <f>=110398	 | Trojan.Win32.Loader.AB	 | bbe9ae35fe79b134cb54b4edf9cdd9f0</f>
        <v/>
      </c>
    </row>
    <row r="5633">
      <c r="A5633">
        <f>=110516	 | Adware.Win32.MultiPlug.MHDM	 | 9a7d9797eb76a62a2d6988adab3add0b</f>
        <v/>
      </c>
    </row>
    <row r="5634">
      <c r="A5634">
        <f>=110517	 | Worm.Win32.Allaple.AJ	 | c07092d6f2130f7f8490e68ab62f5cb5</f>
        <v/>
      </c>
    </row>
    <row r="5635">
      <c r="A5635">
        <f>=110520	 | Worm.Win32.Pondfull.A	 | 02746dbaa98f9bb1dacc9b53002a3ccf</f>
        <v/>
      </c>
    </row>
    <row r="5636">
      <c r="A5636">
        <f>=110521	 | Trojan.Win64.CoinMiner.T	 | 16281fc12d0f71527fc2756b3580200a</f>
        <v/>
      </c>
    </row>
    <row r="5637">
      <c r="A5637">
        <f>=110522	 | Trojan.Win32.Generic.QG	 | e0193b5e78b02c14f8d7b7e26b3a37ec</f>
        <v/>
      </c>
    </row>
    <row r="5638">
      <c r="A5638">
        <f>=110523	 | Trojan.Win64.CoinMiner.U	 | 5fd75a5d934edaeb2f997e5c9282bf94</f>
        <v/>
      </c>
    </row>
    <row r="5639">
      <c r="A5639">
        <f>=110524	 | Adware.Win32.Dlhelper.A	 | e415450d0c01de79af101ea6714bf01a</f>
        <v/>
      </c>
    </row>
    <row r="5640">
      <c r="A5640">
        <f>=110525	 | Adware.Win32.Generic.HT	 | def44c98e45750ff31a09cb48264aea8</f>
        <v/>
      </c>
    </row>
    <row r="5641">
      <c r="A5641">
        <f>=110526	 | Trojan.Win64.CoinMiner.V	 | 79313b61db9df5000c24fb8841011799</f>
        <v/>
      </c>
    </row>
    <row r="5642">
      <c r="A5642">
        <f>=110527	 | Backdoor.Win32.Barhera.A	 | fc918f7de8cf59014b7a1bbd81c9993c</f>
        <v/>
      </c>
    </row>
    <row r="5643">
      <c r="A5643">
        <f>=110528	 | Backdoor.Win32.Barhera.B	 | ff1f67039e88dba3af7b59c3fba94463</f>
        <v/>
      </c>
    </row>
    <row r="5644">
      <c r="A5644">
        <f>=110529	 | Backdoor.Win32.Bladabindi.BCN	 | bd78a73b4cdbaef1a0ba73f44dcdf3a6</f>
        <v/>
      </c>
    </row>
    <row r="5645">
      <c r="A5645">
        <f>=110530	 | Adware.Win32.Dowadmin.A	 | ebb83160e97ea11f46057a92f16e37ec</f>
        <v/>
      </c>
    </row>
    <row r="5646">
      <c r="A5646">
        <f>=110534	 | Adware.Win32.InstallBrain.E	 | d9425d440d222a50e82931d14fa03956</f>
        <v/>
      </c>
    </row>
    <row r="5647">
      <c r="A5647">
        <f>=110536	 | Adware.Win32.Downloader.T	 | d83097aef39cca6e370df19cdb5cf2d7</f>
        <v/>
      </c>
    </row>
    <row r="5648">
      <c r="A5648">
        <f>=110537	 | Trojan.Win32.Rovnix.A	 | 311b6ca20268e1f6b2e187ff876b7077</f>
        <v/>
      </c>
    </row>
    <row r="5649">
      <c r="A5649">
        <f>=110541	 | Adware.Win32.SoftPulse.CHBC	 | 026231ad902280124f9495d067a702b7</f>
        <v/>
      </c>
    </row>
    <row r="5650">
      <c r="A5650">
        <f>=110542	 | Adware.Win32.SoftPulse.CHBD	 | e47ecf25757da0b226d20830a73ea516</f>
        <v/>
      </c>
    </row>
    <row r="5651">
      <c r="A5651">
        <f>=110543	 | Adware.Win32.SoftPulse.CHBE	 | a275bb9fb5b310aef1c9b9892046bf29</f>
        <v/>
      </c>
    </row>
    <row r="5652">
      <c r="A5652">
        <f>=110545	 | Adware.Win32.BrowseFox.R	 | cd0ad1f0e45bbd2d2a51567f3a6cd8e4</f>
        <v/>
      </c>
    </row>
    <row r="5653">
      <c r="A5653">
        <f>=110548	 | Adware.Win32.Convagent.A	 | 80e243b8f1b05bcb6f5147faaf14181c</f>
        <v/>
      </c>
    </row>
    <row r="5654">
      <c r="A5654">
        <f>=110549	 | Adware.Win32.Convagent.B	 | c88057544c5cbde02ab564d347f66570</f>
        <v/>
      </c>
    </row>
    <row r="5655">
      <c r="A5655">
        <f>=110551	 | Worm.Win32.Gamarue.AI	 | ec4b74dc7ea3d09ad2141b1fcb6c0047</f>
        <v/>
      </c>
    </row>
    <row r="5656">
      <c r="A5656">
        <f>=110555	 | Adware.Win32.Aplugger.A	 | f17162f164cd6d890ad7af82cc67cbe2</f>
        <v/>
      </c>
    </row>
    <row r="5657">
      <c r="A5657">
        <f>=110556	 | Adware.Win32.SoftPulse.CHBF	 | 048f23cd0f5722bab93cf3362057f94f</f>
        <v/>
      </c>
    </row>
    <row r="5658">
      <c r="A5658">
        <f>=110557	 | Adware.Win32.SoftPulse.CHBG	 | d0e5cbfc95d871649e65318df178171d</f>
        <v/>
      </c>
    </row>
    <row r="5659">
      <c r="A5659">
        <f>=110558	 | Adware.Win32.Ogimant.P	 | 26fc124546e0a130377fbaaa9a45f588</f>
        <v/>
      </c>
    </row>
    <row r="5660">
      <c r="A5660">
        <f>=110559	 | Adware.Win32.Ogimant.Q	 | 7cce3bcac03c21d2bfab27e909502475</f>
        <v/>
      </c>
    </row>
    <row r="5661">
      <c r="A5661">
        <f>=110560	 | Adware.Win32.SoftPulse.CHBH	 | ab01c73e05412d00b2357515bafd7994</f>
        <v/>
      </c>
    </row>
    <row r="5662">
      <c r="A5662">
        <f>=110562	 | Trojan.Win32.Generic.QH	 | 2f2ee514dde275c66b44997a329a8dd8</f>
        <v/>
      </c>
    </row>
    <row r="5663">
      <c r="A5663">
        <f>=110563	 | Adware.Win32.StartSurf.H	 | 80faebc5c2519eb4145e601301170ca8</f>
        <v/>
      </c>
    </row>
    <row r="5664">
      <c r="A5664">
        <f>=110564	 | Trojan.Win32.Generic.QI	 | EC97834668B7580547F1AE0F9F60D212</f>
        <v/>
      </c>
    </row>
    <row r="5665">
      <c r="A5665">
        <f>=110567	 | Adware.Win32.SmallTreePDF.A	 | 0ddc2456cb4a90484f6b3a1fcdfec55d</f>
        <v/>
      </c>
    </row>
    <row r="5666">
      <c r="A5666">
        <f>=110569	 | Hackertool.Win32.AutoKms.F	 | a93c182d8729e282a23f70e7a8906327</f>
        <v/>
      </c>
    </row>
    <row r="5667">
      <c r="A5667">
        <f>=110574	 | Trojan.Win32.Ekstak.H	 | 53361e09eca85a697acfdbd63e56c069</f>
        <v/>
      </c>
    </row>
    <row r="5668">
      <c r="A5668">
        <f>=110575	 | Hackertool.Win32.AutoKms.G	 | 9228283a8e0640c362a2f644dbdf60ec</f>
        <v/>
      </c>
    </row>
    <row r="5669">
      <c r="A5669">
        <f>=110576	 | Trojan.Win32.Ekstak.I	 | 2a0375148116de0ea1b080516c9c2c3a</f>
        <v/>
      </c>
    </row>
    <row r="5670">
      <c r="A5670">
        <f>=110577	 | Trojan.Win32.Generic.QJ	 | 47ebfd28ae82210e0f96d23516b86954</f>
        <v/>
      </c>
    </row>
    <row r="5671">
      <c r="A5671">
        <f>=110578	 | Hackertool.Win32.AutoKms.H	 | e844222a7b24bcef0e74212144a0fdb1</f>
        <v/>
      </c>
    </row>
    <row r="5672">
      <c r="A5672">
        <f>=110580	 | Trojan.Win32.Generic.QK	 | 0bd0b448c956a27c1859879baa81dc1d</f>
        <v/>
      </c>
    </row>
    <row r="5673">
      <c r="A5673">
        <f>=110583	 | Trojan.Win32.Emotet.DBTUMXO	 | 0932adceea2965c2a2d3b399fb38edd1</f>
        <v/>
      </c>
    </row>
    <row r="5674">
      <c r="A5674">
        <f>=110584	 | Trojan.Win32.Qakbot.AI	 | c3645c605db8cbae5e2695009fc437cd</f>
        <v/>
      </c>
    </row>
    <row r="5675">
      <c r="A5675">
        <f>=110585	 | Trojan.Win32.Fake.BCP	 | 0587f6a28a7216a8c3f652ef395e7aa5</f>
        <v/>
      </c>
    </row>
    <row r="5676">
      <c r="A5676">
        <f>=110586	 | Trojan.Win32.Salgorea.I	 | 3c461a879c082d2f8ac7e57176d52b05</f>
        <v/>
      </c>
    </row>
    <row r="5677">
      <c r="A5677">
        <f>=110587	 | Trojan.Win32.Generic.QL	 | 3d3bc645240e8ecc488913d71639f260</f>
        <v/>
      </c>
    </row>
    <row r="5678">
      <c r="A5678">
        <f>=110588	 | Trojan.Win32.Obfuscator.Y	 | f55a82b9dca9248acc06900f1146b7ca</f>
        <v/>
      </c>
    </row>
    <row r="5679">
      <c r="A5679">
        <f>=110589	 | Trojan.Win32.Sdum.C	 | eff950d009a781f998e2a8732c78fb99</f>
        <v/>
      </c>
    </row>
    <row r="5680">
      <c r="A5680">
        <f>=110590	 | Trojan.Win32.Sdum.D	 | 3a8fa766eb875e35ce947c8c16ed29c3</f>
        <v/>
      </c>
    </row>
    <row r="5681">
      <c r="A5681">
        <f>=110591	 | Worm.Win32.Obfuscator.A	 | 147ab546984c08eb5cf73e0035709d79</f>
        <v/>
      </c>
    </row>
    <row r="5682">
      <c r="A5682">
        <f>=110592	 | Backdoor.Win32.Emotet.Q	 | d30ae94175280921f542a89b8ef69622</f>
        <v/>
      </c>
    </row>
    <row r="5683">
      <c r="A5683">
        <f>=110593	 | Trojan.Win32.Fuerboos.M	 | d86ee0a46fb0fcebb8104dd71d92814d</f>
        <v/>
      </c>
    </row>
    <row r="5684">
      <c r="A5684">
        <f>=110594	 | Trojan.Win32.Generic.QM	 | 3386151049ac4e4ddf62bec4bd4491c7</f>
        <v/>
      </c>
    </row>
    <row r="5685">
      <c r="A5685">
        <f>=110596	 | VirTool.Win32.VBInject.B	 | b36bac8251890a459fca7da5fd0e6a81</f>
        <v/>
      </c>
    </row>
    <row r="5686">
      <c r="A5686">
        <f>=110597	 | Backdoor.Win32.Bladbindi.A	 | 530a9a39714fdad1f75b63a12ae15c38</f>
        <v/>
      </c>
    </row>
    <row r="5687">
      <c r="A5687">
        <f>=110598	 | Trojan.Win32.Salgorea.J	 | b60f2041be7e2eb19546afc2c2179d74</f>
        <v/>
      </c>
    </row>
    <row r="5688">
      <c r="A5688">
        <f>=110599	 | Backdoor.Win32.Qakbot.A	 | 06967bebf3494ccfc6f8e9f280a8867e</f>
        <v/>
      </c>
    </row>
    <row r="5689">
      <c r="A5689">
        <f>=110600	 | Trojan.Win32.Emotet.DBTUMXP	 | d7cf210cdc95b7dbf7dff1e2b0957ded</f>
        <v/>
      </c>
    </row>
    <row r="5690">
      <c r="A5690">
        <f>=110601	 | Hackertool.Win64.Mimikatz.A	 | 736c963c78ed5b4587f36ca6f70dfbcb</f>
        <v/>
      </c>
    </row>
    <row r="5691">
      <c r="A5691">
        <f>=110602	 | Hackertool.Win64.Mimikatz.B	 | 27384ec4c634701012a2962c30badad2</f>
        <v/>
      </c>
    </row>
    <row r="5692">
      <c r="A5692">
        <f>=110603	 | Hackertool.Win64.Mimikatz.C	 | 21ea77788aa2649614c9ec739f1dd1b8</f>
        <v/>
      </c>
    </row>
    <row r="5693">
      <c r="A5693">
        <f>=110605	 | Backdoor.Win32.Qakbot.B	 | ce9631a8c19f53a92733cc238ebfdc58</f>
        <v/>
      </c>
    </row>
    <row r="5694">
      <c r="A5694">
        <f>=110606	 | Hackertool.Win64.Mimikatz.E	 | 1f144fbac22eb41b591aa2cf6193607a</f>
        <v/>
      </c>
    </row>
    <row r="5695">
      <c r="A5695">
        <f>=110608	 | Trojan.Win32.Emotet.DBTUMXQ	 | 7e463a6c6d43395ce23d6fa8dad96524</f>
        <v/>
      </c>
    </row>
    <row r="5696">
      <c r="A5696">
        <f>=110612	 | Worm.Win32.Obfuscator.B	 | ba70a90a0f3bff3c6450ee5988bbfbd0</f>
        <v/>
      </c>
    </row>
    <row r="5697">
      <c r="A5697">
        <f>=110613	 | Worm.Win32.Obfuscator.C	 | 237fbd551c680fc3f3ba4306093d8fb6</f>
        <v/>
      </c>
    </row>
    <row r="5698">
      <c r="A5698">
        <f>=110614	 | Trojan.Win32.Obfuscator.AA	 | 04e5dfdef1b3efbe04a5c4f88224ea87</f>
        <v/>
      </c>
    </row>
    <row r="5699">
      <c r="A5699">
        <f>=110615	 | Adware.Win32.Adposhel.X	 | 21444403c7c10ba4b0a31beea9ce59f8</f>
        <v/>
      </c>
    </row>
    <row r="5700">
      <c r="A5700">
        <f>=110616	 | Trojan.Win32.Obfuscator.AB	 | 0739c8b902eb6b89666d31b744eeb90e</f>
        <v/>
      </c>
    </row>
    <row r="5701">
      <c r="A5701">
        <f>=110619	 | Adware.Win32.Generic.HV	 | d8e283d6980224021fbab5114c4db0eb</f>
        <v/>
      </c>
    </row>
    <row r="5702">
      <c r="A5702">
        <f>=110620	 | Worm.Win32.Vobfus.EWVN	 | 3ad80d5313f1e25b2ba4f850af05a544</f>
        <v/>
      </c>
    </row>
    <row r="5703">
      <c r="A5703">
        <f>=110621	 | Worm.Win32.Vobfus.EWVO	 | 3ad80d5313f1e25b2ba4f850af05a544</f>
        <v/>
      </c>
    </row>
    <row r="5704">
      <c r="A5704">
        <f>=110622	 | Worm.Win32.Vobfus.EWVP	 | 0fcdbacc66f89815bcd6c50876231a80</f>
        <v/>
      </c>
    </row>
    <row r="5705">
      <c r="A5705">
        <f>=110623	 | Trojan.Win32.Generic.QR	 | 18b64041e38cc77269e1cda30552be1a</f>
        <v/>
      </c>
    </row>
    <row r="5706">
      <c r="A5706">
        <f>=110627	 | VirTool.Win32.VBInject.C	 | 13aa1a64b7d7dad73cc8e622ec4c5dc6</f>
        <v/>
      </c>
    </row>
    <row r="5707">
      <c r="A5707">
        <f>=110628	 | VirTool.Win32.VBInject.D	 | 003e5f0a945148e87bac2761e47d7259</f>
        <v/>
      </c>
    </row>
    <row r="5708">
      <c r="A5708">
        <f>=110629	 | VirTool.Win32.VBInject.E	 | 0cbc073f133e6fb6797e180e0d77f041</f>
        <v/>
      </c>
    </row>
    <row r="5709">
      <c r="A5709">
        <f>=110630	 | Worm.Win32.Vobfus.EWVQ	 | 0f04e806291ac3fa81858baa0f2600ec</f>
        <v/>
      </c>
    </row>
    <row r="5710">
      <c r="A5710">
        <f>=110636	 | Trojan.Win32.Generic.QS	 | d4cad7c9174073368e24b13254e8f1d6</f>
        <v/>
      </c>
    </row>
    <row r="5711">
      <c r="A5711">
        <f>=110637	 | Trojan.Win32.Generic.QT	 | a977b1dff93c0ca08124f12a5a89314a</f>
        <v/>
      </c>
    </row>
    <row r="5712">
      <c r="A5712">
        <f>=110663	 | Trojan.Win32.Generic.QV	 | 87958bf3ef98af0c9806c723124e22a4</f>
        <v/>
      </c>
    </row>
    <row r="5713">
      <c r="A5713">
        <f>=110664	 | Trojan.Win64.Generic.AW	 | f4b524f49c545b06293fec639b74c7ad</f>
        <v/>
      </c>
    </row>
    <row r="5714">
      <c r="A5714">
        <f>=110745	 | Adware.Win32.MemoryDll.C	 | 830c76f5a32f7ebeaa69d8735681772d</f>
        <v/>
      </c>
    </row>
    <row r="5715">
      <c r="A5715">
        <f>=111575	 | Trojan.Win32.Generic.QW	 | 3452471158ed7e6bde3d66141b08cea4</f>
        <v/>
      </c>
    </row>
    <row r="5716">
      <c r="A5716">
        <f>=111576	 | Worm.Win32.Autorun.DU	 | 0b48c8753db4b74a3e556deed01e9296</f>
        <v/>
      </c>
    </row>
    <row r="5717">
      <c r="A5717">
        <f>=111578	 | Ransom.Win32.BalaClava.B	 | 32be90160ddd2e608ba970a9f5593c94</f>
        <v/>
      </c>
    </row>
    <row r="5718">
      <c r="A5718">
        <f>=111581	 | Trojan.Win64.Meterpreter.J	 | 8aa1cd996854440b5ec1136b0778de5b</f>
        <v/>
      </c>
    </row>
    <row r="5719">
      <c r="A5719">
        <f>=111582	 | Backdoor.Win32.CobaltStrike.C	 | 5B19AF41274E65BC2C599DB96AF76A9F</f>
        <v/>
      </c>
    </row>
    <row r="5720">
      <c r="A5720">
        <f>=111586	 | Backdoor.Win64.CobaltStrike.D	 | FF339567155FC9C8D2DF7734E07DA99B</f>
        <v/>
      </c>
    </row>
    <row r="5721">
      <c r="A5721">
        <f>=111587	 | Backdoor.Win32.CobaltStrike.E	 | 4BF6819B0554FAC36ED5226833F6940B</f>
        <v/>
      </c>
    </row>
    <row r="5722">
      <c r="A5722">
        <f>=111588	 | Backdoor.Win64.CobaltStrike.E	 | 3FA1324357B0F261994C1B98B1AEF7D9</f>
        <v/>
      </c>
    </row>
    <row r="5723">
      <c r="A5723">
        <f>=111589	 | HackerTool.Win64.WinCred.B	 | 5d345283c9bfbbc8ce053bab81dcd0c7</f>
        <v/>
      </c>
    </row>
    <row r="5724">
      <c r="A5724">
        <f>=111590	 | Backdoor.Win32.Rescoms.A	 | 48E27626AB41E8569405546360700546</f>
        <v/>
      </c>
    </row>
    <row r="5725">
      <c r="A5725">
        <f>=111592	 | Trojan.Win32.Generic.QX	 | 5dd0321da7b024d304f0117960c1ade6</f>
        <v/>
      </c>
    </row>
    <row r="5726">
      <c r="A5726">
        <f>=111593	 | Trojan.Win32.Generic.QY	 | b4e4707a23708f436b481a0ebcbaa849</f>
        <v/>
      </c>
    </row>
    <row r="5727">
      <c r="A5727">
        <f>=111594	 | Trojan.Win32.Generic.RA	 | 2d16a87edb0efdb029efc82865e33206</f>
        <v/>
      </c>
    </row>
    <row r="5728">
      <c r="A5728">
        <f>=111596	 | Trojan.Win32.Generic.RB	 | acecef19165c2673078cf73ea0cf1ed8</f>
        <v/>
      </c>
    </row>
    <row r="5729">
      <c r="A5729">
        <f>=111597	 | VirTool.Win32.VBInject.F	 | d638792dad7c93d9129f4a20fdaf901c</f>
        <v/>
      </c>
    </row>
    <row r="5730">
      <c r="A5730">
        <f>=111599	 | Trojan.Win64.CoinMiner.W	 | 872b0eb5eac212bb34a4e60f50441838</f>
        <v/>
      </c>
    </row>
    <row r="5731">
      <c r="A5731">
        <f>=111600	 | Worm.Win32.Autorun.DV	 | e00feb1c494a7563b8e3d0b07995e910</f>
        <v/>
      </c>
    </row>
    <row r="5732">
      <c r="A5732">
        <f>=111601	 | Trojan.Win32.Cenjonsla.A	 | d40558240d00e1729547830c074248dc</f>
        <v/>
      </c>
    </row>
    <row r="5733">
      <c r="A5733">
        <f>=111602	 | VirTool.Win32.CeeInject.A	 | c5c302a1d1ae07bb51eec8b3f3d6fb72</f>
        <v/>
      </c>
    </row>
    <row r="5734">
      <c r="A5734">
        <f>=111603	 | Trojan.Win64.CoinMiner.X	 | 9179759d957e9dad790dae37b6eac554</f>
        <v/>
      </c>
    </row>
    <row r="5735">
      <c r="A5735">
        <f>=111605	 | Trojan.Win32.CoinMiner.AC	 | 1e933d1e3bb14a7564835bff1bf3f030</f>
        <v/>
      </c>
    </row>
    <row r="5736">
      <c r="A5736">
        <f>=111606	 | Backdoor.Win32.Infector.A	 | a2a326d9b6cdaf7a15c724c9a19a847d</f>
        <v/>
      </c>
    </row>
    <row r="5737">
      <c r="A5737">
        <f>=111608	 | Hackertool.Win32.Generic.D	 | 319939953f9efec915ce240e55f1e02a</f>
        <v/>
      </c>
    </row>
    <row r="5738">
      <c r="A5738">
        <f>=111609	 | Ransom.Win32.Foreign.D	 | a14766a75ced5eeb70ffe0a04bfaf79d</f>
        <v/>
      </c>
    </row>
    <row r="5739">
      <c r="A5739">
        <f>=111610	 | Trojan.Win32.Generic.RC	 | 88e2aaec3c02426845b5e51c7328fa7c</f>
        <v/>
      </c>
    </row>
    <row r="5740">
      <c r="A5740">
        <f>=111611	 | Backdoor.Win32.Agent.GES	 | 825eb430931670ba7a99c9a0b59bacee</f>
        <v/>
      </c>
    </row>
    <row r="5741">
      <c r="A5741">
        <f>=111613	 | VirTool.Win32.CryptInject.B	 | 9d9982f84c29d0ae167c1d17efa8f95e</f>
        <v/>
      </c>
    </row>
    <row r="5742">
      <c r="A5742">
        <f>=111615	 | Trojan.Win32.FakeSysdef.A	 | ff1ecb1d9f4eb3f5bad904724b37acb5</f>
        <v/>
      </c>
    </row>
    <row r="5743">
      <c r="A5743">
        <f>=111622	 | Trojan.Win64.CobaltStrike.E	 | f2e8594cbbb75b0beca727f297754904</f>
        <v/>
      </c>
    </row>
    <row r="5744">
      <c r="A5744">
        <f>=111623	 | Backdoor.Win32.CobaltStrike.F	 | 5B19AF41274E65BC2C599DB96AF76A9F</f>
        <v/>
      </c>
    </row>
    <row r="5745">
      <c r="A5745">
        <f>=111624	 | Backdoor.Win64.CobaltStrike.F	 | FF339567155FC9C8D2DF7734E07DA99B</f>
        <v/>
      </c>
    </row>
    <row r="5746">
      <c r="A5746">
        <f>=111625	 | Backdoor.Win32.CobaltStrike.G	 | 4BF6819B0554FAC36ED5226833F6940B</f>
        <v/>
      </c>
    </row>
    <row r="5747">
      <c r="A5747">
        <f>=111626	 | Backdoor.Win64.CobaltStrike.G	 | 3FA1324357B0F261994C1B98B1AEF7D9</f>
        <v/>
      </c>
    </row>
    <row r="5748">
      <c r="A5748">
        <f>=111637	 | Trojan.Win32.CobaltStrike.K	 | 0b20748b6884c810a5069a826fce455c</f>
        <v/>
      </c>
    </row>
    <row r="5749">
      <c r="A5749">
        <f>=111638	 | Trojan.Win32.CobaltStrike.L	 | 783bf54ddc19f86550e647ed25c00bb1</f>
        <v/>
      </c>
    </row>
    <row r="5750">
      <c r="A5750">
        <f>=111639	 | Trojan.Win32.CobaltStrike.M	 | 471102aab4a4653047abf6fca637b3b7</f>
        <v/>
      </c>
    </row>
    <row r="5751">
      <c r="A5751">
        <f>=111640	 | Trojan.Win32.CobaltStrike.N	 | 047c0659a7e0099edd46819795ea5229</f>
        <v/>
      </c>
    </row>
    <row r="5752">
      <c r="A5752">
        <f>=111641	 | Trojan.Win64.CobaltStrike.F	 | d71d70ab3df7f06fa98d931a60efa3cd</f>
        <v/>
      </c>
    </row>
    <row r="5753">
      <c r="A5753">
        <f>=111642	 | Trojan.Win64.CobaltStrike.G	 | 6a896d430505e5d6bc8d3efdd7a443b9</f>
        <v/>
      </c>
    </row>
    <row r="5754">
      <c r="A5754">
        <f>=111643	 | Trojan.Win64.CobaltStrike.H	 | b847d558fd83e0cb825fdb3ff13f46b9</f>
        <v/>
      </c>
    </row>
    <row r="5755">
      <c r="A5755">
        <f>=111644	 | Trojan.Win32.Generic.RE	 | 3318296fa904be6a3bad1df273d290db</f>
        <v/>
      </c>
    </row>
    <row r="5756">
      <c r="A5756">
        <f>=111645	 | Trojan.Win32.Exploit.A	 | f331885c97a1dbe640e6384081997398</f>
        <v/>
      </c>
    </row>
    <row r="5757">
      <c r="A5757">
        <f>=111646	 | Hackertool.Win32.AutoKms.K	 | f15c15d2d2a29bc84c6da752a1d403a9</f>
        <v/>
      </c>
    </row>
    <row r="5758">
      <c r="A5758">
        <f>=111649	 | Trojan.Win32.Zegost.D	 | d67b777619bd4eb1eaae74f1b2a91706</f>
        <v/>
      </c>
    </row>
    <row r="5759">
      <c r="A5759">
        <f>=111654	 | Trojan.Win32.Qadars.A	 | 2c0bc2857b194802c630d285094ccc4e</f>
        <v/>
      </c>
    </row>
    <row r="5760">
      <c r="A5760">
        <f>=111655	 | Trojan.Win32.Qadars.B	 | 9d5e03e5617055911fb6998fca40b2b7</f>
        <v/>
      </c>
    </row>
    <row r="5761">
      <c r="A5761">
        <f>=111656	 | Backdoor.Win32.CobaltStrike.H	 | 5B19AF41274E65BC2C599DB96AF76A9F</f>
        <v/>
      </c>
    </row>
    <row r="5762">
      <c r="A5762">
        <f>=111657	 | Backdoor.Win64.CobaltStrike.H	 | FF339567155FC9C8D2DF7734E07DA99B</f>
        <v/>
      </c>
    </row>
    <row r="5763">
      <c r="A5763">
        <f>=111666	 | Backdoor.Win32.Generic.BBN	 | 825b305baf69f6ac16c974eb68383fa1</f>
        <v/>
      </c>
    </row>
    <row r="5764">
      <c r="A5764">
        <f>=111667	 | Backdoor.Win32.Generic.BBO	 | 649957257463b2fa69a3c942369cb4f3</f>
        <v/>
      </c>
    </row>
    <row r="5765">
      <c r="A5765">
        <f>=111668	 | Backdoor.Win32.Generic.BBP	 | 3e97bf55d056200d93318a3377e9bb8b</f>
        <v/>
      </c>
    </row>
    <row r="5766">
      <c r="A5766">
        <f>=111669	 | Trojan.Win32.Generic.RF	 | b82f5f88a52df06223ac8833c11b4258</f>
        <v/>
      </c>
    </row>
    <row r="5767">
      <c r="A5767">
        <f>=111670	 | Trojan.Win32.Emotet.DBTUMXR	 | 085512a48f9b9e657b900569198a162f</f>
        <v/>
      </c>
    </row>
    <row r="5768">
      <c r="A5768">
        <f>=111671	 | Backdoor.Win32.Generic.BBQ	 | bb07c3ad8ee3ab75195ea5c36b295907</f>
        <v/>
      </c>
    </row>
    <row r="5769">
      <c r="A5769">
        <f>=111674	 | Trojan.Win32.Generic.RG	 | 994055eaab62f37b25c1ca4868c4875e</f>
        <v/>
      </c>
    </row>
    <row r="5770">
      <c r="A5770">
        <f>=111680	 | Backdoor.Win32.Generic.BBR	 | 476b1e42e5f03f8c2667ca9a4ad608cc</f>
        <v/>
      </c>
    </row>
    <row r="5771">
      <c r="A5771">
        <f>=111685	 | Trojan.Win32.Hancitor.B	 | a1e0d0973e1cac7f8006f6293bf0facc</f>
        <v/>
      </c>
    </row>
    <row r="5772">
      <c r="A5772">
        <f>=111687	 | Trojan.Win32.Obfuscator.AC	 | 6c271b2e5bd43eae11659fafc1b97d9e</f>
        <v/>
      </c>
    </row>
    <row r="5773">
      <c r="A5773">
        <f>=111688	 | Trojan.Win32.Generic.RI	 | 21ee7f79f0dd1ed99a233f5f82f47ad6</f>
        <v/>
      </c>
    </row>
    <row r="5774">
      <c r="A5774">
        <f>=111689	 | Trojan.Win32.Generic.RJ	 | a5ae2a221142733d7da02abdc1cdaa1f</f>
        <v/>
      </c>
    </row>
    <row r="5775">
      <c r="A5775">
        <f>=111694	 | Trojan.Win32.Veil.B	 | edcb577ed1fd56f329e20eb7d19a260e</f>
        <v/>
      </c>
    </row>
    <row r="5776">
      <c r="A5776">
        <f>=111695	 | Trojan.Win32.Veil.C	 | 8b2fb14e24bfea5c7f64d64b8581938b</f>
        <v/>
      </c>
    </row>
    <row r="5777">
      <c r="A5777">
        <f>=111696	 | Trojan.Win32.CobaltStrike.O	 | cfabd375433e64ef6d2871402afd7bec</f>
        <v/>
      </c>
    </row>
    <row r="5778">
      <c r="A5778">
        <f>=111697	 | Trojan.Win32.CobaltStrike.P	 | da593328d4c0daa20c8f4aff4c222b7f</f>
        <v/>
      </c>
    </row>
    <row r="5779">
      <c r="A5779">
        <f>=111698	 | Trojan.Win32.CobaltStrike.Q	 | 24f054e4ace9d2d2a22d749f47d40546</f>
        <v/>
      </c>
    </row>
    <row r="5780">
      <c r="A5780">
        <f>=111699	 | Trojan.Win32.Veil.D	 | cfabd375433e64ef6d2871402afd7bec</f>
        <v/>
      </c>
    </row>
    <row r="5781">
      <c r="A5781">
        <f>=111700	 | Trojan.Win32.Veil.E	 | da593328d4c0daa20c8f4aff4c222b7f</f>
        <v/>
      </c>
    </row>
    <row r="5782">
      <c r="A5782">
        <f>=111702	 | Backdoor.Win32.Broide.A	 | 0d08d96b343a44c316da8eff62f5c2ff</f>
        <v/>
      </c>
    </row>
    <row r="5783">
      <c r="A5783">
        <f>=111707	 | Trojan.Win32.AveMaria.C	 | 241148c2aa22cb64f34667ce63e6a7d4</f>
        <v/>
      </c>
    </row>
    <row r="5784">
      <c r="A5784">
        <f>=111708	 | Trojan.Win32.Azorult.E	 | 105661928a06c67cc82cfd5ef37a86b9</f>
        <v/>
      </c>
    </row>
    <row r="5785">
      <c r="A5785">
        <f>=111709	 | Trojan.Win32.Generic.RK	 | 13ab053b643398e329bd7037712d39c6</f>
        <v/>
      </c>
    </row>
    <row r="5786">
      <c r="A5786">
        <f>=111710	 | Trojan.Win32.Scarsi.A	 | 2f1322d4c66211f9e08493f06cd4fe86</f>
        <v/>
      </c>
    </row>
    <row r="5787">
      <c r="A5787">
        <f>=111711	 | Trojan.Win32.Tnega.A	 | 573fa7fd59ad535c0ada5d7051269864</f>
        <v/>
      </c>
    </row>
    <row r="5788">
      <c r="A5788">
        <f>=111712	 | Trojan.Win32.TrickBot.L	 | 5738a987be6583c349aac24b0bca7a1f</f>
        <v/>
      </c>
    </row>
    <row r="5789">
      <c r="A5789">
        <f>=111713	 | Trojan.Win32.VBInject.F	 | 4e93e8f5b2f7b063046ab7f5fda786c1</f>
        <v/>
      </c>
    </row>
    <row r="5790">
      <c r="A5790">
        <f>=111714	 | Trojan.Win32.VBInject.G	 | 4ff6663d360a2ac120cdadc386d74ab9</f>
        <v/>
      </c>
    </row>
    <row r="5791">
      <c r="A5791">
        <f>=111715	 | Trojan.Win32.Agent.XAAOLS	 | 11345438a0c6607f384f06d8654e5ac5</f>
        <v/>
      </c>
    </row>
    <row r="5792">
      <c r="A5792">
        <f>=111716	 | Trojan.Win32.Agent.XAAOLT	 | 262219cd38b651ad974a885bba07e514</f>
        <v/>
      </c>
    </row>
    <row r="5793">
      <c r="A5793">
        <f>=111717	 | Trojan.Win32.Agent.XAAOLU	 | 6b569f77f91109834c5caa44ca645c58</f>
        <v/>
      </c>
    </row>
    <row r="5794">
      <c r="A5794">
        <f>=111718	 | Trojan.Win32.Agent.XAAOLV	 | 6b9112366c3479fcdc1805c43af0539f</f>
        <v/>
      </c>
    </row>
    <row r="5795">
      <c r="A5795">
        <f>=111719	 | Trojan.Win32.Agent.XAAOLW	 | 6f6a854dca63750f769080df747471ba</f>
        <v/>
      </c>
    </row>
    <row r="5796">
      <c r="A5796">
        <f>=111720	 | Trojan.Win32.Agent.XAAOLX	 | 713eb3b404b220719eaf7c1bbc4b7402</f>
        <v/>
      </c>
    </row>
    <row r="5797">
      <c r="A5797">
        <f>=111721	 | Trojan.Win32.Agent.XAAOLY	 | 79082a5b2011614e40c33cf4766374cb</f>
        <v/>
      </c>
    </row>
    <row r="5798">
      <c r="A5798">
        <f>=111722	 | Trojan.Win32.Agent.XAAOMA	 | 87b8c8801118614f729682341148a93e</f>
        <v/>
      </c>
    </row>
    <row r="5799">
      <c r="A5799">
        <f>=111723	 | Trojan.Win32.Agent.XAAOMB	 | 89871cec075a11c1cd41bb34e26b5da1</f>
        <v/>
      </c>
    </row>
    <row r="5800">
      <c r="A5800">
        <f>=111724	 | Trojan.Win32.Agent.XAAOMC	 | 8f249847784c664748cece187cedf8b7</f>
        <v/>
      </c>
    </row>
    <row r="5801">
      <c r="A5801">
        <f>=111725	 | Trojan.Win32.Agent.XAAOMD	 | 910451777add3bccd5d6a9f3be3edef8</f>
        <v/>
      </c>
    </row>
    <row r="5802">
      <c r="A5802">
        <f>=111726	 | Trojan.Win32.Agent.XAAOME	 | 9b9dcdc3b69843905e3eb6142591a031</f>
        <v/>
      </c>
    </row>
    <row r="5803">
      <c r="A5803">
        <f>=111727	 | Trojan.Win32.Agent.XAAOMF	 | 29f7d2b972261152eb7019cfafdabd3e</f>
        <v/>
      </c>
    </row>
    <row r="5804">
      <c r="A5804">
        <f>=111728	 | Trojan.Win32.Agent.XAAOMG	 | b367a96c4c5207a4587b83c576fe24c4</f>
        <v/>
      </c>
    </row>
    <row r="5805">
      <c r="A5805">
        <f>=111729	 | Trojan.Win32.Agent.XAAOMH	 | b5be67db8e69185c90e8630a87eef594</f>
        <v/>
      </c>
    </row>
    <row r="5806">
      <c r="A5806">
        <f>=111730	 | Trojan.Win32.Agent.XAAOMI	 | b7973ab4eeb3b6d0b33de50ed763358a</f>
        <v/>
      </c>
    </row>
    <row r="5807">
      <c r="A5807">
        <f>=111731	 | Trojan.Win32.Agent.XAAOMJ	 | b99634df54d814c6dfaf3c7f548b8a51</f>
        <v/>
      </c>
    </row>
    <row r="5808">
      <c r="A5808">
        <f>=111732	 | Trojan.Win32.Agent.XAAOMK	 | bb546c4b4ba8bdef3f9d4c9fc8dbb2a8</f>
        <v/>
      </c>
    </row>
    <row r="5809">
      <c r="A5809">
        <f>=111733	 | Trojan.Win32.Agent.XAAOML	 | 2a6b0312f1e06c194cd36b88df032354</f>
        <v/>
      </c>
    </row>
    <row r="5810">
      <c r="A5810">
        <f>=111734	 | Trojan.Win32.Agent.XAAOMM	 | 2fbd755627212489e01610fea2319786</f>
        <v/>
      </c>
    </row>
    <row r="5811">
      <c r="A5811">
        <f>=111735	 | Trojan.Win32.Agent.XAAOMN	 | 3af0b2e3af57007189e687fbc93d7c70</f>
        <v/>
      </c>
    </row>
    <row r="5812">
      <c r="A5812">
        <f>=111736	 | Trojan.Win32.Agent.XAAOMO	 | 41776fab62857833deccb5415b41f0a8</f>
        <v/>
      </c>
    </row>
    <row r="5813">
      <c r="A5813">
        <f>=111737	 | Trojan.Win32.Agent.XAAOMP	 | 58ca7962ffa0fbef497bb8a748a90e5d</f>
        <v/>
      </c>
    </row>
    <row r="5814">
      <c r="A5814">
        <f>=111738	 | Trojan.Win32.Agent.XAAOMQ	 | 5a0d7ab7c276deb2bc6c3a8425a91d78</f>
        <v/>
      </c>
    </row>
    <row r="5815">
      <c r="A5815">
        <f>=111739	 | Trojan.Win32.Agent.XAAOMR	 | 5ac2ab300bea0019e4c48b175600ecc2</f>
        <v/>
      </c>
    </row>
    <row r="5816">
      <c r="A5816">
        <f>=111740	 | Trojan.Win32.Agent.XAAOMS	 | 8769321136be51e467b619dc5c063165</f>
        <v/>
      </c>
    </row>
    <row r="5817">
      <c r="A5817">
        <f>=111741	 | Trojan.Win32.Agent.XAAOMT	 | 0811b08efb44acaed69fb122d93daabb</f>
        <v/>
      </c>
    </row>
    <row r="5818">
      <c r="A5818">
        <f>=111744	 | Trojan.Win64.TESTRU.C	 | 4085820a53a7f8dd58d4ba5ecf94e42b</f>
        <v/>
      </c>
    </row>
    <row r="5819">
      <c r="A5819">
        <f>=111746	 | Worm.Win32.Nitol.A	 | 36e93ae0550c9850fc1f5649419e1bf9</f>
        <v/>
      </c>
    </row>
    <row r="5820">
      <c r="A5820">
        <f>=111747	 | Worm.Win32.Nitol.B	 | 2cd2b9b5eba8d7cffacd2834b273fe36</f>
        <v/>
      </c>
    </row>
    <row r="5821">
      <c r="A5821">
        <f>=111750	 | Trojan.Win32.Generic.RL	 | 467A92B939F3075AD567D139BD828A22</f>
        <v/>
      </c>
    </row>
    <row r="5822">
      <c r="A5822">
        <f>=111752	 | Trojan.Win64.Generic.AX	 | 0E07C1F24A5081AFEC679E5918047F9B</f>
        <v/>
      </c>
    </row>
    <row r="5823">
      <c r="A5823">
        <f>=111754	 | RootKit.Win64.Celler.B	 | EED49FB8E4D887733C672033F75F5A1D</f>
        <v/>
      </c>
    </row>
    <row r="5824">
      <c r="A5824">
        <f>=111757	 | Trojan.Win64.CobaltStrike.I	 | 2328f25165a1a45b521c3333fee4804b</f>
        <v/>
      </c>
    </row>
    <row r="5825">
      <c r="A5825">
        <f>=111758	 | Trojan.Win64.CobaltStrike.J	 | 2328f25165a1a45b521c3333fee4804b</f>
        <v/>
      </c>
    </row>
    <row r="5826">
      <c r="A5826">
        <f>=111759	 | Trojan.Win64.CobaltStrike.K	 | 2328f25165a1a45b521c3333fee4804b</f>
        <v/>
      </c>
    </row>
    <row r="5827">
      <c r="A5827">
        <f>=111760	 | Trojan.Win64.CobaltStrike.L	 | a575016e0a93e121d3bbe5a266107461</f>
        <v/>
      </c>
    </row>
    <row r="5828">
      <c r="A5828">
        <f>=111761	 | Trojan.Win64.CobaltStrike.M	 | d71d70ab3df7f06fa98d931a60efa3cd</f>
        <v/>
      </c>
    </row>
    <row r="5829">
      <c r="A5829">
        <f>=111762	 | Trojan.Win64.CobaltStrike.N	 | 6a896d430505e5d6bc8d3efdd7a443b9</f>
        <v/>
      </c>
    </row>
    <row r="5830">
      <c r="A5830">
        <f>=111763	 | Trojan.Win64.CobaltStrike.O	 | b847d558fd83e0cb825fdb3ff13f46b9</f>
        <v/>
      </c>
    </row>
    <row r="5831">
      <c r="A5831">
        <f>=111764	 | Trojan.Win32.CobaltStrike.R	 | 0b20748b6884c810a5069a826fce455c</f>
        <v/>
      </c>
    </row>
    <row r="5832">
      <c r="A5832">
        <f>=111765	 | Trojan.Win32.CobaltStrike.S	 | 047c0659a7e0099edd46819795ea5229</f>
        <v/>
      </c>
    </row>
    <row r="5833">
      <c r="A5833">
        <f>=111766	 | Trojan.Win32.Metasploit.J	 | c63e4fbf19dcaed9f8014aee9ba419e7</f>
        <v/>
      </c>
    </row>
    <row r="5834">
      <c r="A5834">
        <f>=111768	 | Trojan.Win32.CobaltStrike.U	 | 8f574385db536d6ab51a39100749758f</f>
        <v/>
      </c>
    </row>
    <row r="5835">
      <c r="A5835">
        <f>=111769	 | Worm.Win32.AutoRun.DW	 | 8705ec3e51af609ad73eb8b803fea796</f>
        <v/>
      </c>
    </row>
    <row r="5836">
      <c r="A5836">
        <f>=111781	 | Trojan.Win64.CobaltStrike.P	 | 5ee60f1d866c3e00d0a45fa1b5a72907</f>
        <v/>
      </c>
    </row>
    <row r="5837">
      <c r="A5837">
        <f>=111782	 | Trojan.Win32.AgentTesla.L	 | b5a7f2596efe4c5fc5f5d2c733d49259</f>
        <v/>
      </c>
    </row>
    <row r="5838">
      <c r="A5838">
        <f>=111784	 | Trojan.Win32.AgentTesla.M	 | 0c7e03edfada36e84ec1e75f0f19f683</f>
        <v/>
      </c>
    </row>
    <row r="5839">
      <c r="A5839">
        <f>=111791	 | VirTool.Win32.Obfuscator.EA	 | B8C158E0FE1C0B8B9FCABA2CAE14BB09</f>
        <v/>
      </c>
    </row>
    <row r="5840">
      <c r="A5840">
        <f>=111794	 | Trojan.Win32.Meterpreter.AA	 | c63e4fbf19dcaed9f8014aee9ba419e7</f>
        <v/>
      </c>
    </row>
    <row r="5841">
      <c r="A5841">
        <f>=111813	 | Ransom.Win64.FileCrypter.A	 | 92509360c9dbc6816758f265859a5144</f>
        <v/>
      </c>
    </row>
    <row r="5842">
      <c r="A5842">
        <f>=111819	 | Trojan.Win32.Dinwod.UNO	 | 4778c38cf0fbe7e497a318b3b0cd116b</f>
        <v/>
      </c>
    </row>
    <row r="5843">
      <c r="A5843">
        <f>=111825	 | Trojan.Win32.Meterpreter.AB	 | fafab9f035b47b71b9a52d902434b192</f>
        <v/>
      </c>
    </row>
    <row r="5844">
      <c r="A5844">
        <f>=111835	 | Trojan.Win32.PhotoMiner.A	 | aba2d86ed17f587eb6d57e6c75f64f05</f>
        <v/>
      </c>
    </row>
    <row r="5845">
      <c r="A5845">
        <f>=111836	 | Trojan.Win32.PhotoMiner.B	 | aba2d86ed17f587eb6d57e6c75f64f05</f>
        <v/>
      </c>
    </row>
    <row r="5846">
      <c r="A5846">
        <f>=111837	 | Trojan.Win32.CoinMiner.AD	 | A9D4007C9419A6E8D55805B8F8F52DE0</f>
        <v/>
      </c>
    </row>
    <row r="5847">
      <c r="A5847">
        <f>=111840	 | Ransom.Win32.Tescrypt.A	 | 1ec9acaa40f295d54419076d1dfe8519</f>
        <v/>
      </c>
    </row>
    <row r="5848">
      <c r="A5848">
        <f>=111841	 | Ransom.Win32.Blocker.I	 | bc726f62e6b5b01a60672cb33a4aaa29</f>
        <v/>
      </c>
    </row>
    <row r="5849">
      <c r="A5849">
        <f>=111842	 | Trojan.Win32.Banker.O	 | 4f0403bbf8eddc9b718e54a5d77b1d97</f>
        <v/>
      </c>
    </row>
    <row r="5850">
      <c r="A5850">
        <f>=111852	 | Trojan.Win64.Comebacker.A	 | 56018500f73e3f6cf179d3b853c27912</f>
        <v/>
      </c>
    </row>
    <row r="5851">
      <c r="A5851">
        <f>=111853	 | Trojan.Win64.Lazarus.A	 | 703f83d94c14772320eb9f92704932fe</f>
        <v/>
      </c>
    </row>
    <row r="5852">
      <c r="A5852">
        <f>=111856	 | Trojan.Win64.Casdet.A	 | 07d2b057d2385a4cdf413e8d342305df</f>
        <v/>
      </c>
    </row>
    <row r="5853">
      <c r="A5853">
        <f>=111858	 | Trojan.Win32.Generic.RN	 | 5c0c1b4c3b1cfd455ac05ace994aed4b</f>
        <v/>
      </c>
    </row>
    <row r="5854">
      <c r="A5854">
        <f>=111859	 | Trojan.Win64.Manuscrypt.A	 | a291ab63c53985f8efa0584a0af82e25</f>
        <v/>
      </c>
    </row>
    <row r="5855">
      <c r="A5855">
        <f>=111860	 | Trojan.Win32.CryptInject.K	 | c79497c56e9ff4fe748b4677d472cf0b</f>
        <v/>
      </c>
    </row>
    <row r="5856">
      <c r="A5856">
        <f>=111861	 | Trojan.Win32.CryptInject.L	 | c79497c56e9ff4fe748b4677d472cf0b</f>
        <v/>
      </c>
    </row>
    <row r="5857">
      <c r="A5857">
        <f>=111862	 | Trojan.Win32.Ymacco.H	 | 842497C20072FC9B92F2B18E1D690103</f>
        <v/>
      </c>
    </row>
    <row r="5858">
      <c r="A5858">
        <f>=111864	 | Trojan.Win32.Qbot.T	 | 649dd2b07e8da461a4f07c60df0c4843</f>
        <v/>
      </c>
    </row>
    <row r="5859">
      <c r="A5859">
        <f>=111865	 | Trojan.Win32.Generic.RO	 | 54832af6050601251b04b13a7b1e96e4</f>
        <v/>
      </c>
    </row>
    <row r="5860">
      <c r="A5860">
        <f>=111866	 | Trojan.Win32.Tnega.B	 | db0cd510695901b5690b401cf39c4df9</f>
        <v/>
      </c>
    </row>
    <row r="5861">
      <c r="A5861">
        <f>=111873	 | Trojan.Win32.Dridex.E	 | 198d4b3d612546c0f371464e7d843b7c</f>
        <v/>
      </c>
    </row>
    <row r="5862">
      <c r="A5862">
        <f>=111874	 | Trojan.Win32.Dridex.F	 | 2999166f65ee9217b7fbf7f35637e9dd</f>
        <v/>
      </c>
    </row>
    <row r="5863">
      <c r="A5863">
        <f>=111875	 | Trojan.Win32.Remcos.A	 | fce399c8e743af769cbcbd119ef70e23</f>
        <v/>
      </c>
    </row>
    <row r="5864">
      <c r="A5864">
        <f>=111876	 | Trojan.Win32.Remcos.B	 | a6ffb99ff7a196d8a340faf3a8d49d51</f>
        <v/>
      </c>
    </row>
    <row r="5865">
      <c r="A5865">
        <f>=111877	 | Trojan.Win32.Generic.RP	 | f3f652a76307929cdd243c66013c241e</f>
        <v/>
      </c>
    </row>
    <row r="5866">
      <c r="A5866">
        <f>=111878	 | Trojan.Win32.Emotet.DBTUMXS	 | 16d34aaea23a8d9301f41e04c3faa7f5</f>
        <v/>
      </c>
    </row>
    <row r="5867">
      <c r="A5867">
        <f>=111879	 | Trojan.Win32.TrickBot.M	 | 22eff6c249abbb2f71b7178a57c21a91</f>
        <v/>
      </c>
    </row>
    <row r="5868">
      <c r="A5868">
        <f>=111880	 | Trojan.Win32.Generic.RQ	 | 0144a018ecde42e4f4a4abb794c0c296</f>
        <v/>
      </c>
    </row>
    <row r="5869">
      <c r="A5869">
        <f>=111884	 | Trojan.Win32.Remcos.C	 | 84ab4215b9a8142bfbd4c8d190ce4466</f>
        <v/>
      </c>
    </row>
    <row r="5870">
      <c r="A5870">
        <f>=111885	 | Worm.Win32.NoonLight.A	 | 903fe7d3b59155b4482a04c2a3bb01c1</f>
        <v/>
      </c>
    </row>
    <row r="5871">
      <c r="A5871">
        <f>=111900	 | HackerTool.Win64.HackBrowser.B	 | f5da35f07e604dfe42a4a037ca1a64c7</f>
        <v/>
      </c>
    </row>
    <row r="5872">
      <c r="A5872">
        <f>=111904	 | Exploit.Win64.Consoler.A	 | ac8a521a56ed5f4ef2004d77668c14d0</f>
        <v/>
      </c>
    </row>
    <row r="5873">
      <c r="A5873">
        <f>=111905	 | Trojan.Win32.CoinMiner.AE	 | 6f3a44a86d850d772688c1b311583ed1</f>
        <v/>
      </c>
    </row>
    <row r="5874">
      <c r="A5874">
        <f>=111906	 | Trojan.Win32.CoinMiner.AF	 | 9684d0cfa94160fe70f7fad00b5b094f</f>
        <v/>
      </c>
    </row>
    <row r="5875">
      <c r="A5875">
        <f>=111910	 | Hackertool.Win32.Inject.A	 | 49c5a001b17461d5a0b9fa5d313ecfed</f>
        <v/>
      </c>
    </row>
    <row r="5876">
      <c r="A5876">
        <f>=111912	 | Trojan.Win32.Dridex.G	 | 5ef643c06d606faf37ca3b390ce33640</f>
        <v/>
      </c>
    </row>
    <row r="5877">
      <c r="A5877">
        <f>=111917	 | Trojan.Win32.Dridex.H	 | 4ee129a17d4714d96f9a56e5f5aeb49f</f>
        <v/>
      </c>
    </row>
    <row r="5878">
      <c r="A5878">
        <f>=111924	 | Trojan.Win32.Generic.RS	 | cb796910b76e6d8796e97bb400ce5c2e</f>
        <v/>
      </c>
    </row>
    <row r="5879">
      <c r="A5879">
        <f>=111926	 | Trojan.Win32.Generic.RT	 | cb796910b76e6d8796e97bb400ce5c2e</f>
        <v/>
      </c>
    </row>
    <row r="5880">
      <c r="A5880">
        <f>=111931	 | Trojan.Win32.Netwire.GET	 | 19c4b982ead7e2fb74b363665ca2a8d2</f>
        <v/>
      </c>
    </row>
    <row r="5881">
      <c r="A5881">
        <f>=111932	 | Trojan.Win32.Warzone.A	 | 9cb12713ef4b05bdc5f871e6273fc7dd</f>
        <v/>
      </c>
    </row>
    <row r="5882">
      <c r="A5882">
        <f>=111933	 | Trojan.Win32.Nanocore.D	 | cea975db47ebcf2dc52407b62bad7f63</f>
        <v/>
      </c>
    </row>
    <row r="5883">
      <c r="A5883">
        <f>=111934	 | Trojan.Win32.Azorult.F	 | e30dfd8de27f3b1fa753dd52d2d6c2b9</f>
        <v/>
      </c>
    </row>
    <row r="5884">
      <c r="A5884">
        <f>=111935	 | Backdoor.Win32.AsyncRAT.A	 | 6914be082a1a7379de060251fe8732e5</f>
        <v/>
      </c>
    </row>
    <row r="5885">
      <c r="A5885">
        <f>=111937	 | Trojan.Win32.Maslog.A	 | 9bae9be8bb1873ef86694c182549bc28</f>
        <v/>
      </c>
    </row>
    <row r="5886">
      <c r="A5886">
        <f>=111938	 | Trojan.Win32.Formbook.F	 | bd85aa230e1b84ca6a4926903c4fb434</f>
        <v/>
      </c>
    </row>
    <row r="5887">
      <c r="A5887">
        <f>=111939	 | Trojan.Win32.Nanocore.E	 | 6914be082a1a7379de060251fe8732e5</f>
        <v/>
      </c>
    </row>
    <row r="5888">
      <c r="A5888">
        <f>=111940	 | Trojan.Win32.Generic.RU	 | 580fb3e80b85fc1c6ddbaca71fa7197f</f>
        <v/>
      </c>
    </row>
    <row r="5889">
      <c r="A5889">
        <f>=111941	 | Trojan.Win32.Generic.RV	 | ac0bedfd222e21aaf9fdc4e6daae56b1</f>
        <v/>
      </c>
    </row>
    <row r="5890">
      <c r="A5890">
        <f>=111942	 | Trojan.Win32.AgentTesla.N	 | a640231c5ae6a919f1175ed7e438ad53</f>
        <v/>
      </c>
    </row>
    <row r="5891">
      <c r="A5891">
        <f>=111943	 | Trojan.Win32.Pynamer.F	 | b463c4156b656c0a91588c114c661e0a</f>
        <v/>
      </c>
    </row>
    <row r="5892">
      <c r="A5892">
        <f>=111944	 | Trojan.Win32.Occamy.I	 | bdd2397695697887a8f855a26d70d52e</f>
        <v/>
      </c>
    </row>
    <row r="5893">
      <c r="A5893">
        <f>=111946	 | Trojan.Win32.Pwsteal.A	 | 610e96effc2de68416a138ee8988543b</f>
        <v/>
      </c>
    </row>
    <row r="5894">
      <c r="A5894">
        <f>=111947	 | Trojan.Win32.Qbot.U	 | 368493cdf9b7380005bf04de08194e13</f>
        <v/>
      </c>
    </row>
    <row r="5895">
      <c r="A5895">
        <f>=111964	 | Trojan.Win32.Zegost.E	 | 4d3229548aec59b904d5510cb7a32bb9</f>
        <v/>
      </c>
    </row>
    <row r="5896">
      <c r="A5896">
        <f>=111969	 | Trojan.Win32.Sdum.E	 | 722b15bbc15845e4e265a1519c800c34</f>
        <v/>
      </c>
    </row>
    <row r="5897">
      <c r="A5897">
        <f>=111970	 | Trojan.Win32.Generic.RW	 | c07c42414f222a9d29ddf0b68ea91ae4</f>
        <v/>
      </c>
    </row>
    <row r="5898">
      <c r="A5898">
        <f>=111972	 | Trojan.Win32.Generic.RY	 | 17c5cef2fe9dc8bef160d16fc87511dc</f>
        <v/>
      </c>
    </row>
    <row r="5899">
      <c r="A5899">
        <f>=111974	 | Trojan.Win32.AgentTesla.O	 | d24b31e1b896eefd1fc34d257f9ed279</f>
        <v/>
      </c>
    </row>
    <row r="5900">
      <c r="A5900">
        <f>=111975	 | Trojan.Win32.AgentTesla.P	 | 7286990104a75b3e91ead7553210a112</f>
        <v/>
      </c>
    </row>
    <row r="5901">
      <c r="A5901">
        <f>=112191	 | Ransom.Win32.Clop.A	 | 7edc821c3b46e85f262a96182ed2de86</f>
        <v/>
      </c>
    </row>
    <row r="5902">
      <c r="A5902">
        <f>=112199	 | Trojan.Win32.Injector.GELVD	 | e46da9ab2096ebb33279a808f5a7ee77</f>
        <v/>
      </c>
    </row>
    <row r="5903">
      <c r="A5903">
        <f>=112200	 | Trojan.Win32.Injector.GELVE	 | 1777b81f3f87648b2344ea480bbcba65</f>
        <v/>
      </c>
    </row>
    <row r="5904">
      <c r="A5904">
        <f>=112203	 | Trojan.Win32.Generic.SA	 | 91501377b1509c2feaa6e5d1f986adae</f>
        <v/>
      </c>
    </row>
    <row r="5905">
      <c r="A5905">
        <f>=112204	 | Trojan.Win32.Agent.XAAOMU	 | 11ff7ae90a30589cd3bcdbf662fad152</f>
        <v/>
      </c>
    </row>
    <row r="5906">
      <c r="A5906">
        <f>=112205	 | Trojan.Win32.Inject.GELVF	 | 2509447b18947c385a1cfc622d47d131</f>
        <v/>
      </c>
    </row>
    <row r="5907">
      <c r="A5907">
        <f>=112206	 | Trojan.Win32.Generic.SB	 | 2019989c39331aaee8b4aed904cfac70</f>
        <v/>
      </c>
    </row>
    <row r="5908">
      <c r="A5908">
        <f>=112207	 | Trojan.Win64.Generic.AY	 | eff5881b4bf83386e26c451ff7c34a90</f>
        <v/>
      </c>
    </row>
    <row r="5909">
      <c r="A5909">
        <f>=112220	 | Trojan.Win32.Tnega.C	 | e2bf2a15b348a2487a08dd311d48849a</f>
        <v/>
      </c>
    </row>
    <row r="5910">
      <c r="A5910">
        <f>=112221	 | Trojan.Win32.Generic.SC	 | 2d1dc95dcf3943bb18e182fa63a7b0cc</f>
        <v/>
      </c>
    </row>
    <row r="5911">
      <c r="A5911">
        <f>=112222	 | Trojan.Win32.AgentTesla.Q	 | 790447dbfff733e88822cbd3a968c9b8</f>
        <v/>
      </c>
    </row>
    <row r="5912">
      <c r="A5912">
        <f>=112225	 | Trojan.Win32.Generic.SD	 | 7cf4ea9df2f2e406fac23d71194c78fd</f>
        <v/>
      </c>
    </row>
    <row r="5913">
      <c r="A5913">
        <f>=112233	 | Trojan.Win32.AgentTesla.T	 | 15305cbe251901a5c2e1044b7a71d380</f>
        <v/>
      </c>
    </row>
    <row r="5914">
      <c r="A5914">
        <f>=112237	 | Backdoor.Win32.Metacc.C	 | 7bfdb56976150f072ad6542d81b030b8</f>
        <v/>
      </c>
    </row>
    <row r="5915">
      <c r="A5915">
        <f>=112238	 | Backdoor.Win32.Metacc.D	 | 00df36e80a6a688d73087cd21f2a35ab</f>
        <v/>
      </c>
    </row>
    <row r="5916">
      <c r="A5916">
        <f>=112240	 | Trojan.Win32.Generic.SH	 | 35e92a2d59672a820bedc0d25f042923</f>
        <v/>
      </c>
    </row>
    <row r="5917">
      <c r="A5917">
        <f>=112241	 | Trojan.Win32.Generic.SI	 | 6452e2c243db03ecbcacd0419ff8bebf</f>
        <v/>
      </c>
    </row>
    <row r="5918">
      <c r="A5918">
        <f>=112244	 | Trojan.Win32.Agent.XAAOMW	 | 55d7e3c7d899f84c6cbdbce51afe4503</f>
        <v/>
      </c>
    </row>
    <row r="5919">
      <c r="A5919">
        <f>=112246	 | Trojan.Win32.Agent.XAAOMY	 | ff91bae081816e570f27010a47c95f9d</f>
        <v/>
      </c>
    </row>
    <row r="5920">
      <c r="A5920">
        <f>=112247	 | Backdoor.Win32.Farfli.E	 | 02c9670445a78818e0f34db11060d3bd</f>
        <v/>
      </c>
    </row>
    <row r="5921">
      <c r="A5921">
        <f>=112248	 | RootKit.Win64.HideSelf.A	 | 96303e1091cc5a5d0ef9d629c611f696</f>
        <v/>
      </c>
    </row>
    <row r="5922">
      <c r="A5922">
        <f>=112249	 | Trojan.Win32.Agent.XAAONA	 | 2f1322244a814a355e5f5c0fa23ac554</f>
        <v/>
      </c>
    </row>
    <row r="5923">
      <c r="A5923">
        <f>=112251	 | Trojan.Win32.AgentTesla.U	 | 884690bd677d850f31eb50db49f18dc1</f>
        <v/>
      </c>
    </row>
    <row r="5924">
      <c r="A5924">
        <f>=112269	 | Trojan.Win32.Miner.C	 | 5f4087c8db2bc3783cfe5798496f12d4</f>
        <v/>
      </c>
    </row>
    <row r="5925">
      <c r="A5925">
        <f>=112270	 | Ransom.Win32.GlobeImposter.F	 | cffad85dd7ee683446f30612647c67b3</f>
        <v/>
      </c>
    </row>
    <row r="5926">
      <c r="A5926">
        <f>=112271	 | Worm.Win32.Conficker.AI	 | 6a0376660e684e3e36fa5cdf17249f89</f>
        <v/>
      </c>
    </row>
    <row r="5927">
      <c r="A5927">
        <f>=112281	 | Trojan.Win32.Ursnif.D	 | aa3e8d9a2dbb75df0110bc7277d747df</f>
        <v/>
      </c>
    </row>
    <row r="5928">
      <c r="A5928">
        <f>=112282	 | Trojan.Win64.Sunshuttle.B	 | 9466c865f7498a35e4e1a8f48ef1dffd</f>
        <v/>
      </c>
    </row>
    <row r="5929">
      <c r="A5929">
        <f>=112285	 | Trojan.Win32.AgentTesla.V	 | 56f1feb6e9c044e875eb3111381e3bdd</f>
        <v/>
      </c>
    </row>
    <row r="5930">
      <c r="A5930">
        <f>=112290	 | Trojan.Win32.Qbot.V	 | dbce877710b1200f2c4aa29b7ae3c626</f>
        <v/>
      </c>
    </row>
    <row r="5931">
      <c r="A5931">
        <f>=112297	 | Trojan.Win32.Qbot.W	 | 022e8670a7dfbe7eea55ebbffa1b5795</f>
        <v/>
      </c>
    </row>
    <row r="5932">
      <c r="A5932">
        <f>=112299	 | Adware.Win32.Legendmir.A	 | 0e30be2a64875b43c286d0c3ec39f01d</f>
        <v/>
      </c>
    </row>
    <row r="5933">
      <c r="A5933">
        <f>=112301	 | Trojan.Win32.Downloader.GGV	 | d7711e7564ee721f2e0284dd02b9ac06</f>
        <v/>
      </c>
    </row>
    <row r="5934">
      <c r="A5934">
        <f>=112302	 | Trojan.Win64.Downloader.B	 | 34e22f22a5d5b810d908ffd7d70cdf51</f>
        <v/>
      </c>
    </row>
    <row r="5935">
      <c r="A5935">
        <f>=112305	 | Trojan.Win64.Meterpreter.K	 | c9ba9d0f538d34f133bac7fcb1f40fed</f>
        <v/>
      </c>
    </row>
    <row r="5936">
      <c r="A5936">
        <f>=112306	 | Trojan.Win64.CobaltStrike.Q	 | 723bc412a1cfd678a2e9b1c450ec4567</f>
        <v/>
      </c>
    </row>
    <row r="5937">
      <c r="A5937">
        <f>=112307	 | Trojan.Win32.RdpBlast.A	 | c570a1e9760f0d8faa75b985b8d5558b</f>
        <v/>
      </c>
    </row>
    <row r="5938">
      <c r="A5938">
        <f>=112308	 | Trojan.Win32.Agent.XAAONB	 | 551b663eb6b74d624ab7920c0dc44fde</f>
        <v/>
      </c>
    </row>
    <row r="5939">
      <c r="A5939">
        <f>=112309	 | Trojan.Win32.Agent.XAAONC	 | 49f62c13ceff6ccc4bbde1f5048eaf6e</f>
        <v/>
      </c>
    </row>
    <row r="5940">
      <c r="A5940">
        <f>=112310	 | Worm.Win32.Conficker.AJ	 | 4c302d920d30b3826acfda1264e593dc</f>
        <v/>
      </c>
    </row>
    <row r="5941">
      <c r="A5941">
        <f>=112311	 | Trojan.Win32.Generic.SJ	 | e7e9f791d51f27981b499b17020c50b8</f>
        <v/>
      </c>
    </row>
    <row r="5942">
      <c r="A5942">
        <f>=112312	 | HackerTool.Win64.fscan.A	 | 58133e26c687be2653a57372694ed289</f>
        <v/>
      </c>
    </row>
    <row r="5943">
      <c r="A5943">
        <f>=112313	 | Trojan.Win32.Cometer.F	 | c42a4e057755cdf89b433f6536953d2e</f>
        <v/>
      </c>
    </row>
    <row r="5944">
      <c r="A5944">
        <f>=112314	 | Hackertool.Win64.Generic.B	 | d1405c8dd1a208dfa58bb0b6912bdbd1</f>
        <v/>
      </c>
    </row>
    <row r="5945">
      <c r="A5945">
        <f>=112315	 | HackerTool.Win64.Smux.A	 | 9d4e2a9623fc13da5d0caf93115cd7ac</f>
        <v/>
      </c>
    </row>
    <row r="5946">
      <c r="A5946">
        <f>=112316	 | HackerTool.Win32.Scanly.A	 | 0f7a91a1a366a265c8153979c88140f2</f>
        <v/>
      </c>
    </row>
    <row r="5947">
      <c r="A5947">
        <f>=112318	 | Trojan.Win64.Generic.BA	 | 6d6f17446322d153af2b41fce4946526</f>
        <v/>
      </c>
    </row>
    <row r="5948">
      <c r="A5948">
        <f>=112319	 | Trojan.Win32.Generic.SL	 | 9558d99c9b13a4eafe1c31d0c956ab95</f>
        <v/>
      </c>
    </row>
    <row r="5949">
      <c r="A5949">
        <f>=112320	 | Hackertool.Win32.Generic.E	 | 31814df0770a931f7f175be5db5ec9b7</f>
        <v/>
      </c>
    </row>
    <row r="5950">
      <c r="A5950">
        <f>=112321	 | Trojan.Win32.AgentTesla.W	 | 92ec327e33db44b74b9b810c30bdd515</f>
        <v/>
      </c>
    </row>
    <row r="5951">
      <c r="A5951">
        <f>=112324	 | Trojan.Win32.KillMBR.A	 | 8E5A7171F1BE0254DAD65BFD78646F34</f>
        <v/>
      </c>
    </row>
    <row r="5952">
      <c r="A5952">
        <f>=112327	 | HackerTool.Win32.Mimikatz.C	 | 921c4814170e7aa43451bc46fbe762bd</f>
        <v/>
      </c>
    </row>
    <row r="5953">
      <c r="A5953">
        <f>=112330	 | Trojan.Win32.AgentTesla.X	 | dd5d8988f0bfde1f10caf503cdf0999f</f>
        <v/>
      </c>
    </row>
    <row r="5954">
      <c r="A5954">
        <f>=112331	 | Trojan.Win64.Generic.BB	 | 268c86371704f7b524771cc3a4c403e4</f>
        <v/>
      </c>
    </row>
    <row r="5955">
      <c r="A5955">
        <f>=112332	 | Trojan.Win64.Generic.BC	 | 279792fda5d73dfba415d00bd429ffc8</f>
        <v/>
      </c>
    </row>
    <row r="5956">
      <c r="A5956">
        <f>=112333	 | Trojan.Win64.Generic.BD	 | ff12ecfbdf86cff01cb5e1344a443754</f>
        <v/>
      </c>
    </row>
    <row r="5957">
      <c r="A5957">
        <f>=112334	 | Trojan.Win32.Vatet.A	 | fe180737bfb5436a592581de52ed9368</f>
        <v/>
      </c>
    </row>
    <row r="5958">
      <c r="A5958">
        <f>=112336	 | Trojan.Win32.Pyxie.A	 | 1856d7d2a60bfc2da5c36781294e5033</f>
        <v/>
      </c>
    </row>
    <row r="5959">
      <c r="A5959">
        <f>=112337	 | Trojan.Win32.Agent.XAAOND	 | 4eab40382656af8fa25fb23b6e6473a0</f>
        <v/>
      </c>
    </row>
    <row r="5960">
      <c r="A5960">
        <f>=112338	 | Trojan.Win64.Hynamer.A	 | d04caee61a71d85d716af45512e592bb</f>
        <v/>
      </c>
    </row>
    <row r="5961">
      <c r="A5961">
        <f>=112342	 | Trojan.Win64.CobaltStrike.R	 | c984ccc791656eec987a942b957efb0c</f>
        <v/>
      </c>
    </row>
    <row r="5962">
      <c r="A5962">
        <f>=112343	 | Trojan.Win64.CobaltStrike.S	 | 8e70d360d5dd80e09f15c34d6df69187</f>
        <v/>
      </c>
    </row>
    <row r="5963">
      <c r="A5963">
        <f>=112344	 | Trojan.Win64.CobaltStrike.T	 | bdb12486ee0a8eac065f5cbced626b20</f>
        <v/>
      </c>
    </row>
    <row r="5964">
      <c r="A5964">
        <f>=112345	 | Trojan.Win64.CobaltStrike.U	 | 3541c7bcd973abc273437451573fad00</f>
        <v/>
      </c>
    </row>
    <row r="5965">
      <c r="A5965">
        <f>=112346	 | Trojan.Win64.CobaltStrike.V	 | F215E9AD371624162054B69F94986F40</f>
        <v/>
      </c>
    </row>
    <row r="5966">
      <c r="A5966">
        <f>=112347	 | Trojan.Win32.CobaltStrike.X	 | 8ef79afac53947f27f3ca3ebf776dbdd</f>
        <v/>
      </c>
    </row>
    <row r="5967">
      <c r="A5967">
        <f>=112348	 | Trojan.Win64.Generic.BE	 | cc7c023c6e89333f1c3c83dfbb35ef25</f>
        <v/>
      </c>
    </row>
    <row r="5968">
      <c r="A5968">
        <f>=112352	 | Hackertool.Win64.Mimikatz.F	 | e483b2df7be0c82a5ff7358ff257a203</f>
        <v/>
      </c>
    </row>
    <row r="5969">
      <c r="A5969">
        <f>=112355	 | Trojan.Win32.Generic.SQ	 | 8ed4bbe8d8e60e80abae5594bde9a4c9</f>
        <v/>
      </c>
    </row>
    <row r="5970">
      <c r="A5970">
        <f>=112356	 | Trojan.Win32.VBKrypt.BCS	 | 1562021b80eb7bb681258378bec5461b</f>
        <v/>
      </c>
    </row>
    <row r="5971">
      <c r="A5971">
        <f>=112357	 | Trojan.Win32.Downloader.GGW	 | 4ad27189456f1782f4481d850078054f</f>
        <v/>
      </c>
    </row>
    <row r="5972">
      <c r="A5972">
        <f>=112358	 | Trojan.Win64.Generic.BF	 | cc2c8f39281e10b0f4807b870d21ac6c</f>
        <v/>
      </c>
    </row>
    <row r="5973">
      <c r="A5973">
        <f>=112359	 | Trojan.Win32.VBKrypt.C	 | 40d5eb51034891b9a55de0eb297789db</f>
        <v/>
      </c>
    </row>
    <row r="5974">
      <c r="A5974">
        <f>=112360	 | Backdoor.Win32.Remcos.H	 | 4cfcb88894de575f33ba885b68590e68</f>
        <v/>
      </c>
    </row>
    <row r="5975">
      <c r="A5975">
        <f>=112362	 | Trojan.Win32.Injector.GELVF	 | 2d0f9799daa391a41d43691582ff510a</f>
        <v/>
      </c>
    </row>
    <row r="5976">
      <c r="A5976">
        <f>=112363	 | Trojan.Win32.KillMBR.B	 | 4d0b14024d4a7ffcff25f2a3ce337af8</f>
        <v/>
      </c>
    </row>
    <row r="5977">
      <c r="A5977">
        <f>=112365	 | Trojan.Win32.Occamy.J	 | d1cb11dd9be78a9b1ff40603fa887dd0</f>
        <v/>
      </c>
    </row>
    <row r="5978">
      <c r="A5978">
        <f>=112366	 | Trojan.Win32.Razy.AK	 | 2c68199d84a6acaea4a0924e338f70c8</f>
        <v/>
      </c>
    </row>
    <row r="5979">
      <c r="A5979">
        <f>=112367	 | Exploit.Win32.CVE-2021-1647.A	 | ea6284d50ba1103c71a3bef01f0414be</f>
        <v/>
      </c>
    </row>
    <row r="5980">
      <c r="A5980">
        <f>=112368	 | Exploit.Win32.CVE-2021-1647.B	 | 4bba625249b3700becfc5a3a0bf61c5e</f>
        <v/>
      </c>
    </row>
    <row r="5981">
      <c r="A5981">
        <f>=112369	 | Backdoor.Win32.Bladabindi.BCO	 | 2f509fc08f16a9f78a256186f6a0dfba</f>
        <v/>
      </c>
    </row>
    <row r="5982">
      <c r="A5982">
        <f>=112370	 | Trojan.Win32.Agent.XAAONE	 | e504aa303a2eeb2fd51607073b295190</f>
        <v/>
      </c>
    </row>
    <row r="5983">
      <c r="A5983">
        <f>=112375	 | Trojan.Win32.Autoit.GFE	 | 600fb1681d639f913b70884da6996d5a</f>
        <v/>
      </c>
    </row>
    <row r="5984">
      <c r="A5984">
        <f>=112378	 | Trojan.Win32.Generic.SR	 | d283cd9fd0ec9ea688f36a6f4139a2f0</f>
        <v/>
      </c>
    </row>
    <row r="5985">
      <c r="A5985">
        <f>=112379	 | Trojan.Win32.Genericx.A	 | d283cd9fd0ec9ea688f36a6f4139a2f0</f>
        <v/>
      </c>
    </row>
    <row r="5986">
      <c r="A5986">
        <f>=112380	 | Trojan.Win64.Generic.BG	 | c2d92d3b025d8c27cfa41c087ee829f3</f>
        <v/>
      </c>
    </row>
    <row r="5987">
      <c r="A5987">
        <f>=112381	 | Trojan.Win64.Generic.BH	 | 1a93f8520181bc891eab8c8e1f8175d3</f>
        <v/>
      </c>
    </row>
    <row r="5988">
      <c r="A5988">
        <f>=112382	 | Trojan.Win32.Generic.SS	 | 5cdde82acffb1b61b739a186e2bf9eab</f>
        <v/>
      </c>
    </row>
    <row r="5989">
      <c r="A5989">
        <f>=112383	 | Hackertool.Win64.CoinMiner.BCO	 | 928aefbb9d950ad2c755814d24dbe29f</f>
        <v/>
      </c>
    </row>
    <row r="5990">
      <c r="A5990">
        <f>=112388	 | Ransom.Win32.Filecoder.C	 | c019337e7445ce02d367f3618599d777</f>
        <v/>
      </c>
    </row>
    <row r="5991">
      <c r="A5991">
        <f>=112389	 | Trojan.Win64.Agent.U	 | cca46fc64425364774e5d5db782ddf54</f>
        <v/>
      </c>
    </row>
    <row r="5992">
      <c r="A5992">
        <f>=112392	 | Trojan.Win32.Generic.ST	 | 7675215731d47df3da73309b418a7aaa</f>
        <v/>
      </c>
    </row>
    <row r="5993">
      <c r="A5993">
        <f>=112393	 | Trojan.Win32.CobaltStrike.Y	 | 3b3a9339c5d3fbeeadc6c0bb1dcc744d</f>
        <v/>
      </c>
    </row>
    <row r="5994">
      <c r="A5994">
        <f>=112394	 | Trojan.Win32.Generic.SU	 | e6fcdc19924db03a6c2c026c7992344b</f>
        <v/>
      </c>
    </row>
    <row r="5995">
      <c r="A5995">
        <f>=12003577	 | Nsis.Win32.Downloader.B	 | 36153d9705b62163a38849b9b17843ed</f>
        <v/>
      </c>
    </row>
    <row r="5996">
      <c r="A5996">
        <f>=12005284	 | Adware.Win32.Heur.A	 | 920c50aff9021678238c5fe0ea39d025</f>
        <v/>
      </c>
    </row>
    <row r="5997">
      <c r="A5997">
        <f>=12005392	 | Trojan.Win32.Generic.AJ	 | 4d302373457ef704e9c403dc83e19ba9</f>
        <v/>
      </c>
    </row>
    <row r="5998">
      <c r="A5998">
        <f>=12005539	 | Nsis.Win32.Adware.B	 | 0e5ed5d229b8103fc6878c06c1362ece</f>
        <v/>
      </c>
    </row>
    <row r="5999">
      <c r="A5999">
        <f>=12005645	 | Trojan.Win32.Generic.CU	 | 1aa349b1dc72ce36f196991ee5fe9f9a</f>
        <v/>
      </c>
    </row>
    <row r="6000">
      <c r="A6000">
        <f>=12005762	 | Trojan.Win32.Downloader.GFN	 | 31d5e1348999cd1e90a675156c772055</f>
        <v/>
      </c>
    </row>
    <row r="6001">
      <c r="A6001">
        <f>=12005795	 | Adware.Win32.NsiDown.A	 | e2cac5be860a8993e4cbd19ff7c64575</f>
        <v/>
      </c>
    </row>
    <row r="6002">
      <c r="A6002">
        <f>=12005806	 | Trojan.Win32.Downloader.GFO	 | ee1d5bd594cab8ffd9e37bf3a8b2f002</f>
        <v/>
      </c>
    </row>
    <row r="6003">
      <c r="A6003">
        <f>=12005808	 | Trojan.Win32.Downloader.GFP	 | de827ed27f1edfdb8a3b97c38bcd76d2</f>
        <v/>
      </c>
    </row>
    <row r="6004">
      <c r="A6004">
        <f>=12005899	 | Trojan.Win32.Adload.X	 | f8df804d908b8831cfff2e0acfd376c3</f>
        <v/>
      </c>
    </row>
    <row r="6005">
      <c r="A6005">
        <f>=12006024	 | Adware.Win32.BrowserIO.A	 | f368ba8742c38e0383fc38e68be57279</f>
        <v/>
      </c>
    </row>
    <row r="6006">
      <c r="A6006">
        <f>=12006095	 | Adware.Win32.Agent.VHP	 | d719db99104b0ba428b9f9ebde3d8578</f>
        <v/>
      </c>
    </row>
    <row r="6007">
      <c r="A6007">
        <f>=12006098	 | Adware.Win32.Sitonspot.A	 | 02384fd60e2c64361a90e10ecb20803a</f>
        <v/>
      </c>
    </row>
    <row r="6008">
      <c r="A6008">
        <f>=12007027	 | Trojan.Win32.Occamy.G	 | 52e01e7396b1a131a580f048024fd1d6</f>
        <v/>
      </c>
    </row>
    <row r="6009">
      <c r="A6009">
        <f>=12007054	 | Trojan.Win32.Woreflint.A	 | 9d0a27b0d6e851a0b818c9c32c74946b</f>
        <v/>
      </c>
    </row>
    <row r="6010">
      <c r="A6010">
        <f>=12007374	 | Trojan.Win32.Generic.KL	 | 269869fe69f7b07e8781c447368824db</f>
        <v/>
      </c>
    </row>
    <row r="6011">
      <c r="A6011">
        <f>=12007883	 | Adware.Win32.Agent.VHR	 | 07d890fb792426f924ee93f500f23ad2</f>
        <v/>
      </c>
    </row>
    <row r="6012">
      <c r="A6012">
        <f>=12007937	 | Trojan.Win32.Generic.MQ	 | eff1c1c73caffdeefb618187f25c29ec</f>
        <v/>
      </c>
    </row>
    <row r="6013">
      <c r="A6013">
        <f>=12007974	 | Adware.Win32.Dotdo.B	 | 28fe5118e8902bbb3dc4bdebfcb01eb0</f>
        <v/>
      </c>
    </row>
    <row r="6014">
      <c r="A6014">
        <f>=12008134	 | Trojan.Win32.Skeeyah.G	 | 68c60b918348208d0e9654638b7a446f</f>
        <v/>
      </c>
    </row>
    <row r="6015">
      <c r="A6015">
        <f>=12008347	 | Trojan.Win32.Adload.AB	 | 246882391b380c5c9a2c17dbed7e7942</f>
        <v/>
      </c>
    </row>
    <row r="6016">
      <c r="A6016">
        <f>=12008348	 | Trojan.Win32.Adload.AC	 | bd42aa118e5fa36faaaee30114082f61</f>
        <v/>
      </c>
    </row>
    <row r="6017">
      <c r="A6017">
        <f>=12008349	 | Trojan.Win32.Adload.AD	 | bd42aa118e5fa36faaaee30114082f61</f>
        <v/>
      </c>
    </row>
    <row r="6018">
      <c r="A6018">
        <f>=12008351	 | Trojan.Win32.Adload.AE	 | 3146c9a2195024c38123c594eb3afa40</f>
        <v/>
      </c>
    </row>
    <row r="6019">
      <c r="A6019">
        <f>=12008352	 | Trojan.Win32.Adload.AF	 | 050eb6fa516e47b363142efdac9dfb83</f>
        <v/>
      </c>
    </row>
    <row r="6020">
      <c r="A6020">
        <f>=12008353	 | Trojan.Win32.Adload.AG	 | 26fd9bfe661ef5a5d44960c7ca5f3cae</f>
        <v/>
      </c>
    </row>
    <row r="6021">
      <c r="A6021">
        <f>=12008354	 | Trojan.Win32.Adload.AH	 | 2cf51bbae4cee1bc2e476d24085495c3</f>
        <v/>
      </c>
    </row>
    <row r="6022">
      <c r="A6022">
        <f>=12008355	 | Trojan.Win32.Adload.AI	 | e65228ec88e84302146248eae91a720c</f>
        <v/>
      </c>
    </row>
    <row r="6023">
      <c r="A6023">
        <f>=12008454	 | Trojan.Win32.Downloader.GGP	 | e20a97beca0df06675c533ae77aaa604</f>
        <v/>
      </c>
    </row>
    <row r="6024">
      <c r="A6024">
        <f>=12008486	 | Adware.Win32.OutBrowse.A	 | 0d8d18b7e5e53cf6467840511c4c8a2c</f>
        <v/>
      </c>
    </row>
    <row r="6025">
      <c r="A6025">
        <f>=12008740	 | Trojan.Win32.CryptoJoker.D	 | 7e8b66d08bfb6ca5cb75ca2b8a0e403a</f>
        <v/>
      </c>
    </row>
    <row r="6026">
      <c r="A6026">
        <f>=12008752	 | Adware.Win32.Generic.HO	 | 9a561d32151aefc39bd82b689d6b02ac</f>
        <v/>
      </c>
    </row>
    <row r="6027">
      <c r="A6027">
        <f>=12008847	 | Trojan.Win32.Generic.PN	 | 7d4f93ed852c99351c072d9a9ce9ea19</f>
        <v/>
      </c>
    </row>
    <row r="6028">
      <c r="A6028">
        <f>=12011857	 | Script.Win32.Stealer.A	 | cde72f9e2b0263c2d2233aa61a0e1339</f>
        <v/>
      </c>
    </row>
    <row r="6029">
      <c r="A6029">
        <f>=12011883	 | Trojan.Win32.Hynamer.B	 | 30dcecd1717926af1a3ece326d5a3f77</f>
        <v/>
      </c>
    </row>
    <row r="6030">
      <c r="A6030">
        <f>=12011936	 | Backdoor.Win32.Rescoms.B	 | e87c8450d5341b5057ee88b95581cf87</f>
        <v/>
      </c>
    </row>
    <row r="6031">
      <c r="A6031">
        <f>=12012239	 | Trojan.Win32.Agent.XAAOMV	 | e2ffa289088e5e3dd71d7eb761f1acdf</f>
        <v/>
      </c>
    </row>
    <row r="6032">
      <c r="A6032">
        <f>=13003920	 | Backdoor.MacOS.FlashBack.B	 | 001c6f55c08ed2ecedb2544afb21ed4a</f>
        <v/>
      </c>
    </row>
    <row r="6033">
      <c r="A6033">
        <f>=13005006	 | Backdoor.MacOS.Longage.B	 | 000efa5590ede9282c6dfe8a23246859</f>
        <v/>
      </c>
    </row>
    <row r="6034">
      <c r="A6034">
        <f>=13005506	 | Trojan.MacOS.Presenoker.A	 | b5d172c39a50b2b0a92fa83165fcafb3</f>
        <v/>
      </c>
    </row>
    <row r="6035">
      <c r="A6035">
        <f>=13005823	 | Ransom.MacOS.Filecoder.A	 | f9a016d863e082806fedc44c3e9866ac</f>
        <v/>
      </c>
    </row>
    <row r="6036">
      <c r="A6036">
        <f>=13007010	 | Trojan.MacOS.ThifQseut.A	 | e480e338a3479200ea6ca24b51ba2ae2</f>
        <v/>
      </c>
    </row>
    <row r="6037">
      <c r="A6037">
        <f>=13008980	 | Hackertool.MacOS.Coinminer.A	 | a64e41542289ac3de1280faf58ac0e0a</f>
        <v/>
      </c>
    </row>
    <row r="6038">
      <c r="A6038">
        <f>=13011929	 | Trojan.MacOS.GoSearch22.C	 | c43ded41e91d5b2916b7ff12e1a55815</f>
        <v/>
      </c>
    </row>
    <row r="6039">
      <c r="A6039">
        <f>=13011956	 | Adware.MacOS.Generic.A	 | b48841d8e0fef5883807200d5f78bd0f</f>
        <v/>
      </c>
    </row>
    <row r="6040">
      <c r="A6040">
        <f>=14003981	 | Js.PDF.PdfKa.B	 | 8198dd3523167a93773085218536cdee</f>
        <v/>
      </c>
    </row>
    <row r="6041">
      <c r="A6041">
        <f>=14003982	 | Js.PDF.PdfKa.C	 | 32e1717ca6d7793a1c7d9c216f8cf807</f>
        <v/>
      </c>
    </row>
    <row r="6042">
      <c r="A6042">
        <f>=14003984	 | Js.PDF.PdfKa.E	 | 0bf428ebc952ae459413a48b004df81b</f>
        <v/>
      </c>
    </row>
    <row r="6043">
      <c r="A6043">
        <f>=14003985	 | Js.PDF.PdfKa.F	 | 0ea3396573d006778f08ed1eb15fcd74</f>
        <v/>
      </c>
    </row>
    <row r="6044">
      <c r="A6044">
        <f>=14003986	 | Js.PDF.PdfKa.G	 | a6df06d4767629f859955b23d2c7c52e</f>
        <v/>
      </c>
    </row>
    <row r="6045">
      <c r="A6045">
        <f>=14003988	 | Js.PDF.PdfKa.I	 | 1aa97fb6267979b36af255e9307cf73a</f>
        <v/>
      </c>
    </row>
    <row r="6046">
      <c r="A6046">
        <f>=14003989	 | Js.PDF.PdfKa.J	 | 0d918adc994eac6d76ac7276e357b04a</f>
        <v/>
      </c>
    </row>
    <row r="6047">
      <c r="A6047">
        <f>=14003990	 | Js.PDF.PdfKa.K	 | 1cb69a9809320c9bd273c60833ec85de</f>
        <v/>
      </c>
    </row>
    <row r="6048">
      <c r="A6048">
        <f>=14003991	 | Js.PDF.PdfKa.L	 | d074a5ec411cc92a4b3e6150dc431840</f>
        <v/>
      </c>
    </row>
    <row r="6049">
      <c r="A6049">
        <f>=14003992	 | Js.PDF.PdfKa.M	 | 07f7a402a2695a8272d09192d5cb43a0</f>
        <v/>
      </c>
    </row>
    <row r="6050">
      <c r="A6050">
        <f>=14003993	 | Js.PDF.PdfKa.N	 | 4378337965860f0e981e5545d82fa2bd</f>
        <v/>
      </c>
    </row>
    <row r="6051">
      <c r="A6051">
        <f>=14003994	 | Js.PDF.PdfKa.O	 | db61090d77f866120c88f0f9416b6960</f>
        <v/>
      </c>
    </row>
    <row r="6052">
      <c r="A6052">
        <f>=14004052	 | Js.PDF.PdfKa.P	 | ff865123f7c2d7ed1dc417dd8096c21e</f>
        <v/>
      </c>
    </row>
    <row r="6053">
      <c r="A6053">
        <f>=14004968	 | Js.PDF.PdfKa.Q	 | 03d7c7e7ee6d6818dd3611e4f31c3263</f>
        <v/>
      </c>
    </row>
    <row r="6054">
      <c r="A6054">
        <f>=15004135	 | SfxScript.Win32.RunPS.A	 | 84db24ef0bf045d100c200d608204600</f>
        <v/>
      </c>
    </row>
    <row r="6055">
      <c r="A6055">
        <f>=16004148	 | Php.Win32.WebShell.A	 | B4D4520641EA30D533537048838649A5</f>
        <v/>
      </c>
    </row>
    <row r="6056">
      <c r="A6056">
        <f>=16005723	 | Js.Win32.Generic.F	 | 746d4093482a1e2beedb9d7f87a1c214</f>
        <v/>
      </c>
    </row>
    <row r="6057">
      <c r="A6057">
        <f>=16005724	 | Js.Win32.Generic.G	 | 1a9985ee46b4ac2985604c77d9a83cd8</f>
        <v/>
      </c>
    </row>
    <row r="6058">
      <c r="A6058">
        <f>=16006104	 | Backdoor.Win32.WebShell.A	 | 734d4743e00031fd4afb85f456eec00e</f>
        <v/>
      </c>
    </row>
    <row r="6059">
      <c r="A6059">
        <f>=16006105	 | Html.Win32.Webshell.B	 | d61fc754116b2197ea32b5bf34976a2f</f>
        <v/>
      </c>
    </row>
    <row r="6060">
      <c r="A6060">
        <f>=16006106	 | Html.Win32.Webshell.C	 | 576ed018a4c2b4d6bf14d443e8caba50</f>
        <v/>
      </c>
    </row>
    <row r="6061">
      <c r="A6061">
        <f>=16006109	 | Html.Win32.Webshell.E	 | e24cbf0e294da9ac2117dc660d890bb9</f>
        <v/>
      </c>
    </row>
    <row r="6062">
      <c r="A6062">
        <f>=16006110	 | Html.Win32.Webshell.F	 | 8c6ac3ea0499f941f66ae3f249215759</f>
        <v/>
      </c>
    </row>
    <row r="6063">
      <c r="A6063">
        <f>=16006115	 | Html.Win32.Webshell.J	 | 1a95f0163b6dea771da1694de13a3d8d</f>
        <v/>
      </c>
    </row>
    <row r="6064">
      <c r="A6064">
        <f>=16008468	 | Backdoor.Win32.Webshell.D	 | bfb523cd631d9502ad7b3bdc46d11504</f>
        <v/>
      </c>
    </row>
    <row r="6065">
      <c r="A6065">
        <f>=16008861	 | Backdoor.Win32.Webshell.F	 | d42faa5ce099000d3f19c2bcdb153be9</f>
        <v/>
      </c>
    </row>
    <row r="6066">
      <c r="A6066">
        <f>=16008863	 | Backdoor.Win32.Webshell.G	 | 0bd383d71e95f0c28eb4fff2fb1ad03b</f>
        <v/>
      </c>
    </row>
    <row r="6067">
      <c r="A6067">
        <f>=16008945	 | Backdoor.Win32.WebShell.I	 | a3e6d7d37079dbefc5d9d3bdb8936173</f>
        <v/>
      </c>
    </row>
    <row r="6068">
      <c r="A6068">
        <f>=16009901	 | Script.Win32.AntSword.D	 | f1aa07c4bb554f5111002ddc639461f3</f>
        <v/>
      </c>
    </row>
    <row r="6069">
      <c r="A6069">
        <f>=16009930	 | Script.Win32.WebShell.TE	 | feb3f9c865069fa414542d1f52091770</f>
        <v/>
      </c>
    </row>
    <row r="6070">
      <c r="A6070">
        <f>=16009938	 | Script.Win32.WebShell.TL	 | a99039000f94ed571a151c0ec8bc9155</f>
        <v/>
      </c>
    </row>
    <row r="6071">
      <c r="A6071">
        <f>=16009939	 | Backdoor.Win32.WebShell.R	 | 05c53a220dfe4d162dae6bb552444bd1</f>
        <v/>
      </c>
    </row>
    <row r="6072">
      <c r="A6072">
        <f>=16009942	 | Script.Win32.WebShell.TN	 | e35003dcecf09362bbdea750dd497c5d</f>
        <v/>
      </c>
    </row>
    <row r="6073">
      <c r="A6073">
        <f>=16009944	 | Backdoor.Win32.Remoteshell.A	 | 4b9cc41a8a9a9fa6e46f4ae9aca8534a</f>
        <v/>
      </c>
    </row>
    <row r="6074">
      <c r="A6074">
        <f>=16009946	 | Script.Win32.WebShell.TP	 | 8f3cc38f785a8a8f97711f2273906232</f>
        <v/>
      </c>
    </row>
    <row r="6075">
      <c r="A6075">
        <f>=16010228	 | Backdoor.Win32.WebShell.W	 | 0fc888663dee39531aa64ae140e5cf43</f>
        <v/>
      </c>
    </row>
    <row r="6076">
      <c r="A6076">
        <f>=16010229	 | Backdoor.Win32.WebShell.X	 | 13e229c6dd5e2fa708cb4a86ae7140a3</f>
        <v/>
      </c>
    </row>
    <row r="6077">
      <c r="A6077">
        <f>=16010642	 | Script.Win32.Webshell.UA	 | 036E6F394A3179DC9FD8E8232D13C01B</f>
        <v/>
      </c>
    </row>
    <row r="6078">
      <c r="A6078">
        <f>=16010698	 | Trojan.Win32.IframeRef.AJ	 | 21f90aec85333e69f5e30d54045f96d6</f>
        <v/>
      </c>
    </row>
    <row r="6079">
      <c r="A6079">
        <f>=16011749	 | Exploit.Win32.Bsod.D	 | dbba72382f1f6d2ec2ba5e66aaca3d96</f>
        <v/>
      </c>
    </row>
    <row r="6080">
      <c r="A6080">
        <f>=16011833	 | Script.Win32.CoinMiner.E	 | c9bf0286afd6d7c804377fe397c4b371</f>
        <v/>
      </c>
    </row>
    <row r="6081">
      <c r="A6081">
        <f>=16011976	 | Script.Win32.Agent.AMK	 | ea75280224a735f1e445d244acdfeb7b</f>
        <v/>
      </c>
    </row>
    <row r="6082">
      <c r="A6082">
        <f>=16011977	 | Script.Win32.Agent.AML	 | 3ca9bfea1ee7672ea1a9495deceb301a</f>
        <v/>
      </c>
    </row>
    <row r="6083">
      <c r="A6083">
        <f>=16011978	 | Script.Win32.Agent.AMM	 | c04d160a5447f26c877c5633b73c6941</f>
        <v/>
      </c>
    </row>
    <row r="6084">
      <c r="A6084">
        <f>=16011979	 | Script.Win32.Agent.AMN	 | 39cdb128b74b95621b877c8334afea1b</f>
        <v/>
      </c>
    </row>
    <row r="6085">
      <c r="A6085">
        <f>=16011980	 | Script.Win32.Agent.AMO	 | f8746f252b1963449d89c76a4dd4779b</f>
        <v/>
      </c>
    </row>
    <row r="6086">
      <c r="A6086">
        <f>=16011981	 | Script.Win32.Agent.AMP	 | 34c6133228470e6fa5f34091ef7ccc3b</f>
        <v/>
      </c>
    </row>
    <row r="6087">
      <c r="A6087">
        <f>=16011982	 | Script.Win32.Agent.AMQ	 | 6aa494a3e5fbdab9b06d27b0831d73e4</f>
        <v/>
      </c>
    </row>
    <row r="6088">
      <c r="A6088">
        <f>=16011983	 | Script.Win32.Agent.AMR	 | b74d36a3966be45fa62b32df7869a523</f>
        <v/>
      </c>
    </row>
    <row r="6089">
      <c r="A6089">
        <f>=16011984	 | Script.Win32.Agent.AMS	 | ddb7d76c34158f6259d215a2b2621131</f>
        <v/>
      </c>
    </row>
    <row r="6090">
      <c r="A6090">
        <f>=16011985	 | Script.Win32.Agent.AMT	 | 8e4f7c6822c35cfbc32f30385c7601e9</f>
        <v/>
      </c>
    </row>
    <row r="6091">
      <c r="A6091">
        <f>=16011986	 | Script.Win32.Agent.AMU	 | c45a808f4a6bd9d88dc7e8079ecb7392</f>
        <v/>
      </c>
    </row>
    <row r="6092">
      <c r="A6092">
        <f>=16011987	 | Script.Win32.Agent.AMV	 | efb8f918106b96ba27be627f0ba7f16c</f>
        <v/>
      </c>
    </row>
    <row r="6093">
      <c r="A6093">
        <f>=16011988	 | Script.Win32.Agent.AMW	 | ec566bbc27f63166664859aa73c54dbb</f>
        <v/>
      </c>
    </row>
    <row r="6094">
      <c r="A6094">
        <f>=16011989	 | Script.Win32.Agent.AMX	 | a77ec8b26dcbe9744aacb49787188495</f>
        <v/>
      </c>
    </row>
    <row r="6095">
      <c r="A6095">
        <f>=16011990	 | Script.Win32.Agent.AMY	 | fecb324885be22904a0872aa60953117</f>
        <v/>
      </c>
    </row>
    <row r="6096">
      <c r="A6096">
        <f>=16011991	 | Script.Win32.Agent.ANA	 | 1f1057bc4b03feadbef70910990208e7</f>
        <v/>
      </c>
    </row>
    <row r="6097">
      <c r="A6097">
        <f>=16011992	 | Script.Win32.Agent.ANB	 | 130ab564138cc76141417b30399ec33f</f>
        <v/>
      </c>
    </row>
    <row r="6098">
      <c r="A6098">
        <f>=16011993	 | Script.Win32.Agent.ANC	 | 9989dfb9da2251a445aa4934356751c2</f>
        <v/>
      </c>
    </row>
    <row r="6099">
      <c r="A6099">
        <f>=16011994	 | Script.Win32.Agent.AND	 | 847b334e755e8955d21de0fcc1778b34</f>
        <v/>
      </c>
    </row>
    <row r="6100">
      <c r="A6100">
        <f>=16011995	 | Script.Win32.Agent.ANE	 | 499129bd65d03795a06bed5f7c029d7e</f>
        <v/>
      </c>
    </row>
    <row r="6101">
      <c r="A6101">
        <f>=16011996	 | Script.Win32.Agent.ANF	 | 64de41b65d814ab3af6347aace093b3b</f>
        <v/>
      </c>
    </row>
    <row r="6102">
      <c r="A6102">
        <f>=16011997	 | Script.Win32.Agent.ANG	 | 6e559e18769e6e5e9a2b548b86f3c9f9</f>
        <v/>
      </c>
    </row>
    <row r="6103">
      <c r="A6103">
        <f>=16011998	 | Script.Win32.Agent.ANH	 | 91f4ea447aa494a96bf68a234427a367</f>
        <v/>
      </c>
    </row>
    <row r="6104">
      <c r="A6104">
        <f>=16011999	 | Script.Win32.Agent.ANI	 | 0b6bb38bec3882c6350ae00d8a19c80d</f>
        <v/>
      </c>
    </row>
    <row r="6105">
      <c r="A6105">
        <f>=16012000	 | Script.Win32.Agent.ANJ	 | 08a9e9bdfa51df5e2156b2429b04d65d</f>
        <v/>
      </c>
    </row>
    <row r="6106">
      <c r="A6106">
        <f>=16012001	 | Script.Win32.Agent.ANK	 | ca14ef5e50044aaff079e1203375725d</f>
        <v/>
      </c>
    </row>
    <row r="6107">
      <c r="A6107">
        <f>=16012002	 | Script.Win32.Agent.ANL	 | 7f3a25b4fc6543fee99688eb9090b694</f>
        <v/>
      </c>
    </row>
    <row r="6108">
      <c r="A6108">
        <f>=16012003	 | Script.Win32.Agent.ANM	 | 965b5c3dce2538f373d4f90e07afd123</f>
        <v/>
      </c>
    </row>
    <row r="6109">
      <c r="A6109">
        <f>=16012004	 | Script.Win32.Agent.ANN	 | d1198009bd7b20b88d4c1434b994986f</f>
        <v/>
      </c>
    </row>
    <row r="6110">
      <c r="A6110">
        <f>=16012005	 | Script.Win32.Agent.ANO	 | 4be77c119986fc399d483c0426f752f6</f>
        <v/>
      </c>
    </row>
    <row r="6111">
      <c r="A6111">
        <f>=16012006	 | Script.Win32.Agent.ANP	 | 7b9734495625b689ad46813b8377ad0b</f>
        <v/>
      </c>
    </row>
    <row r="6112">
      <c r="A6112">
        <f>=16012007	 | Script.Win32.Agent.ANQ	 | d98705a84d405681fc8a84893a64a867</f>
        <v/>
      </c>
    </row>
    <row r="6113">
      <c r="A6113">
        <f>=16012008	 | Script.Win32.Agent.ANR	 | 1dc72a1ff8b00a28d13f83475a67ae89</f>
        <v/>
      </c>
    </row>
    <row r="6114">
      <c r="A6114">
        <f>=16012009	 | Script.Win32.Agent.ANS	 | bb5cae2b7e9b3ee81377116952956fd2</f>
        <v/>
      </c>
    </row>
    <row r="6115">
      <c r="A6115">
        <f>=16012010	 | Script.Win32.Agent.ANT	 | d6f03c74e13326e92b7f2921748bd6c5</f>
        <v/>
      </c>
    </row>
    <row r="6116">
      <c r="A6116">
        <f>=16012011	 | Script.Win32.Agent.ANU	 | 102f169280dc1c1b7e089ce0e78c8605</f>
        <v/>
      </c>
    </row>
    <row r="6117">
      <c r="A6117">
        <f>=16012012	 | Script.Win32.Agent.ANV	 | 3bc43416a6d3a20214a7d6428bb0e2f1</f>
        <v/>
      </c>
    </row>
    <row r="6118">
      <c r="A6118">
        <f>=16012013	 | Script.Win32.Agent.ANW	 | fdba80ae58d67e5ec8839621d71b019f</f>
        <v/>
      </c>
    </row>
    <row r="6119">
      <c r="A6119">
        <f>=16012014	 | Script.Win32.Agent.ANX	 | 89a5017f40c91166cf36bf25d760aca4</f>
        <v/>
      </c>
    </row>
    <row r="6120">
      <c r="A6120">
        <f>=16012015	 | Script.Win32.Agent.ANY	 | e473fe4465a3d51b3ac4c115d9a90ae9</f>
        <v/>
      </c>
    </row>
    <row r="6121">
      <c r="A6121">
        <f>=16012016	 | Script.Win32.Agent.AOA	 | 6065fb6cb7d1a2640b494e6e5a096c44</f>
        <v/>
      </c>
    </row>
    <row r="6122">
      <c r="A6122">
        <f>=16012017	 | Script.Win32.Agent.AOB	 | 5e813df94afcc5eeed8e17d4dcedc39b</f>
        <v/>
      </c>
    </row>
    <row r="6123">
      <c r="A6123">
        <f>=16012018	 | Script.Win32.Agent.AOC	 | 77eced7493de1807de30ac7085e8f828</f>
        <v/>
      </c>
    </row>
    <row r="6124">
      <c r="A6124">
        <f>=16012019	 | Script.Win32.Agent.AOD	 | 28b07e99a98f8bde7dffe6129b74178b</f>
        <v/>
      </c>
    </row>
    <row r="6125">
      <c r="A6125">
        <f>=16012020	 | Script.Win32.Agent.AOE	 | 95a4a1f4a68adae0bc38a7fa18189ba8</f>
        <v/>
      </c>
    </row>
    <row r="6126">
      <c r="A6126">
        <f>=16012021	 | Script.Win32.Agent.AOF	 | bde2f81b3f3aa201ab972148c9c0a9ad</f>
        <v/>
      </c>
    </row>
    <row r="6127">
      <c r="A6127">
        <f>=16012022	 | Script.Win32.Agent.AOG	 | 1ff7b8b1e91e985c1bc47858fb9de3ac</f>
        <v/>
      </c>
    </row>
    <row r="6128">
      <c r="A6128">
        <f>=16012023	 | Script.Win32.Agent.AOH	 | 4991f049f6db93fe3d9d21e74be19408</f>
        <v/>
      </c>
    </row>
    <row r="6129">
      <c r="A6129">
        <f>=16012024	 | Script.Win32.Agent.AOI	 | 87af5888bdad39726c2a4115694be11c</f>
        <v/>
      </c>
    </row>
    <row r="6130">
      <c r="A6130">
        <f>=16012025	 | Script.Win32.Agent.AOJ	 | 5a8fb3619f1f79749c8fa4c484fcb7f9</f>
        <v/>
      </c>
    </row>
    <row r="6131">
      <c r="A6131">
        <f>=16012026	 | Script.Win32.Agent.AOK	 | 08da82abc90205bff4511ddfc95c7364</f>
        <v/>
      </c>
    </row>
    <row r="6132">
      <c r="A6132">
        <f>=16012027	 | Script.Win32.Agent.AOL	 | 377ff3f1ac86af6e900950cdc8f4afd5</f>
        <v/>
      </c>
    </row>
    <row r="6133">
      <c r="A6133">
        <f>=16012028	 | Script.Win32.Agent.AOM	 | 847fe297149382ebf3626e2a8aeb16ad</f>
        <v/>
      </c>
    </row>
    <row r="6134">
      <c r="A6134">
        <f>=16012029	 | Script.Win32.Agent.AON	 | 18356305240c16b2a8e0e09b3ac5f592</f>
        <v/>
      </c>
    </row>
    <row r="6135">
      <c r="A6135">
        <f>=16012030	 | Script.Win32.Agent.AOO	 | e6a1992bd9e222991afb0b1d21c78566</f>
        <v/>
      </c>
    </row>
    <row r="6136">
      <c r="A6136">
        <f>=16012031	 | Script.Win32.Agent.AOP	 | 6aaf9631575259f111ec7843525b904e</f>
        <v/>
      </c>
    </row>
    <row r="6137">
      <c r="A6137">
        <f>=16012032	 | Script.Win32.Agent.AOQ	 | 4f032f6e8cbb1f6aabef7c57a476a8d8</f>
        <v/>
      </c>
    </row>
    <row r="6138">
      <c r="A6138">
        <f>=16012033	 | Script.Win32.Agent.AOR	 | 09414d0b41713d532d36b339129a67e5</f>
        <v/>
      </c>
    </row>
    <row r="6139">
      <c r="A6139">
        <f>=16012034	 | Script.Win32.Agent.AOS	 | 4d4651cf6c543006a8758b0da28a5617</f>
        <v/>
      </c>
    </row>
    <row r="6140">
      <c r="A6140">
        <f>=16012035	 | Script.Win32.Agent.AOT	 | 2e93c4a8afd8daea1135af9a67c8aca7</f>
        <v/>
      </c>
    </row>
    <row r="6141">
      <c r="A6141">
        <f>=16012036	 | Script.Win32.Agent.AOU	 | c0017cd5ab896c425705c45a50d5fb26</f>
        <v/>
      </c>
    </row>
    <row r="6142">
      <c r="A6142">
        <f>=16012037	 | Script.Win32.Agent.AOV	 | 9b2306e58081aed8d59a4a4c463284dc</f>
        <v/>
      </c>
    </row>
    <row r="6143">
      <c r="A6143">
        <f>=16012038	 | Script.Win32.Agent.AOW	 | f38e6ab6474f64baada118780c4a0797</f>
        <v/>
      </c>
    </row>
    <row r="6144">
      <c r="A6144">
        <f>=16012039	 | Script.Win32.Agent.AOX	 | bf03435b4c8cc7614d494ac4f3c34688</f>
        <v/>
      </c>
    </row>
    <row r="6145">
      <c r="A6145">
        <f>=16012040	 | Script.Win32.Agent.AOY	 | 79667bc6eef7693ed5da85b31a677f9c</f>
        <v/>
      </c>
    </row>
    <row r="6146">
      <c r="A6146">
        <f>=16012041	 | Script.Win32.Agent.APA	 | ccf7f88f3134cede48d13d55ec7ff82b</f>
        <v/>
      </c>
    </row>
    <row r="6147">
      <c r="A6147">
        <f>=16012042	 | Script.Win32.Agent.APB	 | d14546f3aea9b5266a1729293f236d83</f>
        <v/>
      </c>
    </row>
    <row r="6148">
      <c r="A6148">
        <f>=16012043	 | Script.Win32.Agent.APC	 | e560917201d9d6f34d87e4b8b4e9b526</f>
        <v/>
      </c>
    </row>
    <row r="6149">
      <c r="A6149">
        <f>=16012044	 | Script.Win32.Agent.APD	 | 5f6cab969898af6a5e020fe211203174</f>
        <v/>
      </c>
    </row>
    <row r="6150">
      <c r="A6150">
        <f>=16012045	 | Script.Win32.Agent.APE	 | e0444d5ffea458d9b57cf61b8b00ec50</f>
        <v/>
      </c>
    </row>
    <row r="6151">
      <c r="A6151">
        <f>=16012046	 | Script.Win32.Agent.APF	 | 68290fe3fdadf45cbf8b490f699618f8</f>
        <v/>
      </c>
    </row>
    <row r="6152">
      <c r="A6152">
        <f>=16012047	 | Script.Win32.Agent.APG	 | c3230e64cf9be1ea5f1624cd9ee12777</f>
        <v/>
      </c>
    </row>
    <row r="6153">
      <c r="A6153">
        <f>=16012048	 | Script.Win32.Agent.APH	 | 8e3ec214cca91cd3ec3789c8a6caec3b</f>
        <v/>
      </c>
    </row>
    <row r="6154">
      <c r="A6154">
        <f>=16012049	 | Script.Win32.Agent.API	 | c3c1e068dfa001d740d828a5d9242923</f>
        <v/>
      </c>
    </row>
    <row r="6155">
      <c r="A6155">
        <f>=16012050	 | Script.Win32.Agent.APJ	 | f8cdbd99e7194593d0b631ec2cba8d44</f>
        <v/>
      </c>
    </row>
    <row r="6156">
      <c r="A6156">
        <f>=16012051	 | Script.Win32.Agent.APK	 | ebd1e8519d4d13698ba01138599c5d4c</f>
        <v/>
      </c>
    </row>
    <row r="6157">
      <c r="A6157">
        <f>=16012052	 | Script.Win32.Agent.APL	 | fb0db2d9d7aeed8e9a9f0868621cfdaa</f>
        <v/>
      </c>
    </row>
    <row r="6158">
      <c r="A6158">
        <f>=16012053	 | Script.Win32.Agent.APM	 | e37bae567b320664192c860cbd9f4e68</f>
        <v/>
      </c>
    </row>
    <row r="6159">
      <c r="A6159">
        <f>=16012054	 | Script.Win32.Agent.APN	 | 5542787bb021dd54dbd7c45d2917facd</f>
        <v/>
      </c>
    </row>
    <row r="6160">
      <c r="A6160">
        <f>=16012055	 | Script.Win32.Agent.APO	 | e8410e13c18eaf32358bd5bbfef4ef06</f>
        <v/>
      </c>
    </row>
    <row r="6161">
      <c r="A6161">
        <f>=16012056	 | Script.Win32.Agent.APP	 | 8befb6c254286665ba79cf8eb53286c4</f>
        <v/>
      </c>
    </row>
    <row r="6162">
      <c r="A6162">
        <f>=16012057	 | Script.Win32.Agent.APQ	 | b05ccfd9eeefb72098368aae2ee8c485</f>
        <v/>
      </c>
    </row>
    <row r="6163">
      <c r="A6163">
        <f>=16012058	 | Script.Win32.Agent.APR	 | 67da91cc65232373597d8d983e36a07c</f>
        <v/>
      </c>
    </row>
    <row r="6164">
      <c r="A6164">
        <f>=16012059	 | Script.Win32.Agent.APS	 | 3ad1035427629e081f924846ffd004a2</f>
        <v/>
      </c>
    </row>
    <row r="6165">
      <c r="A6165">
        <f>=16012060	 | Script.Win32.Agent.APT	 | 4adef02197f50b9cc6918aa06132b2f6</f>
        <v/>
      </c>
    </row>
    <row r="6166">
      <c r="A6166">
        <f>=16012061	 | Script.Win32.Agent.APU	 | fbf2e76e6f897f6f42b896c855069276</f>
        <v/>
      </c>
    </row>
    <row r="6167">
      <c r="A6167">
        <f>=16012062	 | Script.Win32.Agent.APV	 | c842962cb245b59df4815e9f0eafc0f4</f>
        <v/>
      </c>
    </row>
    <row r="6168">
      <c r="A6168">
        <f>=16012063	 | Script.Win32.Agent.APW	 | 576ad4f370014dfb1d0f17b0e6855f22</f>
        <v/>
      </c>
    </row>
    <row r="6169">
      <c r="A6169">
        <f>=16012064	 | Script.Win32.Agent.APX	 | d38920b1f6aa9bcc976df1f350e5963f</f>
        <v/>
      </c>
    </row>
    <row r="6170">
      <c r="A6170">
        <f>=16012065	 | Script.Win32.Agent.APY	 | 8f36529b99672781e7c85f90851b415d</f>
        <v/>
      </c>
    </row>
    <row r="6171">
      <c r="A6171">
        <f>=16012066	 | Script.Win32.Agent.AQA	 | e91a9eae8effe4e9095d0190d895c0ff</f>
        <v/>
      </c>
    </row>
    <row r="6172">
      <c r="A6172">
        <f>=16012067	 | Script.Win32.Agent.AQB	 | 3525cf968b7a63db91711ab34e3f237f</f>
        <v/>
      </c>
    </row>
    <row r="6173">
      <c r="A6173">
        <f>=16012069	 | Script.Win32.Agent.AQD	 | 504844fc6e68d871b0cbbcfdd34a99e9</f>
        <v/>
      </c>
    </row>
    <row r="6174">
      <c r="A6174">
        <f>=16012070	 | Script.Win32.Agent.AQE	 | 6b51b0cded5f602cac58bd1fc04eace4</f>
        <v/>
      </c>
    </row>
    <row r="6175">
      <c r="A6175">
        <f>=16012075	 | Script.Win32.Agent.AQJ	 | c85dd76c417715cc06b4e5285ddc0367</f>
        <v/>
      </c>
    </row>
    <row r="6176">
      <c r="A6176">
        <f>=16012077	 | Script.Win32.Agent.AQL	 | 4e913f159e33867be729631a7ca46850</f>
        <v/>
      </c>
    </row>
    <row r="6177">
      <c r="A6177">
        <f>=16012080	 | Script.Win32.Agent.AQO	 | cab74f985ebe7d55d0414724be1ec306</f>
        <v/>
      </c>
    </row>
    <row r="6178">
      <c r="A6178">
        <f>=16012081	 | Script.Win32.Agent.AQP	 | 1c71df2de2ca39de44b8c9f4a354675c</f>
        <v/>
      </c>
    </row>
    <row r="6179">
      <c r="A6179">
        <f>=16012082	 | Script.Win32.Agent.AQQ	 | dd39d17e9baca0363cc1c3664e608929</f>
        <v/>
      </c>
    </row>
    <row r="6180">
      <c r="A6180">
        <f>=16012083	 | Script.Win32.Agent.AQR	 | 4006ef59cd9a964e1d3016b9a62f60db</f>
        <v/>
      </c>
    </row>
    <row r="6181">
      <c r="A6181">
        <f>=16012084	 | Script.Win32.Agent.AQS	 | 8334249cbb969f2d33d678fec2b680c5</f>
        <v/>
      </c>
    </row>
    <row r="6182">
      <c r="A6182">
        <f>=16012087	 | Script.Win32.Agent.AQV	 | b681f37e90589c2672d79cba930401d8</f>
        <v/>
      </c>
    </row>
    <row r="6183">
      <c r="A6183">
        <f>=16012090	 | Script.Win32.Agent.AQY	 | 699ee23e199c9e020658e29077e73077</f>
        <v/>
      </c>
    </row>
    <row r="6184">
      <c r="A6184">
        <f>=16012093	 | Script.Win32.Agent.ARC	 | 03b06b4183cb9947ccda2c3d636406d4</f>
        <v/>
      </c>
    </row>
    <row r="6185">
      <c r="A6185">
        <f>=16012094	 | Script.Win32.Agent.ARD	 | 12ca297cadbc475234f71b3542c1e518</f>
        <v/>
      </c>
    </row>
    <row r="6186">
      <c r="A6186">
        <f>=16012096	 | Script.Win32.Agent.ARF	 | 089fff83f9a4c9bf834655077ee17901</f>
        <v/>
      </c>
    </row>
    <row r="6187">
      <c r="A6187">
        <f>=16012097	 | Script.Win32.Agent.ARG	 | 4dd54294c5af4270e729fe3ca23d1460</f>
        <v/>
      </c>
    </row>
    <row r="6188">
      <c r="A6188">
        <f>=16012099	 | Script.Win32.Agent.ARI	 | fc85fb9323a29840cd4fb3554070109d</f>
        <v/>
      </c>
    </row>
    <row r="6189">
      <c r="A6189">
        <f>=16012104	 | Script.Win32.Agent.ARN	 | c29554427602a46d990726bee6532c4e</f>
        <v/>
      </c>
    </row>
    <row r="6190">
      <c r="A6190">
        <f>=16012105	 | Script.Win32.Agent.ARO	 | ea8099ea0f4f2c24f6b4bec50dcbe17a</f>
        <v/>
      </c>
    </row>
    <row r="6191">
      <c r="A6191">
        <f>=16012111	 | Script.Win32.Agent.ARU	 | f697e91f492cdcb7e9ee825a546ed7ed</f>
        <v/>
      </c>
    </row>
    <row r="6192">
      <c r="A6192">
        <f>=16012113	 | Script.Win32.Agent.ARW	 | 6163b30600f1e80d2bb5afaa753490b6</f>
        <v/>
      </c>
    </row>
    <row r="6193">
      <c r="A6193">
        <f>=16012119	 | Script.Win32.Agent.ASD	 | 8402260fa686d908a9e249fdc2dc3f3b</f>
        <v/>
      </c>
    </row>
    <row r="6194">
      <c r="A6194">
        <f>=16012121	 | Script.Win32.Agent.ASF	 | dcd5f7e3a0a9f8859ff7929d6699d540</f>
        <v/>
      </c>
    </row>
    <row r="6195">
      <c r="A6195">
        <f>=16012127	 | Script.Win32.Agent.ASL	 | ead1d973fb61b0e21157634d9e8d689e</f>
        <v/>
      </c>
    </row>
    <row r="6196">
      <c r="A6196">
        <f>=16012132	 | Script.Win32.Agent.ASQ	 | 695476cb14959fc97f76d5306ff9ff5e</f>
        <v/>
      </c>
    </row>
    <row r="6197">
      <c r="A6197">
        <f>=16012134	 | Script.Win32.Agent.ASS	 | 5538e60c5b933e7bb2b42271061d0755</f>
        <v/>
      </c>
    </row>
    <row r="6198">
      <c r="A6198">
        <f>=16012135	 | Script.Win32.Agent.AST	 | 7c7d220c5a332fb711017a2db032c74a</f>
        <v/>
      </c>
    </row>
    <row r="6199">
      <c r="A6199">
        <f>=16012136	 | Script.Win32.Agent.ASU	 | 9f6f9bec50ebb7d4c36d858ca3f0bd74</f>
        <v/>
      </c>
    </row>
    <row r="6200">
      <c r="A6200">
        <f>=16012137	 | Script.Win32.Agent.ASV	 | 58fb6997e6cc4f07e567c57fa133dcbc</f>
        <v/>
      </c>
    </row>
    <row r="6201">
      <c r="A6201">
        <f>=16012138	 | Script.Win32.Agent.ASW	 | 7e5f9e05139f229c584e2542352d0f89</f>
        <v/>
      </c>
    </row>
    <row r="6202">
      <c r="A6202">
        <f>=16012139	 | Script.Win32.Agent.ASX	 | ee94952dc53d9a29bdf4ece54c7a7aa7</f>
        <v/>
      </c>
    </row>
    <row r="6203">
      <c r="A6203">
        <f>=16012145	 | Script.Win32.Agent.ATE	 | e9f3cef8e9e68234ef7e80cc37f7dc9f</f>
        <v/>
      </c>
    </row>
    <row r="6204">
      <c r="A6204">
        <f>=16012146	 | Script.Win32.Agent.ATF	 | 08f0e50ea153d05e538c6cae4fdba895</f>
        <v/>
      </c>
    </row>
    <row r="6205">
      <c r="A6205">
        <f>=16012147	 | Script.Win32.Agent.ATG	 | 01b339dcd3435b98dbcba8f77809fdde</f>
        <v/>
      </c>
    </row>
    <row r="6206">
      <c r="A6206">
        <f>=16012148	 | Script.Win32.Agent.ATH	 | 80a9d47267697864eb42054f3992deef</f>
        <v/>
      </c>
    </row>
    <row r="6207">
      <c r="A6207">
        <f>=16012151	 | Script.Win32.Agent.ATK	 | e7d785a38c6499a94c2defe9694f3274</f>
        <v/>
      </c>
    </row>
    <row r="6208">
      <c r="A6208">
        <f>=16012153	 | Script.Win32.Agent.ATM	 | 5df5d4e147baa601bff236f16f20554b</f>
        <v/>
      </c>
    </row>
    <row r="6209">
      <c r="A6209">
        <f>=16012157	 | Script.Win32.Agent.ATQ	 | 2e7056efbdece81a202f1765b9a74694</f>
        <v/>
      </c>
    </row>
    <row r="6210">
      <c r="A6210">
        <f>=16012160	 | Script.Win32.Agent.ATT	 | 9e33a29cf37bbf26c9d11748bbccbb96</f>
        <v/>
      </c>
    </row>
    <row r="6211">
      <c r="A6211">
        <f>=16012161	 | Script.Win32.Agent.ATU	 | 27d00fcf171d5bef181fcc90ba24c123</f>
        <v/>
      </c>
    </row>
    <row r="6212">
      <c r="A6212">
        <f>=16012163	 | Script.Win32.Agent.ATW	 | 93c5b342a16352556ae032c9ea7aa1b2</f>
        <v/>
      </c>
    </row>
    <row r="6213">
      <c r="A6213">
        <f>=16012164	 | Script.Win32.Agent.ATX	 | 85b21e2858ab72d7be9d510cacb03877</f>
        <v/>
      </c>
    </row>
    <row r="6214">
      <c r="A6214">
        <f>=16012165	 | Script.Win32.Agent.ATY	 | ea872c60d5f4b16abdfe95b4e3f7c2f6</f>
        <v/>
      </c>
    </row>
    <row r="6215">
      <c r="A6215">
        <f>=16012166	 | Script.Win32.Agent.AUA	 | 984d7cebf3e1bd9f1a52862c94306a13</f>
        <v/>
      </c>
    </row>
    <row r="6216">
      <c r="A6216">
        <f>=16012167	 | Script.Win32.Agent.AUB	 | 68f4cc3ae10034d18a3ecf082e89e75a</f>
        <v/>
      </c>
    </row>
    <row r="6217">
      <c r="A6217">
        <f>=16012168	 | Script.Win32.Agent.AUC	 | 5a928fee52894a0903a4f7b6abb6defa</f>
        <v/>
      </c>
    </row>
    <row r="6218">
      <c r="A6218">
        <f>=16012170	 | Script.Win32.Agent.AUE	 | 5ae745c3ac285196856c14ca7636bfc9</f>
        <v/>
      </c>
    </row>
    <row r="6219">
      <c r="A6219">
        <f>=16012171	 | Script.Win32.Agent.AUF	 | c2ac9f1fc6fd9065867e311c7def71cd</f>
        <v/>
      </c>
    </row>
    <row r="6220">
      <c r="A6220">
        <f>=16012172	 | Script.Win32.Agent.AUG	 | 0b5558af0371bf561bedf4401c7a0b1c</f>
        <v/>
      </c>
    </row>
    <row r="6221">
      <c r="A6221">
        <f>=16012183	 | Script.Win32.Agent.AUR	 | 341d1e405140dfc45a2d34078b3ea35f</f>
        <v/>
      </c>
    </row>
    <row r="6222">
      <c r="A6222">
        <f>=16012184	 | Script.Win32.Agent.AUS	 | 84d9d5128a1fe027c6003a46c66a6b0a</f>
        <v/>
      </c>
    </row>
    <row r="6223">
      <c r="A6223">
        <f>=16012194	 | Ransom.Win32.Ronggolawe.C	 | ed0dfed0dbe615664d5cdcceddfb1a9a</f>
        <v/>
      </c>
    </row>
    <row r="6224">
      <c r="A6224">
        <f>=16012259	 | Script.Win32.Webshell.UF	 | 6ef8b1009533cac696122381bd966f88</f>
        <v/>
      </c>
    </row>
    <row r="6225">
      <c r="A6225">
        <f>=16012260	 | Script.Win32.Webshell.UG	 | 7a46ddd03955d7fc7d021dca20abde05</f>
        <v/>
      </c>
    </row>
    <row r="6226">
      <c r="A6226">
        <f>=16012261	 | Script.Win32.Webshell.UH	 | c40fcd4d26a5c3fdf1f3c88956308b65</f>
        <v/>
      </c>
    </row>
    <row r="6227">
      <c r="A6227">
        <f>=16012263	 | Script.Win32.WebShell.UI	 | 3bd217276e2f799bd64d92e3e75c443f</f>
        <v/>
      </c>
    </row>
    <row r="6228">
      <c r="A6228">
        <f>=16012264	 | Backdoor.Win32.WebShell.AC	 | 4d56b57c0e93e6ff9abee0a536eb8a4f</f>
        <v/>
      </c>
    </row>
    <row r="6229">
      <c r="A6229">
        <f>=16012265	 | Backdoor.Win32.WebShell.AD	 | 774676832d10fcfb77e696c8021bb3bd</f>
        <v/>
      </c>
    </row>
    <row r="6230">
      <c r="A6230">
        <f>=16012266	 | Backdoor.Win32.WebShell.AE	 | 114a6e1af023bbccd9392936855df8cc</f>
        <v/>
      </c>
    </row>
    <row r="6231">
      <c r="A6231">
        <f>=16012268	 | Backdoor.Win32.WebShell.AF	 | 4b50a2f633b54ebecc1916e70e11bf6f</f>
        <v/>
      </c>
    </row>
    <row r="6232">
      <c r="A6232">
        <f>=16012287	 | Html.Win32.Webshell.M	 | dbc4051f98a9a443053805d8164d13c2</f>
        <v/>
      </c>
    </row>
    <row r="6233">
      <c r="A6233">
        <f>=16012288	 | Html.Win32.Webshell.N	 | 76362b8a2d0cb2effe54e888e089e5be</f>
        <v/>
      </c>
    </row>
    <row r="6234">
      <c r="A6234">
        <f>=18004971	 | Js.Win32.Agent.K	 | E3B40472E438B46C3B6045A8DE675068</f>
        <v/>
      </c>
    </row>
    <row r="6235">
      <c r="A6235">
        <f>=18005608	 | Trojan.Win32.Generic.BU	 | 02d11353e29bc203800fafd66a3d083d</f>
        <v/>
      </c>
    </row>
    <row r="6236">
      <c r="A6236">
        <f>=18005609	 | Trojan.Win32.Generic.BV	 | 20fda63bfa7116f9dbaf350d89373c11</f>
        <v/>
      </c>
    </row>
    <row r="6237">
      <c r="A6237">
        <f>=18005610	 | Trojan.Win32.Generic.BW	 | ae18519c9e8b7482a1138bcfd88c0178</f>
        <v/>
      </c>
    </row>
    <row r="6238">
      <c r="A6238">
        <f>=18005611	 | Trojan.Win32.Generic.BX	 | 3090d54273b4b92e4e1f4c0755455eff</f>
        <v/>
      </c>
    </row>
    <row r="6239">
      <c r="A6239">
        <f>=18005613	 | Trojan.Win32.Generic.CA	 | 0fbedea719b2d1308fc43f966b49f38a</f>
        <v/>
      </c>
    </row>
    <row r="6240">
      <c r="A6240">
        <f>=18005614	 | Trojan.Win32.Generic.CB	 | 6a57b2cdbe086d971162b533c28da845</f>
        <v/>
      </c>
    </row>
    <row r="6241">
      <c r="A6241">
        <f>=18005615	 | Trojan.Win32.Generic.CC	 | 90d4482e40a9c3deffbdf19dabe12482</f>
        <v/>
      </c>
    </row>
    <row r="6242">
      <c r="A6242">
        <f>=18005616	 | Trojan.Win32.Generic.CD	 | 5dbb5c84277482345ea43bc831a63567</f>
        <v/>
      </c>
    </row>
    <row r="6243">
      <c r="A6243">
        <f>=18005617	 | Trojan.Win32.Generic.CE	 | dd72368fe60e6802a000ee580d9237db</f>
        <v/>
      </c>
    </row>
    <row r="6244">
      <c r="A6244">
        <f>=18005619	 | Trojan.Win32.Generic.CG	 | a5ed0b8f276cda7224f2f00235ec6020</f>
        <v/>
      </c>
    </row>
    <row r="6245">
      <c r="A6245">
        <f>=18005620	 | Trojan.Win32.Generic.CH	 | e6966f6ebb2f9bf5e40c348998b8f3ea</f>
        <v/>
      </c>
    </row>
    <row r="6246">
      <c r="A6246">
        <f>=18005621	 | Trojan.Win32.Generic.CI	 | 29be7f8ad1dc7e39200f343e444cd8ac</f>
        <v/>
      </c>
    </row>
    <row r="6247">
      <c r="A6247">
        <f>=18005622	 | Trojan.Win32.Generic.CJ	 | a21931adbed8f081fd5b825520a52e62</f>
        <v/>
      </c>
    </row>
    <row r="6248">
      <c r="A6248">
        <f>=18005623	 | Trojan.Win32.Generic.CK	 | a82916bc244277ad65833fadc654cd40</f>
        <v/>
      </c>
    </row>
    <row r="6249">
      <c r="A6249">
        <f>=18005624	 | Trojan.Win32.Generic.CL	 | e2ac956b46598c526d76e28a8ad27fa0</f>
        <v/>
      </c>
    </row>
    <row r="6250">
      <c r="A6250">
        <f>=18005625	 | Trojan.Win32.Generic.CM	 | 63CFA59F66A9D3C632AB48568B623543</f>
        <v/>
      </c>
    </row>
    <row r="6251">
      <c r="A6251">
        <f>=18005626	 | Trojan.Win32.Generic.CN	 | 35BCEBD28C3085DAD369BA23C720ACEB</f>
        <v/>
      </c>
    </row>
    <row r="6252">
      <c r="A6252">
        <f>=18005627	 | Trojan.Win32.Generic.CO	 | D38D99EB948666C61DB769BA15F700EF</f>
        <v/>
      </c>
    </row>
    <row r="6253">
      <c r="A6253">
        <f>=18005751	 | Trojan.Win32.Generic.EC	 | 0fbedea719b2d1308fc43f966b49f38a</f>
        <v/>
      </c>
    </row>
    <row r="6254">
      <c r="A6254">
        <f>=18006003	 | Trojan.Win32.Generic.FM	 | E5C63C4EE63E52C3195011C73BC78475</f>
        <v/>
      </c>
    </row>
    <row r="6255">
      <c r="A6255">
        <f>=18006004	 | Trojan.Win32.Generic.FN	 | E5C63C4EE63E52C3195011C73BC78475</f>
        <v/>
      </c>
    </row>
    <row r="6256">
      <c r="A6256">
        <f>=18007095	 | Powershell.Win32.Generic.B	 | e356cc089a7d768f0d8c23be6c0fb287</f>
        <v/>
      </c>
    </row>
    <row r="6257">
      <c r="A6257">
        <f>=18008032	 | Trojan.Win32.Zpevdo.A	 | fb2ca8e1ef408ab73822d4ec9e034a88</f>
        <v/>
      </c>
    </row>
    <row r="6258">
      <c r="A6258">
        <f>=18008546	 | Script.Win32.RoseKernel.B	 | 21B5854EDB9D26F355A58AB3E6B5D237</f>
        <v/>
      </c>
    </row>
    <row r="6259">
      <c r="A6259">
        <f>=18008547	 | Script.Win32.Generic.J	 | 7466f55ebba645966fb65bdf970671f9</f>
        <v/>
      </c>
    </row>
    <row r="6260">
      <c r="A6260">
        <f>=18008704	 | Script.Win32.CryptoMiner.A	 | a54b9ccaaf2f66bc9492e2c574fe9be4</f>
        <v/>
      </c>
    </row>
    <row r="6261">
      <c r="A6261">
        <f>=18011706	 | Script.Win32.Tnega.A	 | 8a047f4917d75bb0bb6659e41569a9b7</f>
        <v/>
      </c>
    </row>
    <row r="6262">
      <c r="A6262">
        <f>=18012267	 | Script.Win32.Generic.M	 | e356cc089a7d768f0d8c23be6c0fb287</f>
        <v/>
      </c>
    </row>
    <row r="6263">
      <c r="A6263">
        <f>=18012328	 | Trojan.Win32.NetLoader.A	 | 242ab782e0c9748c5fdcadeb7aa8c349</f>
        <v/>
      </c>
    </row>
    <row r="6264">
      <c r="A6264">
        <f>=18012329	 | Trojan.Win32.NetLoader.B	 | b27485728fc1c6fc9793b68ddcb867a4</f>
        <v/>
      </c>
    </row>
    <row r="6265">
      <c r="A6265">
        <f>=19006214	 | Trojan.Win32.Fuerboos.G	 | 4737EA2D35F9052B7313E8782241CD7E</f>
        <v/>
      </c>
    </row>
    <row r="6266">
      <c r="A6266">
        <f>=19006215	 | Trojan.Win32.Fuerboos.H	 | D18B00DD084F16850A606D84DF94DEA1</f>
        <v/>
      </c>
    </row>
    <row r="6267">
      <c r="A6267">
        <f>=19006216	 | Trojan.Win32.Fuerboos.I	 | bf3a07e32220b78d65c9c945c6645c8e</f>
        <v/>
      </c>
    </row>
    <row r="6268">
      <c r="A6268">
        <f>=19006217	 | Trojan.Win32.Fuerboos.J	 | 3ef4b21e92a718bfb21f0d94cdf6535b</f>
        <v/>
      </c>
    </row>
    <row r="6269">
      <c r="A6269">
        <f>=19006218	 | Trojan.Win32.Fuerboos.K	 | d14c9611b678284401bd3f693a8e2dc5</f>
        <v/>
      </c>
    </row>
    <row r="6270">
      <c r="A6270">
        <f>=19006219	 | Trojan.Win32.Fuerboos.L	 | 3FA1B99B3A5166CCBA7E2A195940C156</f>
        <v/>
      </c>
    </row>
    <row r="6271">
      <c r="A6271">
        <f>=19006304	 | Trojan.Win32.EquationDrug.A	 | aac9bc7fd2ed52d277199ccf373a996f</f>
        <v/>
      </c>
    </row>
    <row r="6272">
      <c r="A6272">
        <f>=19006776	 | Trojan.Win32.Ymacco.B	 | dbe0fb2198e5fc5af7940536f8f692c8</f>
        <v/>
      </c>
    </row>
    <row r="6273">
      <c r="A6273">
        <f>=19007934	 | Trojan.Win32.Shelma.L	 | 4f394b1551780345966e354251767a7d</f>
        <v/>
      </c>
    </row>
    <row r="6274">
      <c r="A6274">
        <f>=19007953	 | Trojan.Win32.Generic.MU	 | 04c524095f6d8b14ded661080976e749</f>
        <v/>
      </c>
    </row>
    <row r="6275">
      <c r="A6275">
        <f>=19008477	 | Trojan.Win32.Trickster.B	 | ef3a4697773f84850fe1a086db8edfe0</f>
        <v/>
      </c>
    </row>
    <row r="6276">
      <c r="A6276">
        <f>=19008480	 | Trojan.Win32.InjectPyinc.A	 | def0e980d7c2a59b52d0c644a6e40763</f>
        <v/>
      </c>
    </row>
    <row r="6277">
      <c r="A6277">
        <f>=19009907	 | Trojan.Win32.Trickster.D	 | bc26fd7a0b7fe005e116f5ff2227ea4d</f>
        <v/>
      </c>
    </row>
    <row r="6278">
      <c r="A6278">
        <f>=19012354	 | Trojan.Win32.Generic.SP	 | d14c9611b678284401bd3f693a8e2dc5</f>
        <v/>
      </c>
    </row>
    <row r="6279">
      <c r="A6279">
        <f>=19506204	 | Script.Win32.Fas.A	 | 713f0eb8ae6934ac520bf82d83bc7c72</f>
        <v/>
      </c>
    </row>
    <row r="6280">
      <c r="A6280">
        <f>=19506206	 | Script.Win32.Fas.B	 | 16cf9fbf9e68528be211cecd308fd4f6</f>
        <v/>
      </c>
    </row>
    <row r="6281">
      <c r="A6281">
        <f>=19506207	 | Script.Win32.Fas.C	 | 3d2a33a471932a78bf807ba532d5a279</f>
        <v/>
      </c>
    </row>
    <row r="6282">
      <c r="A6282">
        <f>=19506395	 | Script.Win32.Fas.F	 | 5f9da4086ce7d1faad715224a68044cf</f>
        <v/>
      </c>
    </row>
    <row r="6283">
      <c r="A6283">
        <f>=19506481	 | Trojan.Win32.Fas.E	 | 324af2abc1f3aef92eb6fd596b6eaa00</f>
        <v/>
      </c>
    </row>
    <row r="6284">
      <c r="A6284">
        <f>=19506660	 | Script.Win32.Fas.G	 | c055f0613659385848ebd99c073495ec</f>
        <v/>
      </c>
    </row>
    <row r="6285">
      <c r="A6285">
        <f>=20001	 | Virus.Win32.Ramnit.A	 | 0738b2a78731646f85c4d8a17cf2cfda</f>
        <v/>
      </c>
    </row>
    <row r="6286">
      <c r="A6286">
        <f>=20002	 | Virus.Win32.Ramnit.B	 | 082b227497916976e70b390547afa891</f>
        <v/>
      </c>
    </row>
    <row r="6287">
      <c r="A6287">
        <f>=20003	 | Virus.Win32.Viking.A	 | 1fd1d1590eff5926258642f4f2248257</f>
        <v/>
      </c>
    </row>
    <row r="6288">
      <c r="A6288">
        <f>=20004	 | Virus.Win32.Ipamor.A	 | 00c2eacba263e2e69f35d2f5986e6c1c</f>
        <v/>
      </c>
    </row>
    <row r="6289">
      <c r="A6289">
        <f>=20005	 | Virus.Win32.AngryAngle.A	 | 355a453dd626fa68d68f49154c0a88ba</f>
        <v/>
      </c>
    </row>
    <row r="6290">
      <c r="A6290">
        <f>=20006	 | Virus.Win32.Nakuru.A	 | 81a161fba46273eba8180d68d6135978</f>
        <v/>
      </c>
    </row>
    <row r="6291">
      <c r="A6291">
        <f>=20007	 | Virus.Win32.Fileinfector.A	 | 04c8df65248addabddf9c65a02ecce9b</f>
        <v/>
      </c>
    </row>
    <row r="6292">
      <c r="A6292">
        <f>=20008	 | Virus.Win32.ChineseHacker.B	 | 0526d28f2495f0ecfe2a3db46d6cf365</f>
        <v/>
      </c>
    </row>
    <row r="6293">
      <c r="A6293">
        <f>=20009	 | Virus.Win32.Neshta.A	 | 19c6b94f46aaa19887b9684b5d3abcea</f>
        <v/>
      </c>
    </row>
    <row r="6294">
      <c r="A6294">
        <f>=20010	 | Virus.Win32.Neshta.B	 | 14e7078c0f0e53d59f30d3fd6638ff6f</f>
        <v/>
      </c>
    </row>
    <row r="6295">
      <c r="A6295">
        <f>=20011	 | Virus.Win32.InjExploer.A	 | 008033f25345a5ea759b76e285901624</f>
        <v/>
      </c>
    </row>
    <row r="6296">
      <c r="A6296">
        <f>=20012	 | Virus.Win32.Jadtre.A	 | 02ba945c92ec31bfd23956f1f106e136</f>
        <v/>
      </c>
    </row>
    <row r="6297">
      <c r="A6297">
        <f>=20013	 | Virus.Win32.Jeefo.A	 | 261de35edd27437f7716cfd5ac71f31b</f>
        <v/>
      </c>
    </row>
    <row r="6298">
      <c r="A6298">
        <f>=20014	 | Virus.Win32.DeTroie.A	 | 54c2ebdf8cc7dff9b03dd3be9ffb059d</f>
        <v/>
      </c>
    </row>
    <row r="6299">
      <c r="A6299">
        <f>=20015	 | Virus.Win32.Pubwin.A	 | 1bd173b48796cf70d86594a355310cb6</f>
        <v/>
      </c>
    </row>
    <row r="6300">
      <c r="A6300">
        <f>=20016	 | Virus.Win32.Ipamor.B	 | </f>
        <v/>
      </c>
    </row>
    <row r="6301">
      <c r="A6301">
        <f>=2001770	 | Lnk.Win32.Runner.A	 | a78db52285811ef8c8eabeb0c78432f5</f>
        <v/>
      </c>
    </row>
    <row r="6302">
      <c r="A6302">
        <f>=2001771	 | Lnk.Win32.Dorkbot.B	 | 2ca516586f738d3949983d36f2902dbe</f>
        <v/>
      </c>
    </row>
    <row r="6303">
      <c r="A6303">
        <f>=2001772	 | Lnk.Win32.Dorkbot.C	 | </f>
        <v/>
      </c>
    </row>
    <row r="6304">
      <c r="A6304">
        <f>=2001773	 | Lnk.Win32.Dorkbot.D	 | a913c51c392f483401e92b01d476461f</f>
        <v/>
      </c>
    </row>
    <row r="6305">
      <c r="A6305">
        <f>=2001793	 | Lnk.Win32.PSHiddenDL.A	 | 1091090052eaeec1d35c09b3d407a793</f>
        <v/>
      </c>
    </row>
    <row r="6306">
      <c r="A6306">
        <f>=2001794	 | Lnk.Win32.PSHiddenDL.B	 | 64b2dfa6b67a4a9fe6f93ebad5c39ff9</f>
        <v/>
      </c>
    </row>
    <row r="6307">
      <c r="A6307">
        <f>=2001795	 | Lnk.Win32.Runner.B	 | a0729eab878021047d0513b9336c0b1b</f>
        <v/>
      </c>
    </row>
    <row r="6308">
      <c r="A6308">
        <f>=20018	 | Virus.Win32.Jadtre.B	 | b7cb9b1e1f0abd347172be55da213778</f>
        <v/>
      </c>
    </row>
    <row r="6309">
      <c r="A6309">
        <f>=20019	 | Virus.Win32.Wplugin.A	 | a9e4046262401789bf20c9fb33cbff75</f>
        <v/>
      </c>
    </row>
    <row r="6310">
      <c r="A6310">
        <f>=20020	 | Virus.Win32.Wycao.A	 | 654083db3ffc91e9ac0c45ed6c18b05d</f>
        <v/>
      </c>
    </row>
    <row r="6311">
      <c r="A6311">
        <f>=20021	 | Virus.Win32.Tufik.A	 | 6a986933794c07345e870fb605e383b6</f>
        <v/>
      </c>
    </row>
    <row r="6312">
      <c r="A6312">
        <f>=20022	 | Virus.Win32.Tenga.A	 | 0ace07b7a379d63fab0e197f3f099030</f>
        <v/>
      </c>
    </row>
    <row r="6313">
      <c r="A6313">
        <f>=20023	 | Virus.Win32.SennaSpy.A	 | d75c46576696a7ccf03a1820c2d22f78</f>
        <v/>
      </c>
    </row>
    <row r="6314">
      <c r="A6314">
        <f>=20024	 | Virus.Win32.Ramnit.C	 | 3f9aefb9752f24f81bfbcd8bc8b26993</f>
        <v/>
      </c>
    </row>
    <row r="6315">
      <c r="A6315">
        <f>=20025	 | Virus.Win32.Expiro.A	 | 8484e978d4c38bfc0526993a414eb950</f>
        <v/>
      </c>
    </row>
    <row r="6316">
      <c r="A6316">
        <f>=20026	 | Virus.Win32.Expiro.B	 | 6bb1460c0ce81c995174f28ce54e7a61</f>
        <v/>
      </c>
    </row>
    <row r="6317">
      <c r="A6317">
        <f>=20027	 | Virus.Win32.Expiro.C	 | 0d90f0a5c82262b31d4cf508839e90ab</f>
        <v/>
      </c>
    </row>
    <row r="6318">
      <c r="A6318">
        <f>=20028	 | Virus.Win32.Tufik.B	 | 0c9e48c9fb544c4d0d2f99fa7de95a86</f>
        <v/>
      </c>
    </row>
    <row r="6319">
      <c r="A6319">
        <f>=20029	 | Virus.Win32.Jadtre.C	 | 2929d7283a1f580dcb922562f6204ae5</f>
        <v/>
      </c>
    </row>
    <row r="6320">
      <c r="A6320">
        <f>=20030	 | Virus.Win32.Expiro.D	 | 176a8004b3a16f4da6bc29353f15a9ff</f>
        <v/>
      </c>
    </row>
    <row r="6321">
      <c r="A6321">
        <f>=20031	 | Virus.Win64.Expiro.A	 | 2c392f11edee951a2d78ba282e59eca3</f>
        <v/>
      </c>
    </row>
    <row r="6322">
      <c r="A6322">
        <f>=20032	 | Virus.Win64.Expiro.B	 | 902e606744e2a65764e5ca691c1bec4d</f>
        <v/>
      </c>
    </row>
    <row r="6323">
      <c r="A6323">
        <f>=2003291	 | Lnk.Win32.Dorkbot.E	 | 38a718e83f3f4d122e17bac790a760b6</f>
        <v/>
      </c>
    </row>
    <row r="6324">
      <c r="A6324">
        <f>=20033	 | Virus.Win32.Ramnit.D	 | be95609fef80416bf5beff68d048c489</f>
        <v/>
      </c>
    </row>
    <row r="6325">
      <c r="A6325">
        <f>=2003381	 | Lnk.Win32.Dorkbot.F	 | 4cb43980fb646b6ede790386c23cae44</f>
        <v/>
      </c>
    </row>
    <row r="6326">
      <c r="A6326">
        <f>=2003382	 | Lnk.Win32.Bundpil.B	 | a3b7e3f41bb8b42d5d1f8f95abbc69ad</f>
        <v/>
      </c>
    </row>
    <row r="6327">
      <c r="A6327">
        <f>=2003383	 | Lnk.Win32.Dinihou.B	 | 42405c2f07153e024438dd75be1e3645</f>
        <v/>
      </c>
    </row>
    <row r="6328">
      <c r="A6328">
        <f>=2003384	 | Lnk.Win32.Bundpil.A	 | 76f2298881a742afc042be6fd04211d6</f>
        <v/>
      </c>
    </row>
    <row r="6329">
      <c r="A6329">
        <f>=2003385	 | Lnk.Win32.Rundel.A	 | d8883caca1c9e16013254a8eb4f82907</f>
        <v/>
      </c>
    </row>
    <row r="6330">
      <c r="A6330">
        <f>=2003398	 | Lnk.Win32.Dinihou.A	 | 056839bba6f243f3a500d7e086cb9916</f>
        <v/>
      </c>
    </row>
    <row r="6331">
      <c r="A6331">
        <f>=20034	 | Virus.Win32.Loader.A	 | 17c10a8dc7c44a89f1f547f3c845f588</f>
        <v/>
      </c>
    </row>
    <row r="6332">
      <c r="A6332">
        <f>=2003412	 | Lnk.Win32.Dinihou.C	 | </f>
        <v/>
      </c>
    </row>
    <row r="6333">
      <c r="A6333">
        <f>=2003429	 | Lnk.Win32.Dinihou.D	 | 28c4dbfee08f258f3efce7be0005ff95</f>
        <v/>
      </c>
    </row>
    <row r="6334">
      <c r="A6334">
        <f>=2003430	 | Lnk.Win32.AutoItStart.A	 | 7bdb6d060ecc2dcbccce681fffc7ca2e</f>
        <v/>
      </c>
    </row>
    <row r="6335">
      <c r="A6335">
        <f>=2003469	 | Lnk.Win32.Dinihou.E	 | </f>
        <v/>
      </c>
    </row>
    <row r="6336">
      <c r="A6336">
        <f>=2003470	 | Lnk.Win32.Dinihou.F	 | </f>
        <v/>
      </c>
    </row>
    <row r="6337">
      <c r="A6337">
        <f>=2003471	 | Lnk.Win32.Dinihou.G	 | </f>
        <v/>
      </c>
    </row>
    <row r="6338">
      <c r="A6338">
        <f>=20035	 | Virus.Win32.Motor.A	 | 62f335b46a7466462290809701b87e3a</f>
        <v/>
      </c>
    </row>
    <row r="6339">
      <c r="A6339">
        <f>=2003504	 | Lnk.Win32.Dinihou.H	 | </f>
        <v/>
      </c>
    </row>
    <row r="6340">
      <c r="A6340">
        <f>=2003507	 | Lnk.Win32.Bundpil.C	 | </f>
        <v/>
      </c>
    </row>
    <row r="6341">
      <c r="A6341">
        <f>=2003552	 | Lnk.Win32.Dinihou.I	 | 00f5c53d2f3f3c0db551aaaf11600125</f>
        <v/>
      </c>
    </row>
    <row r="6342">
      <c r="A6342">
        <f>=2003557	 | Lnk.Win32.Dinihou.J	 | 00f5c53d2f3f3c0db551aaaf11600125</f>
        <v/>
      </c>
    </row>
    <row r="6343">
      <c r="A6343">
        <f>=2003558	 | Lnk.Win32.Dinihou.K	 | 00f5c53d2f3f3c0db551aaaf11600125</f>
        <v/>
      </c>
    </row>
    <row r="6344">
      <c r="A6344">
        <f>=20036	 | Virus.Win32.SennaSpy.B	 | 3c73e20740e2d525724da36ba249ee38</f>
        <v/>
      </c>
    </row>
    <row r="6345">
      <c r="A6345">
        <f>=20037	 | Virus.Win32.Expiro.E	 | f1ca3f9b6673d324e695f6f07d2529f0</f>
        <v/>
      </c>
    </row>
    <row r="6346">
      <c r="A6346">
        <f>=2003737	 | Lnk.Win32.StartFTP.A	 | 7bdb6d060ecc2dcbccce681fffc7ca2e</f>
        <v/>
      </c>
    </row>
    <row r="6347">
      <c r="A6347">
        <f>=2003738	 | Lnk.Win32.PowerShellHR.A	 | 7bdb6d060ecc2dcbccce681fffc7ca2e</f>
        <v/>
      </c>
    </row>
    <row r="6348">
      <c r="A6348">
        <f>=2003772	 | Lnk.Win32.PowerShellHR.B	 | 7bdb6d060ecc2dcbccce681fffc7ca2e</f>
        <v/>
      </c>
    </row>
    <row r="6349">
      <c r="A6349">
        <f>=2003773	 | Lnk.Win32.RunVBE.A	 | 00f5c53d2f3f3c0db551aaaf11600125</f>
        <v/>
      </c>
    </row>
    <row r="6350">
      <c r="A6350">
        <f>=20038	 | Virus.Win64.Expiro.C	 | d0c222bb2f903545208b4ef13226c61b</f>
        <v/>
      </c>
    </row>
    <row r="6351">
      <c r="A6351">
        <f>=20039	 | Virus.Win32.Loader.B	 | d523c3900e1a88add8174dba7cdba26b</f>
        <v/>
      </c>
    </row>
    <row r="6352">
      <c r="A6352">
        <f>=2003928	 | Lnk.Win32.PowerShellHR.C	 | 0e7e5219ff5d11c5085228a0055b6fbb</f>
        <v/>
      </c>
    </row>
    <row r="6353">
      <c r="A6353">
        <f>=2003945	 | Lnk.Win32.Dinihou.L	 | 5bc191c5def6f5a408ad246c594ae85f</f>
        <v/>
      </c>
    </row>
    <row r="6354">
      <c r="A6354">
        <f>=2003978	 | Lnk.Win32.PowerShellHR.D	 | 3245a08747f956322585893e61536d4d</f>
        <v/>
      </c>
    </row>
    <row r="6355">
      <c r="A6355">
        <f>=20040	 | Virus.Win32.Loader.C	 | ece1b497bda50995c61581840713ce59</f>
        <v/>
      </c>
    </row>
    <row r="6356">
      <c r="A6356">
        <f>=20041	 | Virus.Win32.InjExploer.B	 | 328bcd461f2eba5aea04f56f3e688f28</f>
        <v/>
      </c>
    </row>
    <row r="6357">
      <c r="A6357">
        <f>=20042	 | Virus.Win32.Jadtre.D	 | d45c05c24a1eb202e10ea7fc02fb59db</f>
        <v/>
      </c>
    </row>
    <row r="6358">
      <c r="A6358">
        <f>=20043	 | Virus.Win32.Expiro.F	 | f119e9e365c3a1e0684f5558f4c07082</f>
        <v/>
      </c>
    </row>
    <row r="6359">
      <c r="A6359">
        <f>=20044	 | Virus.Win64.Expiro.D	 | 9e19108da0ee8e41e2f586c1b6f77b78</f>
        <v/>
      </c>
    </row>
    <row r="6360">
      <c r="A6360">
        <f>=20045	 | Virus.Win32.Expiro.G	 | 7a9bc2c0ee15abb8617ed2b47bd94b8a</f>
        <v/>
      </c>
    </row>
    <row r="6361">
      <c r="A6361">
        <f>=20046	 | Virus.Win32.Loader.D	 | 54272f89daf01b6c0ff7b5886816d824</f>
        <v/>
      </c>
    </row>
    <row r="6362">
      <c r="A6362">
        <f>=20047	 | Virus.Win32.Expiro.H	 | a0c9841c7dcfc49290cef94f08d2c5b7</f>
        <v/>
      </c>
    </row>
    <row r="6363">
      <c r="A6363">
        <f>=20048	 | Virus.Win32.SennaSpy.C	 | b1826cfa7e1565b3628152df35c347e4</f>
        <v/>
      </c>
    </row>
    <row r="6364">
      <c r="A6364">
        <f>=20049	 | Virus.Win64.Expiro.E	 | 0b281927e9a84418bd5f260efc394cf7</f>
        <v/>
      </c>
    </row>
    <row r="6365">
      <c r="A6365">
        <f>=2004969	 | Lnk.Win32.RunDLLExport.D	 | 2aad0705977edd226c49f74672179f9d</f>
        <v/>
      </c>
    </row>
    <row r="6366">
      <c r="A6366">
        <f>=20050	 | Virus.Win32.Loader.E	 | e7029ed69c5fea283d5dc10271a2afd6</f>
        <v/>
      </c>
    </row>
    <row r="6367">
      <c r="A6367">
        <f>=2005009	 | Lnk.Win32.Astaroth.A	 | 3732a775655af6b86051040aadc86048</f>
        <v/>
      </c>
    </row>
    <row r="6368">
      <c r="A6368">
        <f>=2005011	 | Lnk.Win32.PowerShellHR.E	 | f0916a275bc3b0a8e56570e363356201</f>
        <v/>
      </c>
    </row>
    <row r="6369">
      <c r="A6369">
        <f>=20051	 | Virus.Win32.Jadtre.E	 | 3daa029b58b20e6161f3966a2b572deb</f>
        <v/>
      </c>
    </row>
    <row r="6370">
      <c r="A6370">
        <f>=20052	 | Virus.Win32.Expiro.I	 | 840639bdf5010f6dede4db1ff2796921</f>
        <v/>
      </c>
    </row>
    <row r="6371">
      <c r="A6371">
        <f>=20053	 | Virus.Win64.Expiro.F	 | 305c8996a38e28b6b25f1a0d2a913b34</f>
        <v/>
      </c>
    </row>
    <row r="6372">
      <c r="A6372">
        <f>=20054	 | Virus.Win32.Expiro.J	 | 3cf18f525ac790e792f8af7eafb711bd</f>
        <v/>
      </c>
    </row>
    <row r="6373">
      <c r="A6373">
        <f>=20055	 | Virus.Win32.Jadtre.F	 | ed20c237e410c356f04473230034cb50</f>
        <v/>
      </c>
    </row>
    <row r="6374">
      <c r="A6374">
        <f>=20056	 | Virus.Win32.Loader.F	 | 226d638e43c7b5c5cc257e2c08c0fcbc</f>
        <v/>
      </c>
    </row>
    <row r="6375">
      <c r="A6375">
        <f>=20057	 | Virus.Win32.Expiro.K	 | d0377b4238746b17d43ddc09acc10410</f>
        <v/>
      </c>
    </row>
    <row r="6376">
      <c r="A6376">
        <f>=20058	 | Virus.Win32.Expiro.L	 | 2fb48986e5a14b2b14b0f4102c9e9e76</f>
        <v/>
      </c>
    </row>
    <row r="6377">
      <c r="A6377">
        <f>=20059	 | Virus.Win32.Expiro.M	 | 20df7563eb3b3e7e8deafcda52b6c0af</f>
        <v/>
      </c>
    </row>
    <row r="6378">
      <c r="A6378">
        <f>=20060	 | Virus.Win32.Ravs.A	 | 9b8a1dd1c3ab56f9a876cc2ca80b9a6b</f>
        <v/>
      </c>
    </row>
    <row r="6379">
      <c r="A6379">
        <f>=20061	 | Virus.Win32.Patched.A	 | 7c7e3904a5136b8b36f6c2b1501b1140</f>
        <v/>
      </c>
    </row>
    <row r="6380">
      <c r="A6380">
        <f>=20062	 | Virus.Win32.Loader.G	 | 113c1ef1f11bdfddee778d34bfa77105</f>
        <v/>
      </c>
    </row>
    <row r="6381">
      <c r="A6381">
        <f>=20063	 | Virus.Win32.Loader.H	 | 61ee77647802e49239c3261d35147e2c</f>
        <v/>
      </c>
    </row>
    <row r="6382">
      <c r="A6382">
        <f>=2006305	 | Lnk.Win32.Generic.A	 | 6f1c0e49dcf951eb22cd7c78f1273eed</f>
        <v/>
      </c>
    </row>
    <row r="6383">
      <c r="A6383">
        <f>=20064	 | Virus.Win32.Funlove.A	 | 0116ae28f9d852fef251c289fd7e42e5</f>
        <v/>
      </c>
    </row>
    <row r="6384">
      <c r="A6384">
        <f>=20065	 | Virus.Win32.Spaces.A	 | </f>
        <v/>
      </c>
    </row>
    <row r="6385">
      <c r="A6385">
        <f>=20066	 | Virus.Win32.Frostui.A	 | ce385f5646bd733fb87b0d800740ad37</f>
        <v/>
      </c>
    </row>
    <row r="6386">
      <c r="A6386">
        <f>=2006693	 | Lnk.Win32.Autorunlnkfile.A	 | a644a540b01de3b04cfc328425b8d499</f>
        <v/>
      </c>
    </row>
    <row r="6387">
      <c r="A6387">
        <f>=20067	 | Virus.Win32.Loader.I	 | 58e72f9125e66e5e0b737f0e12162fab</f>
        <v/>
      </c>
    </row>
    <row r="6388">
      <c r="A6388">
        <f>=20068	 | Virus.Win32.Expiro.N	 | 1b2252a1a423b3858bd4d664d31da8b3</f>
        <v/>
      </c>
    </row>
    <row r="6389">
      <c r="A6389">
        <f>=2006807	 | Lnk.Win32.Agent.A	 | 1d4bf2dd027abc7e3c6dbe6c0848aca6</f>
        <v/>
      </c>
    </row>
    <row r="6390">
      <c r="A6390">
        <f>=20069	 | Virus.Win32.Patched.B	 | a3483f6f9ab8eef1a7e7fe1fb398a1cc</f>
        <v/>
      </c>
    </row>
    <row r="6391">
      <c r="A6391">
        <f>=20070	 | Virus.Win32.Expiro.O	 | 151fd7f48a996e845390014feee8c57c</f>
        <v/>
      </c>
    </row>
    <row r="6392">
      <c r="A6392">
        <f>=20071	 | Virus.Win32.Jadtre.G	 | 62a6dc695ceecbc38ccb4e89fcdc1a96</f>
        <v/>
      </c>
    </row>
    <row r="6393">
      <c r="A6393">
        <f>=20072	 | Virus.Win32.Tufik.C	 | </f>
        <v/>
      </c>
    </row>
    <row r="6394">
      <c r="A6394">
        <f>=20073	 | Virus.Win32.Yamamoto.A	 | eb1eaeba78c4c13e46caec84cc3716ee</f>
        <v/>
      </c>
    </row>
    <row r="6395">
      <c r="A6395">
        <f>=20074	 | Virus.Win32.Dzan.A	 | </f>
        <v/>
      </c>
    </row>
    <row r="6396">
      <c r="A6396">
        <f>=20075	 | Virus.Win32.Dzan.B	 | bbbb7d9e974d80b578244ae083832e61</f>
        <v/>
      </c>
    </row>
    <row r="6397">
      <c r="A6397">
        <f>=20076	 | Virus.Win64.Loader.A	 | ad509791d4b60bbf7b88df5fca785049</f>
        <v/>
      </c>
    </row>
    <row r="6398">
      <c r="A6398">
        <f>=20077	 | Virus.Win32.Loader.J	 | b1fc8f359e5159b229910e30e0847adb</f>
        <v/>
      </c>
    </row>
    <row r="6399">
      <c r="A6399">
        <f>=20078	 | Virus.Win32.Loader.K	 | 7d745ace562c5d432efc923bdbc35c85</f>
        <v/>
      </c>
    </row>
    <row r="6400">
      <c r="A6400">
        <f>=20079	 | Virus.Win32.Jadtre.H	 | 84bc805926f5813eff1f33b0d1177a31</f>
        <v/>
      </c>
    </row>
    <row r="6401">
      <c r="A6401">
        <f>=20080	 | Virus.Win32.Tufik.D	 | 6b1ab0b7864eb4b7e73f4b64f46c6fdd</f>
        <v/>
      </c>
    </row>
    <row r="6402">
      <c r="A6402">
        <f>=20081	 | Virus.Win32.Dzan.C	 | bfe6ccffb8819696b702c4389066ba23</f>
        <v/>
      </c>
    </row>
    <row r="6403">
      <c r="A6403">
        <f>=20082	 | Virus.Win32.Yaz.A	 | b1dd280ad7c827ef6a89bc16a6228e15</f>
        <v/>
      </c>
    </row>
    <row r="6404">
      <c r="A6404">
        <f>=20083	 | Virus.Win32.Luder.A	 | 9902a3db8d7d73c9f74e6a9952d11d69</f>
        <v/>
      </c>
    </row>
    <row r="6405">
      <c r="A6405">
        <f>=20084	 | Virus.Win32.Lamechi.A	 | ae9748cc64815fafe99e95c2347861d9</f>
        <v/>
      </c>
    </row>
    <row r="6406">
      <c r="A6406">
        <f>=20085	 | Virus.Win32.Smee.A	 | f98650da0e94b733b924c5b81e86ca49</f>
        <v/>
      </c>
    </row>
    <row r="6407">
      <c r="A6407">
        <f>=2008571	 | Lnk.Win32.SideWinder.A	 | 865e7c8013537414b97749e7a160a94e</f>
        <v/>
      </c>
    </row>
    <row r="6408">
      <c r="A6408">
        <f>=2008572	 | Lnk.Win32.SideWinder.B	 | 7442b3efecb909cfff4aea4ecaae98d8</f>
        <v/>
      </c>
    </row>
    <row r="6409">
      <c r="A6409">
        <f>=2008573	 | Lnk.Win32.SideWinder.C	 | 3c9f64763a24278a6f941e8807725369</f>
        <v/>
      </c>
    </row>
    <row r="6410">
      <c r="A6410">
        <f>=2008574	 | Lnk.Win32.SideWinder.D	 | 120e3733e167fcabdfd8194b3c49560b</f>
        <v/>
      </c>
    </row>
    <row r="6411">
      <c r="A6411">
        <f>=20086	 | Virus.Win32.Loader.L	 | 3dec80e4f5bcc34757a4407ce91df7c2</f>
        <v/>
      </c>
    </row>
    <row r="6412">
      <c r="A6412">
        <f>=20087	 | Virus.Win32.Jadtre.I	 | 22c48efd70d1a12ce9afe9befb28a41a</f>
        <v/>
      </c>
    </row>
    <row r="6413">
      <c r="A6413">
        <f>=20088	 | Virus.Win32.Mrak.A	 | 20f9cad2f501bfa8008142c203fe43ef</f>
        <v/>
      </c>
    </row>
    <row r="6414">
      <c r="A6414">
        <f>=2008850	 | Lnk.Win32.Agent.B	 | 44377db91d99e4bcf825f6fb7ccfd6bf</f>
        <v/>
      </c>
    </row>
    <row r="6415">
      <c r="A6415">
        <f>=20089	 | Virus.Win32.Mrak.B	 | d9fb481e9dca654ac5c08dc25949a0be</f>
        <v/>
      </c>
    </row>
    <row r="6416">
      <c r="A6416">
        <f>=20090	 | Virus.Win32.Mrak.C	 | 8f6d17533ae17b9414de4ce33612d5a8</f>
        <v/>
      </c>
    </row>
    <row r="6417">
      <c r="A6417">
        <f>=20091	 | Virus.Win32.Hublo.A	 | a9e891abb103211a9635ea24d1423e4b</f>
        <v/>
      </c>
    </row>
    <row r="6418">
      <c r="A6418">
        <f>=20092	 | Virus.Win32.Patched.C	 | 0e6938033f8c3c879ec3019171c84806</f>
        <v/>
      </c>
    </row>
    <row r="6419">
      <c r="A6419">
        <f>=20093	 | Virus.Win32.Syphilis.A	 | 05fc78f37cda9238eff5e76e7d0291c3</f>
        <v/>
      </c>
    </row>
    <row r="6420">
      <c r="A6420">
        <f>=20094	 | Virus.Win32.Shohdi.A	 | 1b54f3aa5bf70a76a53282ec55039827</f>
        <v/>
      </c>
    </row>
    <row r="6421">
      <c r="A6421">
        <f>=20095	 | Virus.Win32.Winemm.A	 | 883d1e3ef6fc043f3565c6798d0bd607</f>
        <v/>
      </c>
    </row>
    <row r="6422">
      <c r="A6422">
        <f>=20096	 | Virus.Win32.Loader.M	 | 7340570fbd311798d0883f6b2dfa918d</f>
        <v/>
      </c>
    </row>
    <row r="6423">
      <c r="A6423">
        <f>=20097	 | Virus.Win32.Aliser.A	 | e118923789143302d8bc0790e6ed8132</f>
        <v/>
      </c>
    </row>
    <row r="6424">
      <c r="A6424">
        <f>=20098	 | Virus.Win32.Jadtre.J	 | dbada219dfbbcf7413bb4e352bc9b147</f>
        <v/>
      </c>
    </row>
    <row r="6425">
      <c r="A6425">
        <f>=20099	 | Virus.Win32.Wuke.A	 | </f>
        <v/>
      </c>
    </row>
    <row r="6426">
      <c r="A6426">
        <f>=20100	 | Virus.Win32.Wump.A	 | </f>
        <v/>
      </c>
    </row>
    <row r="6427">
      <c r="A6427">
        <f>=20101	 | Virus.Win32.Diskgen.A	 | f4224910b685048f9aae356991909866</f>
        <v/>
      </c>
    </row>
    <row r="6428">
      <c r="A6428">
        <f>=20102	 | Virus.Win32.Diskgen.B	 | </f>
        <v/>
      </c>
    </row>
    <row r="6429">
      <c r="A6429">
        <f>=20103	 | Virus.Win32.Diskgen.C	 | 658db991ad7629223636b382e456cbfd</f>
        <v/>
      </c>
    </row>
    <row r="6430">
      <c r="A6430">
        <f>=20104	 | Virus.Win32.Diskgen.D	 | </f>
        <v/>
      </c>
    </row>
    <row r="6431">
      <c r="A6431">
        <f>=20105	 | Virus.Win32.Diskgen.E	 | </f>
        <v/>
      </c>
    </row>
    <row r="6432">
      <c r="A6432">
        <f>=2010561	 | Lnk.Win32.Generic.E	 | 8A44CB09421A31DA6B4A1DA79BDDF326</f>
        <v/>
      </c>
    </row>
    <row r="6433">
      <c r="A6433">
        <f>=2010581	 | Lnk.Win32.Generic.F	 | 16560f7e2a3e2f53a5b07149cbf50cb0</f>
        <v/>
      </c>
    </row>
    <row r="6434">
      <c r="A6434">
        <f>=20106	 | Virus.Win32.Diskgen.F	 | 4da0b1f00608832337ea36f05002aabc</f>
        <v/>
      </c>
    </row>
    <row r="6435">
      <c r="A6435">
        <f>=2010656	 | Lnk.Win32.Jenxcus.A	 | 35afd4a25f750ad3df1ea0b002aa3e65</f>
        <v/>
      </c>
    </row>
    <row r="6436">
      <c r="A6436">
        <f>=2010658	 | Lnk.Win32.Bundpil.D	 | f0b64c7479b167b1c8d4fc4415a80038</f>
        <v/>
      </c>
    </row>
    <row r="6437">
      <c r="A6437">
        <f>=20107	 | Virus.Win32.Diskgen.G	 | </f>
        <v/>
      </c>
    </row>
    <row r="6438">
      <c r="A6438">
        <f>=2010747	 | Lnk.Win32.Jenxcus.C	 | 8a3dab99d9ece02655382f274b0cef32</f>
        <v/>
      </c>
    </row>
    <row r="6439">
      <c r="A6439">
        <f>=20108	 | Virus.Win32.Diskgen.H	 | 132cff4d07e09ea4225cf3150ecb192f</f>
        <v/>
      </c>
    </row>
    <row r="6440">
      <c r="A6440">
        <f>=20109	 | Virus.Win32.Diskgen.I	 | 7eec65f04f8ba1433acad8f1d9ff4597</f>
        <v/>
      </c>
    </row>
    <row r="6441">
      <c r="A6441">
        <f>=20110	 | Virus.Win32.Loader.N	 | 9413da95a009a003be85045b08637c3a</f>
        <v/>
      </c>
    </row>
    <row r="6442">
      <c r="A6442">
        <f>=20111	 | Virus.Win32.Loader.O	 | 9fc0d8ee4fb48380a819e6a288696c00</f>
        <v/>
      </c>
    </row>
    <row r="6443">
      <c r="A6443">
        <f>=20112	 | Virus.Win32.Loader.P	 | a3c99c40bfc1058ae556c59ff1c2029f</f>
        <v/>
      </c>
    </row>
    <row r="6444">
      <c r="A6444">
        <f>=20113	 | Virus.Win32.Vimes.A	 | 8299b4df4c8b5a17f60d846aa53225e2</f>
        <v/>
      </c>
    </row>
    <row r="6445">
      <c r="A6445">
        <f>=20114	 | Virus.Win32.Loader.Q	 | 2476094ea7c84f3a38c3026829e30e82</f>
        <v/>
      </c>
    </row>
    <row r="6446">
      <c r="A6446">
        <f>=20115	 | Virus.Win32.Cekar.A	 | 0f2ee7bd4ae767165c7bc9b52296d2eb</f>
        <v/>
      </c>
    </row>
    <row r="6447">
      <c r="A6447">
        <f>=20116	 | Virus.Win32.Jadtre.K	 | a796e0467bb4ec42bf7bc5c5cb21bcdf</f>
        <v/>
      </c>
    </row>
    <row r="6448">
      <c r="A6448">
        <f>=20117	 | Virus.Win32.Chimera.A	 | </f>
        <v/>
      </c>
    </row>
    <row r="6449">
      <c r="A6449">
        <f>=2011755	 | Exploit.Win32.Bsod.F	 | 523adc3f38d3a22e3931e364c1bc3be3</f>
        <v/>
      </c>
    </row>
    <row r="6450">
      <c r="A6450">
        <f>=20118	 | Virus.Win32.Huhk.A	 | 36ad8d54bc6c11e8406b2ddfe639d769</f>
        <v/>
      </c>
    </row>
    <row r="6451">
      <c r="A6451">
        <f>=2011817	 | Lnk.Win32.Serviks.B	 | 1c76b73f1c52c3985c9a1eb33c1879b0</f>
        <v/>
      </c>
    </row>
    <row r="6452">
      <c r="A6452">
        <f>=2011839	 | Lnk.Win32.Starter.A	 | b7b481d72c27727977017a299e8061c5</f>
        <v/>
      </c>
    </row>
    <row r="6453">
      <c r="A6453">
        <f>=20119	 | Virus.Win32.Huhk.B	 | 602606bef5b5b48ab15d11128f85a70b</f>
        <v/>
      </c>
    </row>
    <row r="6454">
      <c r="A6454">
        <f>=20120	 | Virus.Win32.Huhk.C	 | de9efcc8b70ddddc94c6e4cdff9cc86b</f>
        <v/>
      </c>
    </row>
    <row r="6455">
      <c r="A6455">
        <f>=20121	 | Virus.Win32.Wlksm.A	 | 5d9ebec07f45d49262007a3c6786a9da</f>
        <v/>
      </c>
    </row>
    <row r="6456">
      <c r="A6456">
        <f>=20122	 | Virus.Win32.Expiro.BC	 | 840cb6ab9d5805da98bc3f1494cae51a</f>
        <v/>
      </c>
    </row>
    <row r="6457">
      <c r="A6457">
        <f>=2012294	 | Lnk.Win32.Dorkbot.G	 | 101f03f2988c504aed7a7327c9af1795</f>
        <v/>
      </c>
    </row>
    <row r="6458">
      <c r="A6458">
        <f>=20123	 | Virus.Win32.Ramnit.E	 | 48415bfeba3e8ba36784039a76ed4330</f>
        <v/>
      </c>
    </row>
    <row r="6459">
      <c r="A6459">
        <f>=20124	 | Virus.Win32.Ramnit.F	 | 57f900433533448c77780453aaed236a</f>
        <v/>
      </c>
    </row>
    <row r="6460">
      <c r="A6460">
        <f>=20125	 | Virus.Win32.Vimes.B	 | </f>
        <v/>
      </c>
    </row>
    <row r="6461">
      <c r="A6461">
        <f>=20126	 | Virus.Win32.Vasor.A	 | </f>
        <v/>
      </c>
    </row>
    <row r="6462">
      <c r="A6462">
        <f>=20127	 | Virus.Win64.Expiro.O	 | 5a894e02f6bbbf1342a358118ba8b524</f>
        <v/>
      </c>
    </row>
    <row r="6463">
      <c r="A6463">
        <f>=20128	 | Virus.Win64.Expiro.P	 | 2328a4b6fef070502e3726ed176e73e0</f>
        <v/>
      </c>
    </row>
    <row r="6464">
      <c r="A6464">
        <f>=20129	 | Virus.Win64.Expiro.Q	 | 084370703e0d14b4dc500b80711fbf1d</f>
        <v/>
      </c>
    </row>
    <row r="6465">
      <c r="A6465">
        <f>=20130	 | Virus.Win64.Expiro.R	 | ab519cae9711383ffc0b250b888b926a</f>
        <v/>
      </c>
    </row>
    <row r="6466">
      <c r="A6466">
        <f>=20131	 | Virus.Win64.Expiro.S	 | 11d469dd3e8fb11c69c38b51a7cdffac</f>
        <v/>
      </c>
    </row>
    <row r="6467">
      <c r="A6467">
        <f>=20132	 | Virus.Win32.Cih.A	 | 6f0708f98297aadd6783f8557de6dc40</f>
        <v/>
      </c>
    </row>
    <row r="6468">
      <c r="A6468">
        <f>=20133	 | Virus.Win64.Expiro.T	 | f418759a2288075b79d9cd8f8cacbdce</f>
        <v/>
      </c>
    </row>
    <row r="6469">
      <c r="A6469">
        <f>=20134	 | Virus.Win64.Expiro.U	 | </f>
        <v/>
      </c>
    </row>
    <row r="6470">
      <c r="A6470">
        <f>=20135	 | Virus.Win64.Expiro.V	 | aca8dbbcb5cc88e861b6ba5a70789509</f>
        <v/>
      </c>
    </row>
    <row r="6471">
      <c r="A6471">
        <f>=20136	 | Virus.Win64.Expiro.W	 | e07cc47d35fac8582c77d2758a510a34</f>
        <v/>
      </c>
    </row>
    <row r="6472">
      <c r="A6472">
        <f>=20137	 | Virus.Win32.Binder.A	 | 5904a67eb5760ccf4364bc7814f406ee</f>
        <v/>
      </c>
    </row>
    <row r="6473">
      <c r="A6473">
        <f>=20138	 | Virus.Win32.Quervar.A	 | </f>
        <v/>
      </c>
    </row>
    <row r="6474">
      <c r="A6474">
        <f>=20139	 | Virus.Win32.Quervar.B	 | 21c45362d3e5b43e6e0d326e5967f960</f>
        <v/>
      </c>
    </row>
    <row r="6475">
      <c r="A6475">
        <f>=20140	 | Virus.Win32.Ramnit.G	 | 358a3c33c47cf6f05f8ff797b0cff56d</f>
        <v/>
      </c>
    </row>
    <row r="6476">
      <c r="A6476">
        <f>=20141	 | Virus.Win32.Ramnit.H	 | 16bf48ddfa8dfdb6bb03b6d34ca2d5be</f>
        <v/>
      </c>
    </row>
    <row r="6477">
      <c r="A6477">
        <f>=20142	 | Virus.Win32.Chiton.A	 | b3582149bc7d1b5441d54d505329c314</f>
        <v/>
      </c>
    </row>
    <row r="6478">
      <c r="A6478">
        <f>=20143	 | Virus.Win32.Chiton.B	 | 9615f0bcdb0e5384a84c94a9268feabd</f>
        <v/>
      </c>
    </row>
    <row r="6479">
      <c r="A6479">
        <f>=20144	 | Virus.Win32.Alureon.A	 | 239b6ab12098d0962056bf30a45bdf35</f>
        <v/>
      </c>
    </row>
    <row r="6480">
      <c r="A6480">
        <f>=20145	 | Virus.Win32.Alureon.B	 | a853889a8261b4911fdd0080058eaae7</f>
        <v/>
      </c>
    </row>
    <row r="6481">
      <c r="A6481">
        <f>=20146	 | Virus.Win32.Alureon.C	 | d66387ab7c4102089e132be5eeaa58ef</f>
        <v/>
      </c>
    </row>
    <row r="6482">
      <c r="A6482">
        <f>=20147	 | Virus.Win32.Alureon.D	 | 0d116706395a75e4ecb7d2ff168a987e</f>
        <v/>
      </c>
    </row>
    <row r="6483">
      <c r="A6483">
        <f>=20148	 | Virus.Win32.Alureon.E	 | 6831ced5b32f7ae2f9cf53d91ef47158</f>
        <v/>
      </c>
    </row>
    <row r="6484">
      <c r="A6484">
        <f>=20149	 | Virus.Win32.Expiro.BD	 | </f>
        <v/>
      </c>
    </row>
    <row r="6485">
      <c r="A6485">
        <f>=20150	 | Virus.Win32.Expiro.BE	 | 3e3a0a863fce9322787f6f3c1e8639af</f>
        <v/>
      </c>
    </row>
    <row r="6486">
      <c r="A6486">
        <f>=20151	 | Virus.Win32.Expiro.BF	 | 42091c71d6983832763f9b21ce04a6b3</f>
        <v/>
      </c>
    </row>
    <row r="6487">
      <c r="A6487">
        <f>=20152	 | Virus.Win32.Expiro.BG	 | 8738591ff2b277c44995bf88bfbedeac</f>
        <v/>
      </c>
    </row>
    <row r="6488">
      <c r="A6488">
        <f>=20153	 | Virus.Win32.Expiro.BH	 | 782f8f5ebc22d02042fb41c313bbcd53</f>
        <v/>
      </c>
    </row>
    <row r="6489">
      <c r="A6489">
        <f>=20154	 | Virus.Win32.Expiro.BI	 | 330a4db2c84ef5acc6d1a6f667edff40</f>
        <v/>
      </c>
    </row>
    <row r="6490">
      <c r="A6490">
        <f>=20155	 | Virus.Win32.Virut.AA	 | 348ae3f3de2ed85e83d1704b21121281</f>
        <v/>
      </c>
    </row>
    <row r="6491">
      <c r="A6491">
        <f>=20156	 | Virus.Win32.Expiro.BJ	 | 349951ee30d8c352355352bce1ecc7ff</f>
        <v/>
      </c>
    </row>
    <row r="6492">
      <c r="A6492">
        <f>=20157	 | Virus.Win32.Virut.AB	 | c3cbc132178b862ac8dbd6da99d95ae2</f>
        <v/>
      </c>
    </row>
    <row r="6493">
      <c r="A6493">
        <f>=20158	 | Virus.Win32.Virut.AC	 | 7abb716a611b61e7764e18511ccccf7d</f>
        <v/>
      </c>
    </row>
    <row r="6494">
      <c r="A6494">
        <f>=20159	 | Virus.Win32.Virut.AD	 | ea293225f4c3762985c26861cb58bc76</f>
        <v/>
      </c>
    </row>
    <row r="6495">
      <c r="A6495">
        <f>=20160	 | Virus.Win32.Virut.AE	 | 46528076906cc3968f9bff8cfde57600</f>
        <v/>
      </c>
    </row>
    <row r="6496">
      <c r="A6496">
        <f>=20161	 | Virus.Win32.Virut.AF	 | e01d097e01ad5a10cf296e0615b57a01</f>
        <v/>
      </c>
    </row>
    <row r="6497">
      <c r="A6497">
        <f>=20162	 | Virus.Win32.Virut.AG	 | 723645ab60b44e48df4c335d070b36d5</f>
        <v/>
      </c>
    </row>
    <row r="6498">
      <c r="A6498">
        <f>=20163	 | Virus.Win32.Virut.AH	 | c2a5ddfebf33478038a213e70cdd3ea4</f>
        <v/>
      </c>
    </row>
    <row r="6499">
      <c r="A6499">
        <f>=20164	 | Virus.Win32.Viking.BQ	 | 632a3f7a4d2741473bfd634a32a9a96b</f>
        <v/>
      </c>
    </row>
    <row r="6500">
      <c r="A6500">
        <f>=20165	 | Virus.Win32.Sality.A	 | 9f95002682ac22a2ba04debe59bd610b</f>
        <v/>
      </c>
    </row>
    <row r="6501">
      <c r="A6501">
        <f>=20166	 | Virus.Win32.Sality.B	 | 4fbdad089f91bda162cb74fd86aac602</f>
        <v/>
      </c>
    </row>
    <row r="6502">
      <c r="A6502">
        <f>=20167	 | Virus.Win32.Sality.C	 | </f>
        <v/>
      </c>
    </row>
    <row r="6503">
      <c r="A6503">
        <f>=20168	 | Virus.Win32.Sality.D	 | 85636e97e96dccebc68f56eac9f95b85</f>
        <v/>
      </c>
    </row>
    <row r="6504">
      <c r="A6504">
        <f>=20169	 | Virus.Win32.Sality.E	 | cb457f5453901ad55157c224498c339f</f>
        <v/>
      </c>
    </row>
    <row r="6505">
      <c r="A6505">
        <f>=20170	 | Virus.Win32.Sality.F	 | 38c627c1318dfa1a4afccdd1f01cc930</f>
        <v/>
      </c>
    </row>
    <row r="6506">
      <c r="A6506">
        <f>=20171	 | Virus.Win32.Sality.G	 | 18325a237e2cd156aee7cefd75258696</f>
        <v/>
      </c>
    </row>
    <row r="6507">
      <c r="A6507">
        <f>=20172	 | Virus.Win32.Murofet.A	 | 93eb83774f21ac712f7766d458601761</f>
        <v/>
      </c>
    </row>
    <row r="6508">
      <c r="A6508">
        <f>=20173	 | Virus.Win32.Virut.AI	 | 1d6930a1ff00b51f757d454ad3f500e7</f>
        <v/>
      </c>
    </row>
    <row r="6509">
      <c r="A6509">
        <f>=20174	 | Virus.Win32.Virut.AJ	 | d3844ab201b011de5cd8b93e60b6e854</f>
        <v/>
      </c>
    </row>
    <row r="6510">
      <c r="A6510">
        <f>=20175	 | Virus.Win32.Virut.AK	 | 40c4c13304256edd0ddfffbfd4b17419</f>
        <v/>
      </c>
    </row>
    <row r="6511">
      <c r="A6511">
        <f>=20176	 | Virus.Win32.Virut.AL	 | </f>
        <v/>
      </c>
    </row>
    <row r="6512">
      <c r="A6512">
        <f>=20177	 | Virus.Win32.Virut.AM	 | c94686d88efefa8b9d2b97573dd5b951</f>
        <v/>
      </c>
    </row>
    <row r="6513">
      <c r="A6513">
        <f>=20178	 | Virus.Win32.Virut.AN	 | </f>
        <v/>
      </c>
    </row>
    <row r="6514">
      <c r="A6514">
        <f>=20179	 | Virus.Win32.Virut.AO	 | f19960b0dd6cfa2fa80cdac652e927b3</f>
        <v/>
      </c>
    </row>
    <row r="6515">
      <c r="A6515">
        <f>=20180	 | Virus.Win32.Virut.AP	 | e3e0073cb5b16046f9a1c638f4228ed7</f>
        <v/>
      </c>
    </row>
    <row r="6516">
      <c r="A6516">
        <f>=20181	 | Virus.Win32.Virut.AQ	 | </f>
        <v/>
      </c>
    </row>
    <row r="6517">
      <c r="A6517">
        <f>=20182	 | Virus.Win64.Virut.A	 | </f>
        <v/>
      </c>
    </row>
    <row r="6518">
      <c r="A6518">
        <f>=20183	 | Virus.Win32.Virut.AR	 | 142eb98416744e9b5ca39a688d5a0488</f>
        <v/>
      </c>
    </row>
    <row r="6519">
      <c r="A6519">
        <f>=20184	 | Virus.Win32.Virut.AS	 | </f>
        <v/>
      </c>
    </row>
    <row r="6520">
      <c r="A6520">
        <f>=20185	 | Virus.Win32.Virut.AT	 | </f>
        <v/>
      </c>
    </row>
    <row r="6521">
      <c r="A6521">
        <f>=20186	 | Virus.Win32.Virut.AU	 | dee33852cf299397a8145ade2b87aac6</f>
        <v/>
      </c>
    </row>
    <row r="6522">
      <c r="A6522">
        <f>=20187	 | Virus.Win32.Virut.AV	 | 1cef96c9a2f3db5de21f68cd98e8c760</f>
        <v/>
      </c>
    </row>
    <row r="6523">
      <c r="A6523">
        <f>=20188	 | Virus.Win32.Virut.AW	 | </f>
        <v/>
      </c>
    </row>
    <row r="6524">
      <c r="A6524">
        <f>=20189	 | Virus.Win32.Diskgen.J	 | 842863ec353668d758eb0165dfd2b0b5</f>
        <v/>
      </c>
    </row>
    <row r="6525">
      <c r="A6525">
        <f>=20190	 | Virus.Win32.Diskgen.K	 | 8ffdf7083e01695eed01164b0c3bd6bb</f>
        <v/>
      </c>
    </row>
    <row r="6526">
      <c r="A6526">
        <f>=20191	 | Virus.Win32.Diskgen.L	 | </f>
        <v/>
      </c>
    </row>
    <row r="6527">
      <c r="A6527">
        <f>=20192	 | Virus.Win32.Diskgen.M	 | c37427b774d36ee1581bab091909f27e</f>
        <v/>
      </c>
    </row>
    <row r="6528">
      <c r="A6528">
        <f>=20193	 | Virus.Win32.Diskgen.N	 | </f>
        <v/>
      </c>
    </row>
    <row r="6529">
      <c r="A6529">
        <f>=20194	 | Virus.Win32.Diskgen.O	 | </f>
        <v/>
      </c>
    </row>
    <row r="6530">
      <c r="A6530">
        <f>=20195	 | Virus.Win32.Diskgen.P	 | </f>
        <v/>
      </c>
    </row>
    <row r="6531">
      <c r="A6531">
        <f>=20196	 | Virus.Win32.Diskgen.Q	 | </f>
        <v/>
      </c>
    </row>
    <row r="6532">
      <c r="A6532">
        <f>=20197	 | Virus.Win32.Diskgen.R	 | </f>
        <v/>
      </c>
    </row>
    <row r="6533">
      <c r="A6533">
        <f>=20199	 | Virus.Win32.Diskgen.U	 | </f>
        <v/>
      </c>
    </row>
    <row r="6534">
      <c r="A6534">
        <f>=20200	 | Virus.Win32.Diskgen.V	 | </f>
        <v/>
      </c>
    </row>
    <row r="6535">
      <c r="A6535">
        <f>=20201	 | Virus.Win32.Diskgen.W	 | </f>
        <v/>
      </c>
    </row>
    <row r="6536">
      <c r="A6536">
        <f>=20202	 | Virus.Win32.Diskgen.X	 | </f>
        <v/>
      </c>
    </row>
    <row r="6537">
      <c r="A6537">
        <f>=20203	 | Virus.Win32.Diskgen.Y	 | </f>
        <v/>
      </c>
    </row>
    <row r="6538">
      <c r="A6538">
        <f>=20204	 | Virus.Win32.Diskgen.AA	 | </f>
        <v/>
      </c>
    </row>
    <row r="6539">
      <c r="A6539">
        <f>=20205	 | Virus.Win32.Diskgen.AB	 | </f>
        <v/>
      </c>
    </row>
    <row r="6540">
      <c r="A6540">
        <f>=20206	 | Virus.Win32.Diskgen.AC	 | 1fd679692056aacd34500dfcfc2fa293</f>
        <v/>
      </c>
    </row>
    <row r="6541">
      <c r="A6541">
        <f>=20207	 | Virus.Win32.Diskgen.AD	 | </f>
        <v/>
      </c>
    </row>
    <row r="6542">
      <c r="A6542">
        <f>=20208	 | Virus.Win32.Diskgen.AE	 | </f>
        <v/>
      </c>
    </row>
    <row r="6543">
      <c r="A6543">
        <f>=20209	 | Virus.Win32.Diskgen.AF	 | </f>
        <v/>
      </c>
    </row>
    <row r="6544">
      <c r="A6544">
        <f>=20210	 | Virus.Win32.Diskgen.AG	 | 692dc39666ffef5d2c21f03c68a8cd9c</f>
        <v/>
      </c>
    </row>
    <row r="6545">
      <c r="A6545">
        <f>=20211	 | Virus.Win32.Diskgen.AH	 | </f>
        <v/>
      </c>
    </row>
    <row r="6546">
      <c r="A6546">
        <f>=20212	 | Virus.Win32.Diskgen.AI	 | </f>
        <v/>
      </c>
    </row>
    <row r="6547">
      <c r="A6547">
        <f>=20213	 | Virus.Win32.Diskgen.AJ	 | </f>
        <v/>
      </c>
    </row>
    <row r="6548">
      <c r="A6548">
        <f>=20214	 | Virus.Win32.Diskgen.AK	 | </f>
        <v/>
      </c>
    </row>
    <row r="6549">
      <c r="A6549">
        <f>=20215	 | Virus.Win32.Diskgen.AL	 | </f>
        <v/>
      </c>
    </row>
    <row r="6550">
      <c r="A6550">
        <f>=20216	 | Virus.Win32.Diskgen.AM	 | </f>
        <v/>
      </c>
    </row>
    <row r="6551">
      <c r="A6551">
        <f>=20217	 | Virus.Win32.Diskgen.AN	 | </f>
        <v/>
      </c>
    </row>
    <row r="6552">
      <c r="A6552">
        <f>=20218	 | Virus.Win32.Diskgen.AO	 | </f>
        <v/>
      </c>
    </row>
    <row r="6553">
      <c r="A6553">
        <f>=20219	 | Virus.Win32.Diskgen.AP	 | </f>
        <v/>
      </c>
    </row>
    <row r="6554">
      <c r="A6554">
        <f>=20220	 | Virus.Win32.Diskgen.AQ	 | </f>
        <v/>
      </c>
    </row>
    <row r="6555">
      <c r="A6555">
        <f>=20221	 | Virus.Win32.Diskgen.AR	 | </f>
        <v/>
      </c>
    </row>
    <row r="6556">
      <c r="A6556">
        <f>=20222	 | Virus.Win32.Diskgen.AS	 | </f>
        <v/>
      </c>
    </row>
    <row r="6557">
      <c r="A6557">
        <f>=20223	 | Virus.Win32.Diskgen.AT	 | </f>
        <v/>
      </c>
    </row>
    <row r="6558">
      <c r="A6558">
        <f>=20224	 | Virus.Win32.Diskgen.AU	 | 50682b6ef08defb30e8c2c7362bc7e94</f>
        <v/>
      </c>
    </row>
    <row r="6559">
      <c r="A6559">
        <f>=20225	 | Virus.Win32.Diskgen.AV	 | </f>
        <v/>
      </c>
    </row>
    <row r="6560">
      <c r="A6560">
        <f>=20226	 | Virus.Win32.Diskgen.AW	 | 1fbb04fcaea9d1a77b4e46505a19adc9</f>
        <v/>
      </c>
    </row>
    <row r="6561">
      <c r="A6561">
        <f>=20227	 | Virus.Win32.Diskgen.AX	 | </f>
        <v/>
      </c>
    </row>
    <row r="6562">
      <c r="A6562">
        <f>=20228	 | Virus.Win32.Diskgen.AY	 | </f>
        <v/>
      </c>
    </row>
    <row r="6563">
      <c r="A6563">
        <f>=20229	 | Virus.Win32.Diskgen.BA	 | </f>
        <v/>
      </c>
    </row>
    <row r="6564">
      <c r="A6564">
        <f>=20230	 | Virus.Win32.Diskgen.BB	 | </f>
        <v/>
      </c>
    </row>
    <row r="6565">
      <c r="A6565">
        <f>=20231	 | Virus.Win32.Diskgen.BC	 | </f>
        <v/>
      </c>
    </row>
    <row r="6566">
      <c r="A6566">
        <f>=20232	 | Virus.Win32.Diskgen.BD	 | </f>
        <v/>
      </c>
    </row>
    <row r="6567">
      <c r="A6567">
        <f>=20233	 | Virus.Win32.Diskgen.BE	 | </f>
        <v/>
      </c>
    </row>
    <row r="6568">
      <c r="A6568">
        <f>=20234	 | Virus.Win32.Diskgen.BF	 | </f>
        <v/>
      </c>
    </row>
    <row r="6569">
      <c r="A6569">
        <f>=20235	 | Virus.Win32.Diskgen.BG	 | </f>
        <v/>
      </c>
    </row>
    <row r="6570">
      <c r="A6570">
        <f>=20236	 | Virus.Win32.Diskgen.BH	 | </f>
        <v/>
      </c>
    </row>
    <row r="6571">
      <c r="A6571">
        <f>=20237	 | Virus.Win32.Diskgen.BI	 | </f>
        <v/>
      </c>
    </row>
    <row r="6572">
      <c r="A6572">
        <f>=20238	 | Virus.Win32.Diskgen.BJ	 | </f>
        <v/>
      </c>
    </row>
    <row r="6573">
      <c r="A6573">
        <f>=20239	 | Virus.Win32.Diskgen.BK	 | </f>
        <v/>
      </c>
    </row>
    <row r="6574">
      <c r="A6574">
        <f>=20240	 | Virus.Win32.Diskgen.BL	 | a093a9f4f03fa232a6707d50103f6442</f>
        <v/>
      </c>
    </row>
    <row r="6575">
      <c r="A6575">
        <f>=20241	 | Virus.Win32.Diskgen.BM	 | </f>
        <v/>
      </c>
    </row>
    <row r="6576">
      <c r="A6576">
        <f>=20242	 | Virus.Win32.Diskgen.BN	 | </f>
        <v/>
      </c>
    </row>
    <row r="6577">
      <c r="A6577">
        <f>=20243	 | Virus.Win32.Diskgen.BO	 | </f>
        <v/>
      </c>
    </row>
    <row r="6578">
      <c r="A6578">
        <f>=20244	 | Virus.Win32.Diskgen.BP	 | </f>
        <v/>
      </c>
    </row>
    <row r="6579">
      <c r="A6579">
        <f>=20245	 | Virus.Win32.Diskgen.BQ	 | </f>
        <v/>
      </c>
    </row>
    <row r="6580">
      <c r="A6580">
        <f>=20246	 | Virus.Win32.Diskgen.BR	 | </f>
        <v/>
      </c>
    </row>
    <row r="6581">
      <c r="A6581">
        <f>=20247	 | Virus.Win32.Diskgen.BS	 | </f>
        <v/>
      </c>
    </row>
    <row r="6582">
      <c r="A6582">
        <f>=20248	 | Virus.Win32.Diskgen.BT	 | </f>
        <v/>
      </c>
    </row>
    <row r="6583">
      <c r="A6583">
        <f>=20249	 | Virus.Win32.Diskgen.BU	 | </f>
        <v/>
      </c>
    </row>
    <row r="6584">
      <c r="A6584">
        <f>=20250	 | Virus.Win32.Diskgen.BV	 | </f>
        <v/>
      </c>
    </row>
    <row r="6585">
      <c r="A6585">
        <f>=20251	 | Virus.Win32.Diskgen.BW	 | </f>
        <v/>
      </c>
    </row>
    <row r="6586">
      <c r="A6586">
        <f>=20252	 | Virus.Win32.Diskgen.BX	 | </f>
        <v/>
      </c>
    </row>
    <row r="6587">
      <c r="A6587">
        <f>=20253	 | Virus.Win32.Diskgen.BY	 | </f>
        <v/>
      </c>
    </row>
    <row r="6588">
      <c r="A6588">
        <f>=20254	 | Virus.Win32.Diskgen.BZ	 | </f>
        <v/>
      </c>
    </row>
    <row r="6589">
      <c r="A6589">
        <f>=20255	 | Virus.Win32.Diskgen.CA	 | </f>
        <v/>
      </c>
    </row>
    <row r="6590">
      <c r="A6590">
        <f>=20256	 | Virus.Win32.Diskgen.CB	 | </f>
        <v/>
      </c>
    </row>
    <row r="6591">
      <c r="A6591">
        <f>=20257	 | Virus.Win32.Diskgen.CC	 | </f>
        <v/>
      </c>
    </row>
    <row r="6592">
      <c r="A6592">
        <f>=20258	 | Virus.Win32.Diskgen.CD	 | </f>
        <v/>
      </c>
    </row>
    <row r="6593">
      <c r="A6593">
        <f>=20259	 | Virus.Win32.Diskgen.CE	 | </f>
        <v/>
      </c>
    </row>
    <row r="6594">
      <c r="A6594">
        <f>=20260	 | Virus.Win32.Diskgen.CF	 | </f>
        <v/>
      </c>
    </row>
    <row r="6595">
      <c r="A6595">
        <f>=20261	 | Virus.Win32.Diskgen.CG	 | </f>
        <v/>
      </c>
    </row>
    <row r="6596">
      <c r="A6596">
        <f>=20262	 | Virus.Win32.Diskgen.CH	 | 5d88f1b5fe10ebf81f992af0073a17d8</f>
        <v/>
      </c>
    </row>
    <row r="6597">
      <c r="A6597">
        <f>=20263	 | Virus.Win32.Diskgen.CI	 | </f>
        <v/>
      </c>
    </row>
    <row r="6598">
      <c r="A6598">
        <f>=20264	 | Virus.Win32.Diskgen.CJ	 | </f>
        <v/>
      </c>
    </row>
    <row r="6599">
      <c r="A6599">
        <f>=20265	 | Virus.Win32.Diskgen.CK	 | </f>
        <v/>
      </c>
    </row>
    <row r="6600">
      <c r="A6600">
        <f>=20266	 | Virus.Win32.Diskgen.CL	 | </f>
        <v/>
      </c>
    </row>
    <row r="6601">
      <c r="A6601">
        <f>=20267	 | Virus.Win32.Diskgen.CM	 | </f>
        <v/>
      </c>
    </row>
    <row r="6602">
      <c r="A6602">
        <f>=20268	 | Virus.Win32.Diskgen.CN	 | </f>
        <v/>
      </c>
    </row>
    <row r="6603">
      <c r="A6603">
        <f>=20269	 | Virus.Win32.Diskgen.CO	 | </f>
        <v/>
      </c>
    </row>
    <row r="6604">
      <c r="A6604">
        <f>=20270	 | Virus.Win32.Diskgen.CP	 | abf560a97a018c3f5ca9b93f7efdace2</f>
        <v/>
      </c>
    </row>
    <row r="6605">
      <c r="A6605">
        <f>=20271	 | Virus.Win32.Diskgen.CQ	 | </f>
        <v/>
      </c>
    </row>
    <row r="6606">
      <c r="A6606">
        <f>=20272	 | Virus.Win32.Diskgen.CR	 | </f>
        <v/>
      </c>
    </row>
    <row r="6607">
      <c r="A6607">
        <f>=20273	 | Virus.Win32.Diskgen.CS	 | </f>
        <v/>
      </c>
    </row>
    <row r="6608">
      <c r="A6608">
        <f>=20274	 | Virus.Win32.Diskgen.CT	 | 6f0ba4ec8e38e0e024fd0b3253ffb035</f>
        <v/>
      </c>
    </row>
    <row r="6609">
      <c r="A6609">
        <f>=20275	 | Virus.Win32.Diskgen.CU	 | ea2f912ab8d8650a46f73aa6346dc79c</f>
        <v/>
      </c>
    </row>
    <row r="6610">
      <c r="A6610">
        <f>=20276	 | Virus.Win32.Diskgen.CV	 | 1ef213fff7624e787f52262c6a805554</f>
        <v/>
      </c>
    </row>
    <row r="6611">
      <c r="A6611">
        <f>=20277	 | Virus.Win32.Diskgen.CW	 | </f>
        <v/>
      </c>
    </row>
    <row r="6612">
      <c r="A6612">
        <f>=20278	 | Virus.Win32.Diskgen.CX	 | 22605b8027aa7eb464e661c5954e22e6</f>
        <v/>
      </c>
    </row>
    <row r="6613">
      <c r="A6613">
        <f>=20279	 | Virus.Win32.Diskgen.DA	 | </f>
        <v/>
      </c>
    </row>
    <row r="6614">
      <c r="A6614">
        <f>=20280	 | Virus.Win32.Diskgen.CY	 | f809cbf27f658b796f4c9b69a8f0eadc</f>
        <v/>
      </c>
    </row>
    <row r="6615">
      <c r="A6615">
        <f>=20281	 | Virus.Win32.Diskgen.DB	 | </f>
        <v/>
      </c>
    </row>
    <row r="6616">
      <c r="A6616">
        <f>=20282	 | Virus.Win32.Virut.AX	 | a9cf549a0baa3d8f67ff33ba53f2280c</f>
        <v/>
      </c>
    </row>
    <row r="6617">
      <c r="A6617">
        <f>=20283	 | Virus.Win32.Diskgen.DC	 | </f>
        <v/>
      </c>
    </row>
    <row r="6618">
      <c r="A6618">
        <f>=20284	 | Virus.Win32.Diskgen.DD	 | </f>
        <v/>
      </c>
    </row>
    <row r="6619">
      <c r="A6619">
        <f>=20285	 | Virus.Win32.Diskgen.DE	 | 2be023437c9ac2ee5cf5ff59f2755695</f>
        <v/>
      </c>
    </row>
    <row r="6620">
      <c r="A6620">
        <f>=20286	 | Virus.Win32.Diskgen.DF	 | </f>
        <v/>
      </c>
    </row>
    <row r="6621">
      <c r="A6621">
        <f>=20287	 | Virus.Win32.Diskgen.DG	 | b12489fa37b5c23a330fa65b7219c727</f>
        <v/>
      </c>
    </row>
    <row r="6622">
      <c r="A6622">
        <f>=20288	 | Virus.Win32.Diskgen.DH	 | </f>
        <v/>
      </c>
    </row>
    <row r="6623">
      <c r="A6623">
        <f>=20289	 | Virus.Win32.Diskgen.DI	 | bf8f95fc1bb54fb934421c4d3d0e765e</f>
        <v/>
      </c>
    </row>
    <row r="6624">
      <c r="A6624">
        <f>=20290	 | Virus.Win32.Diskgen.DJ	 | 0d762a053c07c225e12ddb1f892c300a</f>
        <v/>
      </c>
    </row>
    <row r="6625">
      <c r="A6625">
        <f>=20291	 | Virus.Win32.Diskgen.DK	 | f4c982902c95b91adbab27357ee8b256</f>
        <v/>
      </c>
    </row>
    <row r="6626">
      <c r="A6626">
        <f>=20292	 | Virus.Win32.Diskgen.DL	 | dfa6d29a31f37529550c7fcf827648ce</f>
        <v/>
      </c>
    </row>
    <row r="6627">
      <c r="A6627">
        <f>=20293	 | Virus.Win32.Diskgen.DM	 | 7713f5b062e07cffe07c9b7a4d61043c</f>
        <v/>
      </c>
    </row>
    <row r="6628">
      <c r="A6628">
        <f>=20294	 | Virus.Win32.Diskgen.DN	 | b19f1b0c4acab41baf843cadce478e17</f>
        <v/>
      </c>
    </row>
    <row r="6629">
      <c r="A6629">
        <f>=20295	 | Virus.Win32.Diskgen.DO	 | 9512e835f488f3ac1f4e13b59daa3ac0</f>
        <v/>
      </c>
    </row>
    <row r="6630">
      <c r="A6630">
        <f>=20296	 | Virus.Win32.Diskgen.DP	 | </f>
        <v/>
      </c>
    </row>
    <row r="6631">
      <c r="A6631">
        <f>=20297	 | Virus.Win32.Diskgen.DQ	 | 086de43a4fc08d9c6e2dbc7a1c5c4176</f>
        <v/>
      </c>
    </row>
    <row r="6632">
      <c r="A6632">
        <f>=20298	 | Virus.Win32.Diskgen.DR	 | 8e23a5a2b949cb6c2c2b4037684219d1</f>
        <v/>
      </c>
    </row>
    <row r="6633">
      <c r="A6633">
        <f>=20299	 | Virus.Win32.Diskgen.DS	 | </f>
        <v/>
      </c>
    </row>
    <row r="6634">
      <c r="A6634">
        <f>=20300	 | Virus.Win32.Diskgen.DT	 | </f>
        <v/>
      </c>
    </row>
    <row r="6635">
      <c r="A6635">
        <f>=20301	 | Virus.Win32.Diskgen.DU	 | </f>
        <v/>
      </c>
    </row>
    <row r="6636">
      <c r="A6636">
        <f>=20302	 | Virus.Win32.Diskgen.DV	 | 1fbb6b0ad7cbc00fbbfdd177d91b439a</f>
        <v/>
      </c>
    </row>
    <row r="6637">
      <c r="A6637">
        <f>=20303	 | Virus.Win32.Diskgen.DW	 | 9ada3eeb6e9b691fdf64c20ceccd37d8</f>
        <v/>
      </c>
    </row>
    <row r="6638">
      <c r="A6638">
        <f>=20304	 | Virus.Win32.Diskgen.DX	 | </f>
        <v/>
      </c>
    </row>
    <row r="6639">
      <c r="A6639">
        <f>=20305	 | Virus.Win32.Diskgen.DY	 | </f>
        <v/>
      </c>
    </row>
    <row r="6640">
      <c r="A6640">
        <f>=20306	 | Virus.Win32.Diskgen.DZ	 | </f>
        <v/>
      </c>
    </row>
    <row r="6641">
      <c r="A6641">
        <f>=20307	 | Virus.Win32.Diskgen.EA	 | </f>
        <v/>
      </c>
    </row>
    <row r="6642">
      <c r="A6642">
        <f>=20308	 | Virus.Win32.Diskgen.EB	 | 6603025af05a2ee3f3a5bcd947d5459f</f>
        <v/>
      </c>
    </row>
    <row r="6643">
      <c r="A6643">
        <f>=20309	 | Virus.Win32.Diskgen.EC	 | </f>
        <v/>
      </c>
    </row>
    <row r="6644">
      <c r="A6644">
        <f>=20310	 | Virus.Win32.Diskgen.ED	 | 5b5f27ae44654701c27c1cdc8d32e9fc</f>
        <v/>
      </c>
    </row>
    <row r="6645">
      <c r="A6645">
        <f>=20311	 | Virus.Win32.Diskgen.EE	 | </f>
        <v/>
      </c>
    </row>
    <row r="6646">
      <c r="A6646">
        <f>=20312	 | Virus.Win32.Diskgen.EF	 | </f>
        <v/>
      </c>
    </row>
    <row r="6647">
      <c r="A6647">
        <f>=20313	 | Virus.Win32.Diskgen.EG	 | 06a85663bc456ef07c6987eca5e1b9c8</f>
        <v/>
      </c>
    </row>
    <row r="6648">
      <c r="A6648">
        <f>=20314	 | Virus.Win32.Diskgen.EH	 | </f>
        <v/>
      </c>
    </row>
    <row r="6649">
      <c r="A6649">
        <f>=20315	 | Virus.Win32.Diskgen.EI	 | </f>
        <v/>
      </c>
    </row>
    <row r="6650">
      <c r="A6650">
        <f>=20316	 | Virus.Win32.Diskgen.EJ	 | </f>
        <v/>
      </c>
    </row>
    <row r="6651">
      <c r="A6651">
        <f>=20317	 | Virus.Win32.Diskgen.EK	 | </f>
        <v/>
      </c>
    </row>
    <row r="6652">
      <c r="A6652">
        <f>=20318	 | Virus.Win32.Diskgen.EL	 | 6362fbec106c3aa3d8ba1b063c3748eb</f>
        <v/>
      </c>
    </row>
    <row r="6653">
      <c r="A6653">
        <f>=20319	 | Virus.Win32.Diskgen.EM	 | </f>
        <v/>
      </c>
    </row>
    <row r="6654">
      <c r="A6654">
        <f>=20320	 | Virus.Win32.Diskgen.EN	 | </f>
        <v/>
      </c>
    </row>
    <row r="6655">
      <c r="A6655">
        <f>=20321	 | Virus.Win32.Diskgen.EO	 | </f>
        <v/>
      </c>
    </row>
    <row r="6656">
      <c r="A6656">
        <f>=20322	 | Virus.Win32.Diskgen.EP	 | f2b0a086a16d47007a7074f8d129fcd5</f>
        <v/>
      </c>
    </row>
    <row r="6657">
      <c r="A6657">
        <f>=20323	 | Virus.Win32.Diskgen.EQ	 | 973030bb97527878db6a754dd5ee9b49</f>
        <v/>
      </c>
    </row>
    <row r="6658">
      <c r="A6658">
        <f>=20324	 | Virus.Win32.Diskgen.ER	 | </f>
        <v/>
      </c>
    </row>
    <row r="6659">
      <c r="A6659">
        <f>=20325	 | Virus.Win32.Diskgen.ES	 | 374e036c625b82b96863798c9afe3194</f>
        <v/>
      </c>
    </row>
    <row r="6660">
      <c r="A6660">
        <f>=20326	 | Virus.Win32.Diskgen.ET	 | </f>
        <v/>
      </c>
    </row>
    <row r="6661">
      <c r="A6661">
        <f>=20327	 | Virus.Win32.Diskgen.EU	 | 63ca8f6a6b6c56a6873aa588f4f3e3bf</f>
        <v/>
      </c>
    </row>
    <row r="6662">
      <c r="A6662">
        <f>=20328	 | Virus.Win32.Diskgen.EV	 | 64779b283569fe4504579745bece87ba</f>
        <v/>
      </c>
    </row>
    <row r="6663">
      <c r="A6663">
        <f>=20329	 | Virus.Win32.Diskgen.EW	 | d645088e0d5e5f4e6a4b113a5a00e45e</f>
        <v/>
      </c>
    </row>
    <row r="6664">
      <c r="A6664">
        <f>=20330	 | Virus.Win32.Diskgen.EX	 | 6de0758c3b6a7ea5b4c287adf993df64</f>
        <v/>
      </c>
    </row>
    <row r="6665">
      <c r="A6665">
        <f>=20331	 | Virus.Win32.Diskgen.EY	 | fa8695253264091c0e00fa69230500ca</f>
        <v/>
      </c>
    </row>
    <row r="6666">
      <c r="A6666">
        <f>=20332	 | Virus.Win32.Diskgen.EZ	 | 62b0f30d2b83015a4efb2b64576ef14c</f>
        <v/>
      </c>
    </row>
    <row r="6667">
      <c r="A6667">
        <f>=20333	 | Virus.Win32.Diskgen.FA	 | 1385b1b887721fe9eaaadbca785dd8e0</f>
        <v/>
      </c>
    </row>
    <row r="6668">
      <c r="A6668">
        <f>=20334	 | Virus.Win32.Diskgen.FB	 | 0da9999644c5a4298a1d4fcf7137ba92</f>
        <v/>
      </c>
    </row>
    <row r="6669">
      <c r="A6669">
        <f>=20335	 | Virus.Win32.Diskgen.FC	 | 700c68195062323f3e7230f1a67c520c</f>
        <v/>
      </c>
    </row>
    <row r="6670">
      <c r="A6670">
        <f>=20336	 | Virus.Win32.Diskgen.FD	 | 333e1f2062b338397dcd84c83168d42e</f>
        <v/>
      </c>
    </row>
    <row r="6671">
      <c r="A6671">
        <f>=20337	 | Virus.Win32.Diskgen.FE	 | 78fc1dacb6a9d7c031df56e41cd4a529</f>
        <v/>
      </c>
    </row>
    <row r="6672">
      <c r="A6672">
        <f>=20338	 | Virus.Win32.Zorg.A	 | 5d15ac7b44393f9d93953be30f73aeb0</f>
        <v/>
      </c>
    </row>
    <row r="6673">
      <c r="A6673">
        <f>=20339	 | Virus.Win32.BossDai.A	 | 9c854d2722774f1f391a81ba00ad8ce7</f>
        <v/>
      </c>
    </row>
    <row r="6674">
      <c r="A6674">
        <f>=20340	 | Virus.Win32.Caw.B	 | 9A27E7E64A62D78D078A5C7B0A11FB95</f>
        <v/>
      </c>
    </row>
    <row r="6675">
      <c r="A6675">
        <f>=20341	 | Virus.Win32.Mincer.A	 | E36F3E07FCDD13B200A88A287A9B7739</f>
        <v/>
      </c>
    </row>
    <row r="6676">
      <c r="A6676">
        <f>=20342	 | Virus.Win32.Agent.A	 | 018ddbc9e82b736dea70caa2a606f723</f>
        <v/>
      </c>
    </row>
    <row r="6677">
      <c r="A6677">
        <f>=20343	 | Virus.Win32.Wuke.B	 | f3739af1d682a7ded8661b2d923e5528</f>
        <v/>
      </c>
    </row>
    <row r="6678">
      <c r="A6678">
        <f>=20344	 | Virus.Win32.Agent.B	 | cac5de8917fe60ee7c431278e1a04106</f>
        <v/>
      </c>
    </row>
    <row r="6679">
      <c r="A6679">
        <f>=20345	 | Virus.Win32.Viking.CE	 | 5F7F406424B70C55A6ECB592F15F1E36</f>
        <v/>
      </c>
    </row>
    <row r="6680">
      <c r="A6680">
        <f>=20346	 | Virus.Win32.Viking.CF	 | 38ad69d6bafec6fe834c36f3a40dab89</f>
        <v/>
      </c>
    </row>
    <row r="6681">
      <c r="A6681">
        <f>=20347	 | Virus.Win32.Viking.CG	 | 9af2431747b70d1f68b2e702b174e653</f>
        <v/>
      </c>
    </row>
    <row r="6682">
      <c r="A6682">
        <f>=20348	 | Virus.Win32.Viking.CH	 | 0d31bb13ad348447c95d6ff71aee3a04</f>
        <v/>
      </c>
    </row>
    <row r="6683">
      <c r="A6683">
        <f>=20349	 | Virus.Win32.Viking.CI	 | 91a817a9c54b2ba84e1c5e91fc3b44f4</f>
        <v/>
      </c>
    </row>
    <row r="6684">
      <c r="A6684">
        <f>=20350	 | Virus.Win32.Viking.CJ	 | a2e93f208bf4844d86d45a97ec698723</f>
        <v/>
      </c>
    </row>
    <row r="6685">
      <c r="A6685">
        <f>=20351	 | Virus.Win32.Viking.CK	 | 84c1934219b834eb11723be1295525d3</f>
        <v/>
      </c>
    </row>
    <row r="6686">
      <c r="A6686">
        <f>=20352	 | Virus.Win32.Loader.R	 | 69ef3e3ba67ccbf66d5a8937e3e376e8</f>
        <v/>
      </c>
    </row>
    <row r="6687">
      <c r="A6687">
        <f>=20353	 | Virus.Win32.Capsfin.A	 | 5fc55655eab13548918c68880271031c</f>
        <v/>
      </c>
    </row>
    <row r="6688">
      <c r="A6688">
        <f>=20354	 | Virus.Win32.Viking.CL	 | de95c092597443dd1c8c010b68f94504</f>
        <v/>
      </c>
    </row>
    <row r="6689">
      <c r="A6689">
        <f>=20355	 | Virus.Win32.Viking.CM	 | cb4f5e59ca1c39d0933885d66520b0a2</f>
        <v/>
      </c>
    </row>
    <row r="6690">
      <c r="A6690">
        <f>=20356	 | Virus.Win32.Expiro.BK	 | 660304e460fba32278ca317225ae9096</f>
        <v/>
      </c>
    </row>
    <row r="6691">
      <c r="A6691">
        <f>=20357	 | Virus.Win32.Expiro.BL	 | ab52bafd3291578ff9092c9414e517ed</f>
        <v/>
      </c>
    </row>
    <row r="6692">
      <c r="A6692">
        <f>=20358	 | Virus.Win32.Expiro.BM	 | 9a6f11fb39be62c7753d3f75e8e8a0c8</f>
        <v/>
      </c>
    </row>
    <row r="6693">
      <c r="A6693">
        <f>=20359	 | Virus.Win32.Pioneer.A	 | 083fd76012c6e3ceca103c440682ecf1</f>
        <v/>
      </c>
    </row>
    <row r="6694">
      <c r="A6694">
        <f>=20360	 | Virus.Win32.Grenam.A	 | ec0427784622fe7ec91a5a01407ed6fd</f>
        <v/>
      </c>
    </row>
    <row r="6695">
      <c r="A6695">
        <f>=20361	 | Virus.Win32.Hezhi.A	 | a269358b5ee7add0787043b2adca091f</f>
        <v/>
      </c>
    </row>
    <row r="6696">
      <c r="A6696">
        <f>=20362	 | Virus.Win32.Agent.D	 | a85a5e2739ab51a84518a4df4dc17206</f>
        <v/>
      </c>
    </row>
    <row r="6697">
      <c r="A6697">
        <f>=20363	 | Virus.Win32.Agent.E	 | 8cab32ec0a5164dd4d90247ad6cdf77b</f>
        <v/>
      </c>
    </row>
    <row r="6698">
      <c r="A6698">
        <f>=20364	 | Virus.Win32.Span.A	 | 6a7446d9c4a46e04408ea1d9c05115ca</f>
        <v/>
      </c>
    </row>
    <row r="6699">
      <c r="A6699">
        <f>=20365	 | Virus.Win32.Expiro.BO	 | 07f93074de9e42006a1ccc465a1801d6</f>
        <v/>
      </c>
    </row>
    <row r="6700">
      <c r="A6700">
        <f>=20366	 | Virus.Win32.Expiro.BP	 | 07f93074de9e42006a1ccc465a1801d6</f>
        <v/>
      </c>
    </row>
    <row r="6701">
      <c r="A6701">
        <f>=20367	 | Virus.Win32.Expiro.BQ	 | d5b783ad818c63bf9fd3542a53baef5a</f>
        <v/>
      </c>
    </row>
    <row r="6702">
      <c r="A6702">
        <f>=20368	 | Virus.Win32.Expiro.BR	 | 05ef23550178afca33a48380427ba0d8</f>
        <v/>
      </c>
    </row>
    <row r="6703">
      <c r="A6703">
        <f>=20369	 | Virus.Win32.Velost.A	 | 29f35b8a1dcead72c538fd30d2a91a41</f>
        <v/>
      </c>
    </row>
    <row r="6704">
      <c r="A6704">
        <f>=20370	 | Virus.Win32.Synares.B	 | 8b94e5006e76d2940bd79f68c810c022</f>
        <v/>
      </c>
    </row>
    <row r="6705">
      <c r="A6705">
        <f>=20371	 | Virus.Win32.Viking.CN	 | 5ae8f96cebca8a955207c11b78a7e24b</f>
        <v/>
      </c>
    </row>
    <row r="6706">
      <c r="A6706">
        <f>=20372	 | Virus.Win32.Loader.S	 | a3ad7331cedd22bfdc5d69fb4e4627c1</f>
        <v/>
      </c>
    </row>
    <row r="6707">
      <c r="A6707">
        <f>=20373	 | Virus.Win32.Agent.H	 | 1521b392f18bcb532766959a6a486581</f>
        <v/>
      </c>
    </row>
    <row r="6708">
      <c r="A6708">
        <f>=20374	 | Virus.Win32.Wlog.A	 | 6989ff5e6dd6fa6bdfab1f7fc1f51ad3</f>
        <v/>
      </c>
    </row>
    <row r="6709">
      <c r="A6709">
        <f>=20375	 | Virus.Win32.Agent.I	 | bac923dd60347d15d6008e3e100d260f</f>
        <v/>
      </c>
    </row>
    <row r="6710">
      <c r="A6710">
        <f>=20376	 | Virus.Win32.Expiro.BS	 | aaf397a489c971045616d8d7f9c6b56d</f>
        <v/>
      </c>
    </row>
    <row r="6711">
      <c r="A6711">
        <f>=20377	 | Virus.Win32.Expiro.BT	 | 2bd5c7dad54c64acec4de70648f7e029</f>
        <v/>
      </c>
    </row>
    <row r="6712">
      <c r="A6712">
        <f>=20378	 | Virus.Win32.Expiro.BU	 | 3fd1c664d4ec62a51f34590acc93c673</f>
        <v/>
      </c>
    </row>
    <row r="6713">
      <c r="A6713">
        <f>=20379	 | Virus.Win32.Jusabli.A	 | e13fa66976eef60cbefcd6190156cc02</f>
        <v/>
      </c>
    </row>
    <row r="6714">
      <c r="A6714">
        <f>=20380	 | Virus.Win32.Emdup.A	 | ff1f02b91ee2628fe049ea16bd8ea034</f>
        <v/>
      </c>
    </row>
    <row r="6715">
      <c r="A6715">
        <f>=20381	 | Virus.Win32.Emdup.B	 | 5ba9adb0be5f0f42dfa55b3ba9c296bd</f>
        <v/>
      </c>
    </row>
    <row r="6716">
      <c r="A6716">
        <f>=20382	 | Virus.Win32.Viking.CO	 | 2aa3be6782c17f4a0597366a1804ba15</f>
        <v/>
      </c>
    </row>
    <row r="6717">
      <c r="A6717">
        <f>=20383	 | Virus.Win64.Expiro.Y	 | ebc8112cd4d2d71fa100e0cda67bc994</f>
        <v/>
      </c>
    </row>
    <row r="6718">
      <c r="A6718">
        <f>=20384	 | Virus.Win32.BMW.A	 | 50cbd2fc36b15c32732242b603875b67</f>
        <v/>
      </c>
    </row>
    <row r="6719">
      <c r="A6719">
        <f>=20385	 | Virus.Win32.Rungbu.A	 | 02cb1175d602865b1424630ed29e88ee</f>
        <v/>
      </c>
    </row>
    <row r="6720">
      <c r="A6720">
        <f>=20386	 | Virus.Win32.Rungbu.B	 | bbfc34e55189298f4ed1078e94e64d3f</f>
        <v/>
      </c>
    </row>
    <row r="6721">
      <c r="A6721">
        <f>=20387	 | Virus.Win32.Expiro.BV	 | f5e14988f3beac5664f641cd75c9ae56</f>
        <v/>
      </c>
    </row>
    <row r="6722">
      <c r="A6722">
        <f>=20388	 | Virus.Win64.Expiro.AA	 | 1765f9dec79d7e05b392badcc3e10d71</f>
        <v/>
      </c>
    </row>
    <row r="6723">
      <c r="A6723">
        <f>=20389	 | Virus.Win32.BMW.B	 | 3879e7d51f06798fdac993c477a4b0fd</f>
        <v/>
      </c>
    </row>
    <row r="6724">
      <c r="A6724">
        <f>=20390	 | Virus.Win64.Expiro.AB	 | 62e80cc8c9ea194c90c6083bbbd52723</f>
        <v/>
      </c>
    </row>
    <row r="6725">
      <c r="A6725">
        <f>=20391	 | Virus.Win32.Expiro.BW	 | 5157508dbf538db80f81e8</f>
        <v/>
      </c>
    </row>
    <row r="6726">
      <c r="A6726">
        <f>=20392	 | Virus.Win32.VB.C	 | b0fd0605f1cabbfc95f94c3c1bea9dc1</f>
        <v/>
      </c>
    </row>
    <row r="6727">
      <c r="A6727">
        <f>=20393	 | Virus.Win32.Magistr.A	 | 9890349fe3c68f5923b29347bba021a4</f>
        <v/>
      </c>
    </row>
    <row r="6728">
      <c r="A6728">
        <f>=20394	 | Virus.Win32.Magistr.B	 | 057c3be258768ed227deae25f87108eb</f>
        <v/>
      </c>
    </row>
    <row r="6729">
      <c r="A6729">
        <f>=20395	 | Virus.Win32.PolyRansom.A	 | b338e5268b92ed0695341f3b52ed492a</f>
        <v/>
      </c>
    </row>
    <row r="6730">
      <c r="A6730">
        <f>=30004	 | Virus.Win32.Viking.B	 | 04729bef8871b521cb91d2a281dfd57c</f>
        <v/>
      </c>
    </row>
    <row r="6731">
      <c r="A6731">
        <f>=30005	 | Virus.Win32.Viking.C	 | </f>
        <v/>
      </c>
    </row>
    <row r="6732">
      <c r="A6732">
        <f>=30006	 | Virus.Win32.Viking.D	 | </f>
        <v/>
      </c>
    </row>
    <row r="6733">
      <c r="A6733">
        <f>=30006212	 | Script.Win32.PicIframe.A	 | d8223b4da307c4d013a46549a188f0ce</f>
        <v/>
      </c>
    </row>
    <row r="6734">
      <c r="A6734">
        <f>=30007	 | Virus.Win32.Viking.E	 | </f>
        <v/>
      </c>
    </row>
    <row r="6735">
      <c r="A6735">
        <f>=30008	 | Virus.Win32.Viking.F	 | </f>
        <v/>
      </c>
    </row>
    <row r="6736">
      <c r="A6736">
        <f>=30009	 | Virus.Win32.Viking.G	 | </f>
        <v/>
      </c>
    </row>
    <row r="6737">
      <c r="A6737">
        <f>=30010	 | Virus.Win32.Viking.H	 | </f>
        <v/>
      </c>
    </row>
    <row r="6738">
      <c r="A6738">
        <f>=30011	 | Virus.Win32.Viking.I	 | 6bccf35bf3b50e014008952bc8f13225</f>
        <v/>
      </c>
    </row>
    <row r="6739">
      <c r="A6739">
        <f>=30012	 | Virus.Win32.Viking.J	 | </f>
        <v/>
      </c>
    </row>
    <row r="6740">
      <c r="A6740">
        <f>=30013	 | Virus.Win32.Viking.K	 | </f>
        <v/>
      </c>
    </row>
    <row r="6741">
      <c r="A6741">
        <f>=30014	 | Virus.Win32.Viking.L	 | 9c36d8a8d0f9bd0b87591adb484f7bd5</f>
        <v/>
      </c>
    </row>
    <row r="6742">
      <c r="A6742">
        <f>=30015	 | Virus.Win32.Viking.M	 | c4acb2d45321b32761f4f7d30ee0ea7d</f>
        <v/>
      </c>
    </row>
    <row r="6743">
      <c r="A6743">
        <f>=30016	 | Virus.Win32.Viking.N	 | 6bf16e2332c1d45d1071a52f58d0f0aa</f>
        <v/>
      </c>
    </row>
    <row r="6744">
      <c r="A6744">
        <f>=30017	 | Virus.Win32.Viking.O	 | e60bb3673fbc8f098cd3dae4ade1f075</f>
        <v/>
      </c>
    </row>
    <row r="6745">
      <c r="A6745">
        <f>=30018	 | Virus.Win32.Viking.P	 | 92379416ecae19c19927d28ea678fa5b</f>
        <v/>
      </c>
    </row>
    <row r="6746">
      <c r="A6746">
        <f>=30019	 | Virus.Win32.Viking.Q	 | </f>
        <v/>
      </c>
    </row>
    <row r="6747">
      <c r="A6747">
        <f>=30020	 | Virus.Win32.Viking.R	 | e7becc7bef2cc43725e08ac32eec1f96</f>
        <v/>
      </c>
    </row>
    <row r="6748">
      <c r="A6748">
        <f>=30021	 | Virus.Win32.Viking.S	 | </f>
        <v/>
      </c>
    </row>
    <row r="6749">
      <c r="A6749">
        <f>=30022	 | Virus.Win32.Viking.T	 | </f>
        <v/>
      </c>
    </row>
    <row r="6750">
      <c r="A6750">
        <f>=30023	 | Virus.Win32.Viking.U	 | </f>
        <v/>
      </c>
    </row>
    <row r="6751">
      <c r="A6751">
        <f>=30024	 | Virus.Win32.Viking.V	 | </f>
        <v/>
      </c>
    </row>
    <row r="6752">
      <c r="A6752">
        <f>=30025	 | Virus.Win32.Viking.W	 | </f>
        <v/>
      </c>
    </row>
    <row r="6753">
      <c r="A6753">
        <f>=30026	 | Virus.Win32.Viking.X	 | </f>
        <v/>
      </c>
    </row>
    <row r="6754">
      <c r="A6754">
        <f>=30027	 | Virus.Win32.Viking.Y	 | </f>
        <v/>
      </c>
    </row>
    <row r="6755">
      <c r="A6755">
        <f>=30028	 | Virus.Win32.Viking.Z	 | </f>
        <v/>
      </c>
    </row>
    <row r="6756">
      <c r="A6756">
        <f>=30029	 | Virus.Win32.Viking.AA	 | 6691cb97b1eb3fdaf131746649353493</f>
        <v/>
      </c>
    </row>
    <row r="6757">
      <c r="A6757">
        <f>=30030	 | Virus.Win32.Viking.AB	 | 86e12a3a9f1a32153965db4de9f51210</f>
        <v/>
      </c>
    </row>
    <row r="6758">
      <c r="A6758">
        <f>=30031	 | Virus.Win32.Viking.AC	 | </f>
        <v/>
      </c>
    </row>
    <row r="6759">
      <c r="A6759">
        <f>=3003126	 | Trojan.Linux.CoinMiner.A	 | </f>
        <v/>
      </c>
    </row>
    <row r="6760">
      <c r="A6760">
        <f>=3003127	 | Backdoor.Linux.Gafgyt.B	 | fdb938551e0ad15f875943612ed4a6c3</f>
        <v/>
      </c>
    </row>
    <row r="6761">
      <c r="A6761">
        <f>=3003129	 | Backdoor.Linux.Mirai.A	 | b4e9329a702b4771b1e6bea6ee1101c0</f>
        <v/>
      </c>
    </row>
    <row r="6762">
      <c r="A6762">
        <f>=3003130	 | Backdoor.Linux.Mirai.B	 | a9bd4526e3db7bfa3d54873889f45c48</f>
        <v/>
      </c>
    </row>
    <row r="6763">
      <c r="A6763">
        <f>=3003131	 | Backdoor.Linux.Mirai.C	 | 162f739f1c66e0226db1fc68a4a60b38</f>
        <v/>
      </c>
    </row>
    <row r="6764">
      <c r="A6764">
        <f>=3003134	 | Backdoor.Linux.Mirai.F	 | f7a0afa7c21dbe57d7da4577de7dacf2</f>
        <v/>
      </c>
    </row>
    <row r="6765">
      <c r="A6765">
        <f>=3003135	 | Backdoor.Linux.Mirai.G	 | 574cc1228b1a6a0baa3b46ff0aa33f10</f>
        <v/>
      </c>
    </row>
    <row r="6766">
      <c r="A6766">
        <f>=3003136	 | Backdoor.Linux.Mirai.H	 | </f>
        <v/>
      </c>
    </row>
    <row r="6767">
      <c r="A6767">
        <f>=3003137	 | Backdoor.Linux.Mirai.I	 | </f>
        <v/>
      </c>
    </row>
    <row r="6768">
      <c r="A6768">
        <f>=3003138	 | Backdoor.Linux.Mirai.J	 | 1765e2cde4f9f63797eddc0918ed8dff</f>
        <v/>
      </c>
    </row>
    <row r="6769">
      <c r="A6769">
        <f>=3003139	 | Backdoor.Linux.Mirai.K	 | 6acf2f9beea77ddb6cacfc59b0c61425</f>
        <v/>
      </c>
    </row>
    <row r="6770">
      <c r="A6770">
        <f>=3003140	 | Backdoor.Linux.Mirai.L	 | 9d49697280c8e7fea9466882d112a3fc</f>
        <v/>
      </c>
    </row>
    <row r="6771">
      <c r="A6771">
        <f>=3003141	 | Backdoor.Linux.Mirai.D	 | e40799e56e8ac4c5776a6006e313bc31</f>
        <v/>
      </c>
    </row>
    <row r="6772">
      <c r="A6772">
        <f>=3003144	 | Backdoor.Linux.Mirai.E	 | ef7b46714c4e381cc06f1d2f20ae649b</f>
        <v/>
      </c>
    </row>
    <row r="6773">
      <c r="A6773">
        <f>=3003145	 | Backdoor.Linux.Mirai.M	 | </f>
        <v/>
      </c>
    </row>
    <row r="6774">
      <c r="A6774">
        <f>=3003159	 | Backdoor.Linux.Gafgyt.C	 | 3204afe633086b511197e875ced52032</f>
        <v/>
      </c>
    </row>
    <row r="6775">
      <c r="A6775">
        <f>=3003160	 | Backdoor.Linux.Gafgyt.D	 | a882123091f8beeaa743725533289bf1</f>
        <v/>
      </c>
    </row>
    <row r="6776">
      <c r="A6776">
        <f>=3003161	 | Backdoor.Linux.Gafgyt.E	 | bcb092e4efe461f58da129620a658d21</f>
        <v/>
      </c>
    </row>
    <row r="6777">
      <c r="A6777">
        <f>=3003162	 | Backdoor.Linux.Gafgyt.F	 | e6dd2d5aa26ba29309e7bfd8b3655a58</f>
        <v/>
      </c>
    </row>
    <row r="6778">
      <c r="A6778">
        <f>=3003163	 | Backdoor.Linux.Gafgyt.G	 | </f>
        <v/>
      </c>
    </row>
    <row r="6779">
      <c r="A6779">
        <f>=3003164	 | Backdoor.Linux.Gafgyt.H	 | 65a81baae999bdd8b390411189f683f7</f>
        <v/>
      </c>
    </row>
    <row r="6780">
      <c r="A6780">
        <f>=3003176	 | Backdoor.Linux.Gafgyt.I	 | 6cbb773364f3f78905e07261db2a5cae</f>
        <v/>
      </c>
    </row>
    <row r="6781">
      <c r="A6781">
        <f>=3003177	 | Backdoor.Linux.Gafgyt.J	 | db866db2b4c8651f575c8f5e7500c973</f>
        <v/>
      </c>
    </row>
    <row r="6782">
      <c r="A6782">
        <f>=3003178	 | Backdoor.Linux.Gafgyt.K	 | 39e754adadd79fbca17b0472015f71ad</f>
        <v/>
      </c>
    </row>
    <row r="6783">
      <c r="A6783">
        <f>=3003196	 | Backdoor.Linux.Setag.A	 | 35630f190cb88821e27175fa8b9bdc74</f>
        <v/>
      </c>
    </row>
    <row r="6784">
      <c r="A6784">
        <f>=30032	 | Virus.Win32.Viking.AD	 | bc2391c9151851ac297801a17a3bcb10</f>
        <v/>
      </c>
    </row>
    <row r="6785">
      <c r="A6785">
        <f>=3003219	 | Backdoor.Linux.Tsunami.B	 | f9db1d910f47cb2e761523f632145070</f>
        <v/>
      </c>
    </row>
    <row r="6786">
      <c r="A6786">
        <f>=3003220	 | Backdoor.Linux.Tsunami.C	 | </f>
        <v/>
      </c>
    </row>
    <row r="6787">
      <c r="A6787">
        <f>=3003221	 | Backdoor.Linux.Tsunami.A	 | 167c2f5e0d6abe5b9b35348fd0269928</f>
        <v/>
      </c>
    </row>
    <row r="6788">
      <c r="A6788">
        <f>=3003222	 | Exploit.Linux.Lotoor.A	 | 9b8cda438b6b697a89fd985ecf678705</f>
        <v/>
      </c>
    </row>
    <row r="6789">
      <c r="A6789">
        <f>=3003223	 | Exploit.Linux.Lotoor.B	 | </f>
        <v/>
      </c>
    </row>
    <row r="6790">
      <c r="A6790">
        <f>=3003235	 | Trojan.Linux.XorDDos.A	 | 7d63e410db30d3174d1223ace6f2e6fe</f>
        <v/>
      </c>
    </row>
    <row r="6791">
      <c r="A6791">
        <f>=3003287	 | Exploit.Linux.BinderExp.A	 | </f>
        <v/>
      </c>
    </row>
    <row r="6792">
      <c r="A6792">
        <f>=3003288	 | Exploit.Linux.BinderExp.C	 | </f>
        <v/>
      </c>
    </row>
    <row r="6793">
      <c r="A6793">
        <f>=3003289	 | Exploit.Linux.BinderExp.D	 | d0f71729046999ba980dc54d8665303a</f>
        <v/>
      </c>
    </row>
    <row r="6794">
      <c r="A6794">
        <f>=3003290	 | Exploit.Linux.BinderExp.B	 | </f>
        <v/>
      </c>
    </row>
    <row r="6795">
      <c r="A6795">
        <f>=30033	 | Virus.Win32.Viking.AE	 | b2985949ba563b03974a1f78671aa020</f>
        <v/>
      </c>
    </row>
    <row r="6796">
      <c r="A6796">
        <f>=30034	 | Virus.Win32.Viking.AF	 | 2775cb9f031e11117cf618b3da4dfb4b</f>
        <v/>
      </c>
    </row>
    <row r="6797">
      <c r="A6797">
        <f>=3003482	 | Backdoor.Linux.Mirai.N	 | </f>
        <v/>
      </c>
    </row>
    <row r="6798">
      <c r="A6798">
        <f>=3003483	 | Backdoor.Linux.Mirai.O	 | </f>
        <v/>
      </c>
    </row>
    <row r="6799">
      <c r="A6799">
        <f>=30035	 | Virus.Win32.Viking.AG	 | </f>
        <v/>
      </c>
    </row>
    <row r="6800">
      <c r="A6800">
        <f>=30036	 | Virus.Win32.Viking.AH	 | 85f8fac6f30a279f01927afe6e6fe3a4</f>
        <v/>
      </c>
    </row>
    <row r="6801">
      <c r="A6801">
        <f>=30037	 | Virus.Win32.Viking.AI	 | 256636c7941980ab72a319b095b4bcf0</f>
        <v/>
      </c>
    </row>
    <row r="6802">
      <c r="A6802">
        <f>=3003783	 | Backdoor.Linux.Mirai.P	 | 001c6f55c08ed2ecedb2544afb21ed4a</f>
        <v/>
      </c>
    </row>
    <row r="6803">
      <c r="A6803">
        <f>=3003785	 | Backdoor.Linux.Gafgyt.M	 | 001c6f55c08ed2ecedb2544afb21ed4a</f>
        <v/>
      </c>
    </row>
    <row r="6804">
      <c r="A6804">
        <f>=3003786	 | Backdoor.Linux.Gafgyt.N	 | 001c6f55c08ed2ecedb2544afb21ed4a</f>
        <v/>
      </c>
    </row>
    <row r="6805">
      <c r="A6805">
        <f>=30038	 | Virus.Win32.Viking.AJ	 | 5c111d4d0d06b1463e8cb05c0f12fe6e</f>
        <v/>
      </c>
    </row>
    <row r="6806">
      <c r="A6806">
        <f>=30039	 | Virus.Win32.Viking.AK	 | e9b0cdcb6ce7f3cd547f296d53a45066</f>
        <v/>
      </c>
    </row>
    <row r="6807">
      <c r="A6807">
        <f>=3003922	 | Backdoor.Linux.Gafgyt.P	 | 0412c618655ab91107960a54d5580444</f>
        <v/>
      </c>
    </row>
    <row r="6808">
      <c r="A6808">
        <f>=3003923	 | Backdoor.Linux.Mirai.Q	 | ff506fecee0ac88e3cd9f7369db5bc53</f>
        <v/>
      </c>
    </row>
    <row r="6809">
      <c r="A6809">
        <f>=3003924	 | Backdoor.Linux.Mirai.R	 | fc734586e0769399efc042380cf8499a</f>
        <v/>
      </c>
    </row>
    <row r="6810">
      <c r="A6810">
        <f>=3003925	 | Backdoor.Linux.Mirai.S	 | f17cf2d4a0dadf3e2af5d628c872acca</f>
        <v/>
      </c>
    </row>
    <row r="6811">
      <c r="A6811">
        <f>=3003926	 | Backdoor.Linux.Mirai.T	 | 2201107e10735852dfd303ea2893cddc</f>
        <v/>
      </c>
    </row>
    <row r="6812">
      <c r="A6812">
        <f>=3003929	 | Backdoor.Linux.Tsunami.D	 | 03491609197fce6640802f743649d23f</f>
        <v/>
      </c>
    </row>
    <row r="6813">
      <c r="A6813">
        <f>=30040	 | Virus.Win32.Viking.AL	 | b5e4737b46ebd84ad12a50f5deca655c</f>
        <v/>
      </c>
    </row>
    <row r="6814">
      <c r="A6814">
        <f>=30041	 | Virus.Win32.Viking.AM	 | </f>
        <v/>
      </c>
    </row>
    <row r="6815">
      <c r="A6815">
        <f>=3004179	 | Trojan.Android.Agent.A	 | 162f739f1c66e0226db1fc68a4a60b38</f>
        <v/>
      </c>
    </row>
    <row r="6816">
      <c r="A6816">
        <f>=3004180	 | Trojan.Android.Rootnik.A	 | 34009b96ef260e9466cfa9dd9bf08c4a</f>
        <v/>
      </c>
    </row>
    <row r="6817">
      <c r="A6817">
        <f>=3004181	 | Trojan.Android.Rootnik.B	 | 2091925276e66ee4d6969e4f3958150f</f>
        <v/>
      </c>
    </row>
    <row r="6818">
      <c r="A6818">
        <f>=3004183	 | Trojan.Linux.Elknot.A	 | fb4c19b3f2cb03528de629cb49d07874</f>
        <v/>
      </c>
    </row>
    <row r="6819">
      <c r="A6819">
        <f>=3004184	 | Trojan.Linux.Elknot.B	 | 2091925276e66ee4d6969e4f3958150f</f>
        <v/>
      </c>
    </row>
    <row r="6820">
      <c r="A6820">
        <f>=30042	 | Virus.Win32.Viking.AN	 | 406bd41c56165c5d7f4c02cb71eb8393</f>
        <v/>
      </c>
    </row>
    <row r="6821">
      <c r="A6821">
        <f>=30043	 | Virus.Win32.Viking.AO	 | 2b12c5118f50a14e96965b14caa37d09</f>
        <v/>
      </c>
    </row>
    <row r="6822">
      <c r="A6822">
        <f>=30044	 | Virus.Win32.Viking.AP	 | 87125e6d081ceddfc3485a756d2a8cb1</f>
        <v/>
      </c>
    </row>
    <row r="6823">
      <c r="A6823">
        <f>=30045	 | Virus.Win32.Viking.AQ	 | bb0bb19d07ed20d323e9d9810016e624</f>
        <v/>
      </c>
    </row>
    <row r="6824">
      <c r="A6824">
        <f>=30046	 | Virus.Win32.Viking.AR	 | b2d7e82bd46ad6c3bdc0aecaf97232ef</f>
        <v/>
      </c>
    </row>
    <row r="6825">
      <c r="A6825">
        <f>=30047	 | Virus.Win32.Viking.AS	 | 7f608ccd1ef7c1c400e71627016905bb</f>
        <v/>
      </c>
    </row>
    <row r="6826">
      <c r="A6826">
        <f>=30048	 | Virus.Win32.Viking.AT	 | 3f3563d6c98fbeb4d051f3d9b873e253</f>
        <v/>
      </c>
    </row>
    <row r="6827">
      <c r="A6827">
        <f>=30049	 | Virus.Win32.Viking.AU	 | ef6ab8908e831cbbeebf3f72b39a0795</f>
        <v/>
      </c>
    </row>
    <row r="6828">
      <c r="A6828">
        <f>=3004959	 | Trojan.Android.Banker.A	 | 16f412b5647f008956c15f1b3a7a0979</f>
        <v/>
      </c>
    </row>
    <row r="6829">
      <c r="A6829">
        <f>=3004960	 | Trojan.Android.Banker.B	 | 06bce2d46fcf6f5146934589dd25d484</f>
        <v/>
      </c>
    </row>
    <row r="6830">
      <c r="A6830">
        <f>=3004961	 | Trojan.Android.Banker.C	 | 602b7ebbc481d34d2a0ef9db66f87421</f>
        <v/>
      </c>
    </row>
    <row r="6831">
      <c r="A6831">
        <f>=3004962	 | Trojan.Android.Downloader.A	 | 2c7c90ea630f6a2e914e900d954b695e</f>
        <v/>
      </c>
    </row>
    <row r="6832">
      <c r="A6832">
        <f>=3004963	 | Backdoor.Linux.Mirai.V	 | 0cbd87f8c250914448c66267e8ddc4a9</f>
        <v/>
      </c>
    </row>
    <row r="6833">
      <c r="A6833">
        <f>=3004967	 | Trojan.Android.Downloader.B	 | 937401e1f9979132c3f16244fdd5b4a7</f>
        <v/>
      </c>
    </row>
    <row r="6834">
      <c r="A6834">
        <f>=3004970	 | Trojan.Linux.Setag.A	 | 181b3241f6a0e0046688ed1473d66af8</f>
        <v/>
      </c>
    </row>
    <row r="6835">
      <c r="A6835">
        <f>=30050	 | Virus.Win32.Viking.AV	 | 2bca9b3734344b39de6285be6aa4b499</f>
        <v/>
      </c>
    </row>
    <row r="6836">
      <c r="A6836">
        <f>=3005008	 | Trojan.Linux.Ddos.A	 | 001a103bf845fe00d63686590a6c4ff4</f>
        <v/>
      </c>
    </row>
    <row r="6837">
      <c r="A6837">
        <f>=30051	 | Virus.Win32.Viking.AW	 | </f>
        <v/>
      </c>
    </row>
    <row r="6838">
      <c r="A6838">
        <f>=30052	 | Virus.Win32.Viking.AX	 | cd0d31cc7dc1d46adfb618f85ab0ca2e</f>
        <v/>
      </c>
    </row>
    <row r="6839">
      <c r="A6839">
        <f>=30053	 | Virus.Win32.Viking.AY	 | 90f654f0ac3dcb44a1a658b0b49814b0</f>
        <v/>
      </c>
    </row>
    <row r="6840">
      <c r="A6840">
        <f>=30054	 | Virus.Win32.Viking.AZ	 | 516a947eb17998401da02ff907becdb7</f>
        <v/>
      </c>
    </row>
    <row r="6841">
      <c r="A6841">
        <f>=3005446	 | Trojan.Linux.Ddos.B	 | 0c6b9836ae6c77bcce1812fb9440b022</f>
        <v/>
      </c>
    </row>
    <row r="6842">
      <c r="A6842">
        <f>=3005449	 | Trojan.Linux.Ddos.C	 | fe37a516dc4995d889a20004f2b757a1</f>
        <v/>
      </c>
    </row>
    <row r="6843">
      <c r="A6843">
        <f>=3005450	 | Trojan.Linux.Ddos.D	 | 792d65a3534355b70d3d89869dccdc64</f>
        <v/>
      </c>
    </row>
    <row r="6844">
      <c r="A6844">
        <f>=3005457	 | Backdoor.Linux.Agent.A	 | 2A3CB7CF77269B2FF4B953C2B8EDF5D5</f>
        <v/>
      </c>
    </row>
    <row r="6845">
      <c r="A6845">
        <f>=3005460	 | Backdoor.Linux.Gafgyt.Q	 | ab350a8428bd8160cbf089530d040878</f>
        <v/>
      </c>
    </row>
    <row r="6846">
      <c r="A6846">
        <f>=3005461	 | Backdoor.Linux.Gafgyt.R	 | af418f33641e026d2d57be1d9c0107b1</f>
        <v/>
      </c>
    </row>
    <row r="6847">
      <c r="A6847">
        <f>=3005478	 | Backdoor.Linux.Agent.B	 | acdfc4ffc6bb1859dce61040d77006f7</f>
        <v/>
      </c>
    </row>
    <row r="6848">
      <c r="A6848">
        <f>=3005479	 | Backdoor.Linux.Agent.C	 | bf7d5ec02d7a6ccaf8825d0518b45c06</f>
        <v/>
      </c>
    </row>
    <row r="6849">
      <c r="A6849">
        <f>=30055	 | Virus.Win32.Viking.BA	 | 186be4068f2dc6e2d6a6cf8409922c42</f>
        <v/>
      </c>
    </row>
    <row r="6850">
      <c r="A6850">
        <f>=3005511	 | Worm.Linux.Vit.A	 | b8b306d54616f482cb47693be7b5a64d</f>
        <v/>
      </c>
    </row>
    <row r="6851">
      <c r="A6851">
        <f>=3005581	 | Trojan.Linux.Miner.A	 | 9fe932ac3055045a46d44997a4c6d481</f>
        <v/>
      </c>
    </row>
    <row r="6852">
      <c r="A6852">
        <f>=3005583	 | Trojan.Linux.Bitcoinminer.A	 | a5c7c93fa57c1fc27cde28b047c85be6</f>
        <v/>
      </c>
    </row>
    <row r="6853">
      <c r="A6853">
        <f>=3005585	 | Backdoor.Linux.Tsunami.E	 | c4d44eed4916675dd408ff0b3562fb1f</f>
        <v/>
      </c>
    </row>
    <row r="6854">
      <c r="A6854">
        <f>=3005586	 | Trojan.Linux.Miner.B	 | d4ae941c505ee53e344fb4d4c2e102b7</f>
        <v/>
      </c>
    </row>
    <row r="6855">
      <c r="A6855">
        <f>=3005588	 | Backdoor.Linux.Tsunami.F	 | ee48aa6068988649e41febfa0e3b2169</f>
        <v/>
      </c>
    </row>
    <row r="6856">
      <c r="A6856">
        <f>=30056	 | Virus.Win32.Viking.BB	 | f3ad3fc40fe6fb2bd03bd837ff94902d</f>
        <v/>
      </c>
    </row>
    <row r="6857">
      <c r="A6857">
        <f>=3005637	 | Trojan.Linux.CoinMiner.B	 | cfde21dc48f06da5688e81b1cdeb2b3e</f>
        <v/>
      </c>
    </row>
    <row r="6858">
      <c r="A6858">
        <f>=3005638	 | Trojan.Linux.CoinMiner.C	 | d146612bed765ba32200e0f97d0330c8</f>
        <v/>
      </c>
    </row>
    <row r="6859">
      <c r="A6859">
        <f>=3005639	 | Trojan.Linux.CoinMiner.D	 | 17028FABB703AD98E44691DEDC7C3D1F</f>
        <v/>
      </c>
    </row>
    <row r="6860">
      <c r="A6860">
        <f>=30057	 | Virus.Win32.Viking.BC	 | </f>
        <v/>
      </c>
    </row>
    <row r="6861">
      <c r="A6861">
        <f>=30058	 | Virus.Win32.Viking.BD	 | 30d86d1bb6bd045ba33df4ab420f1201</f>
        <v/>
      </c>
    </row>
    <row r="6862">
      <c r="A6862">
        <f>=30059	 | Virus.Win32.Viking.BE	 | </f>
        <v/>
      </c>
    </row>
    <row r="6863">
      <c r="A6863">
        <f>=30060	 | Virus.Win32.Viking.BF	 | 153d112b4fb30f76afb4bb0731de2db6</f>
        <v/>
      </c>
    </row>
    <row r="6864">
      <c r="A6864">
        <f>=3006062	 | Backdoor.Linux.CoinMiner.A	 | 96b0f85c37c1523f054c269131755808</f>
        <v/>
      </c>
    </row>
    <row r="6865">
      <c r="A6865">
        <f>=30061	 | Virus.Win32.Viking.BG	 | aa42efa9e0d3f14f7737a633dacb975a</f>
        <v/>
      </c>
    </row>
    <row r="6866">
      <c r="A6866">
        <f>=30062	 | Virus.Win32.Viking.BH	 | 2256c1bac50ce711c4df76ac0caf096c</f>
        <v/>
      </c>
    </row>
    <row r="6867">
      <c r="A6867">
        <f>=3006213	 | Backdoor.Linux.Generic.B	 | ab498686505dfc645e14c6edad280da7</f>
        <v/>
      </c>
    </row>
    <row r="6868">
      <c r="A6868">
        <f>=3006242	 | Backdoor.Linux.Mirai.W	 | 1b0324b5593facaab17725602f4301f9</f>
        <v/>
      </c>
    </row>
    <row r="6869">
      <c r="A6869">
        <f>=3006243	 | Backdoor.Linux.Mirai.X	 | 1cf72b62f8a66e3a08a4844817ce49b4</f>
        <v/>
      </c>
    </row>
    <row r="6870">
      <c r="A6870">
        <f>=3006244	 | Backdoor.Linux.Mirai.Y	 | 3bea2f6ce9232b74edb58e30f6a9f2d3</f>
        <v/>
      </c>
    </row>
    <row r="6871">
      <c r="A6871">
        <f>=3006245	 | Backdoor.Linux.Mirai.AA	 | 3f8a4085207b946ec04116a153d5ff43</f>
        <v/>
      </c>
    </row>
    <row r="6872">
      <c r="A6872">
        <f>=3006246	 | Backdoor.Linux.Mirai.AB	 | 7afb6fcc9e6fc547611378c00c5a93c6</f>
        <v/>
      </c>
    </row>
    <row r="6873">
      <c r="A6873">
        <f>=3006256	 | Trojan.Linux.Znaich.A	 | 592694f192c5d0260f08cac7f6e48ab6</f>
        <v/>
      </c>
    </row>
    <row r="6874">
      <c r="A6874">
        <f>=3006257	 | Backdoor.Linux.Mirai.AC	 | 0be378ba800eaf055c441003ce0d07ca</f>
        <v/>
      </c>
    </row>
    <row r="6875">
      <c r="A6875">
        <f>=3006260	 | Backdoor.Linux.Mirai.AD	 | 8bb3cfa9be8fec03a3b5f02e3edb15d4</f>
        <v/>
      </c>
    </row>
    <row r="6876">
      <c r="A6876">
        <f>=3006261	 | Backdoor.Linux.Mirai.AE	 | 60ab89a12c8147268e5b791a4ac54d98</f>
        <v/>
      </c>
    </row>
    <row r="6877">
      <c r="A6877">
        <f>=3006262	 | Backdoor.Linux.Mirai.AF	 | 3e150e7333713332ae2d00ab9cc49a08</f>
        <v/>
      </c>
    </row>
    <row r="6878">
      <c r="A6878">
        <f>=3006264	 | Backdoor.Linux.Mirai.AG	 | f915c1f8d38b2dd2cc7e415978c2d769</f>
        <v/>
      </c>
    </row>
    <row r="6879">
      <c r="A6879">
        <f>=3006265	 | Backdoor.Linux.Gafgyt.S	 | 0b4874339313a3df2464c60a2c45de2d</f>
        <v/>
      </c>
    </row>
    <row r="6880">
      <c r="A6880">
        <f>=3006266	 | Trojan.Linux.Agent.A	 | 367e6723b00f5f689f402c7efbb31c82</f>
        <v/>
      </c>
    </row>
    <row r="6881">
      <c r="A6881">
        <f>=3006267	 | Trojan.Linux.Agent.B	 | 017814c3d5656f39ad1d7ff6bf8ae366</f>
        <v/>
      </c>
    </row>
    <row r="6882">
      <c r="A6882">
        <f>=3006268	 | Trojan.Linux.Agent.C	 | 914749c88881ca375d0f75c31a3af6dd</f>
        <v/>
      </c>
    </row>
    <row r="6883">
      <c r="A6883">
        <f>=3006269	 | Backdoor.Linux.Dofloo.A	 | 23eaff279abad182adc134e80a3f724b</f>
        <v/>
      </c>
    </row>
    <row r="6884">
      <c r="A6884">
        <f>=3006270	 | Backdoor.Linux.Mirai.AH	 | 326c95e7bb84bd2a1570e4da5ee0d1e5</f>
        <v/>
      </c>
    </row>
    <row r="6885">
      <c r="A6885">
        <f>=3006271	 | Backdoor.Linux.Gafgyt.T	 | c69b5bb8f73ca0491666b1cbca4992d3</f>
        <v/>
      </c>
    </row>
    <row r="6886">
      <c r="A6886">
        <f>=3006275	 | Trojan.Linux.Agent.D	 | a558f9fb26f20cadf1f9dba5e0411f4c</f>
        <v/>
      </c>
    </row>
    <row r="6887">
      <c r="A6887">
        <f>=3006276	 | Trojan.Linux.Agent.E	 | 74abc70604b2f7681d1ae78e5a84e0da</f>
        <v/>
      </c>
    </row>
    <row r="6888">
      <c r="A6888">
        <f>=3006281	 | Backdoor.Linux.Mirai.AL	 | 057c90a633bd2cddb04f750313447dd4</f>
        <v/>
      </c>
    </row>
    <row r="6889">
      <c r="A6889">
        <f>=3006283	 | Backdoor.Linux.Mirai.AM	 | 7eff7f6fe534b8a91a96ec8419ee6bb8</f>
        <v/>
      </c>
    </row>
    <row r="6890">
      <c r="A6890">
        <f>=3006284	 | Backdoor.Linux.Mirai.AN	 | 7eff7f6fe534b8a91a96ec8419ee6bb8</f>
        <v/>
      </c>
    </row>
    <row r="6891">
      <c r="A6891">
        <f>=3006290	 | Backdoor.Linux.Mirai.AO	 | 7eff7f6fe534b8a91a96ec8419ee6bb8</f>
        <v/>
      </c>
    </row>
    <row r="6892">
      <c r="A6892">
        <f>=3006291	 | Backdoor.Linux.Mirai.AP	 | 7eff7f6fe534b8a91a96ec8419ee6bb8</f>
        <v/>
      </c>
    </row>
    <row r="6893">
      <c r="A6893">
        <f>=30063	 | Virus.Win32.Viking.BI	 | 9f3e6c22d51fc7e3f1f484e8577b557f</f>
        <v/>
      </c>
    </row>
    <row r="6894">
      <c r="A6894">
        <f>=3006309	 | Backdoor.Linux.Mirai.AQ	 | 3047102e18445fc86121ee24e263d1e3</f>
        <v/>
      </c>
    </row>
    <row r="6895">
      <c r="A6895">
        <f>=3006310	 | Trojan.Linux.Znaich.B	 | 6571a500986de71edc561039892b87c8</f>
        <v/>
      </c>
    </row>
    <row r="6896">
      <c r="A6896">
        <f>=3006311	 | Backdoor.Linux.Mirai.AR	 | 5d09060db11f44b2746a39341bfcc489</f>
        <v/>
      </c>
    </row>
    <row r="6897">
      <c r="A6897">
        <f>=3006312	 | Backdoor.Linux.Mirai.AS	 | 68b4db3f3be1f20e18c65c44f1d8fe31</f>
        <v/>
      </c>
    </row>
    <row r="6898">
      <c r="A6898">
        <f>=3006317	 | Backdoor.Linux.Dofloo.B	 | 20fe1d585c936efc763c65c490930c27</f>
        <v/>
      </c>
    </row>
    <row r="6899">
      <c r="A6899">
        <f>=3006318	 | Trojan.Linux.Znaich.C	 | 4f096ef97786005a633b1e70e76a30ab</f>
        <v/>
      </c>
    </row>
    <row r="6900">
      <c r="A6900">
        <f>=3006319	 | Trojan.Linux.Znaich.D	 | ae757dc808fb7f8069ca4a138c8bca1d</f>
        <v/>
      </c>
    </row>
    <row r="6901">
      <c r="A6901">
        <f>=3006320	 | Backdoor.Linux.Gafgyt.U	 | aaa2bc7f1c1a2177c79c17de432af917</f>
        <v/>
      </c>
    </row>
    <row r="6902">
      <c r="A6902">
        <f>=3006324	 | Backdoor.Linux.Mirai.AT	 | fd94d0796ae26cc74a109d1828b79d95</f>
        <v/>
      </c>
    </row>
    <row r="6903">
      <c r="A6903">
        <f>=3006325	 | Backdoor.Linux.Mirai.AU	 | bf2bffcbae7dd68be9a2883c6ebc3bab</f>
        <v/>
      </c>
    </row>
    <row r="6904">
      <c r="A6904">
        <f>=30064	 | Virus.Win32.Viking.BJ	 | 7eea8388b32d9b1f36b3e54ca802239e</f>
        <v/>
      </c>
    </row>
    <row r="6905">
      <c r="A6905">
        <f>=30065	 | Virus.Win32.Expiro.P	 | 5a3dbbe09d6044c44e5ffafe1613b44e</f>
        <v/>
      </c>
    </row>
    <row r="6906">
      <c r="A6906">
        <f>=30066	 | Virus.Win32.Expiro.Q	 | dddca0a1840440792a4c561f6c9bff21</f>
        <v/>
      </c>
    </row>
    <row r="6907">
      <c r="A6907">
        <f>=3006663	 | Hackertool.Linux.CoinMiner.B	 | 485cb85e37c67c81cb09ee2620da97be</f>
        <v/>
      </c>
    </row>
    <row r="6908">
      <c r="A6908">
        <f>=30067	 | Virus.Win32.Expiro.R	 | 48a7957accae37ae62987f0f38b4355c</f>
        <v/>
      </c>
    </row>
    <row r="6909">
      <c r="A6909">
        <f>=30068	 | Virus.Win32.Expiro.S	 | a6d0a2d93ea52dcb3fdfdb4c0e45bf00</f>
        <v/>
      </c>
    </row>
    <row r="6910">
      <c r="A6910">
        <f>=30069	 | Virus.Win32.Expiro.T	 | b33a3b3c2804ade158dcdcaa186f8b25</f>
        <v/>
      </c>
    </row>
    <row r="6911">
      <c r="A6911">
        <f>=30070	 | Virus.Win32.Expiro.U	 | 9b48e772d0f7c87c39471bda056af5ca</f>
        <v/>
      </c>
    </row>
    <row r="6912">
      <c r="A6912">
        <f>=3007019	 | Trojan.Linux.Agent.F	 | ca1beab2e91920b0e11419ab33103d47</f>
        <v/>
      </c>
    </row>
    <row r="6913">
      <c r="A6913">
        <f>=3007056	 | Trojan.Linux.Botnet.A	 | 849b165f28ae8b1cebe0c7430f44aff3</f>
        <v/>
      </c>
    </row>
    <row r="6914">
      <c r="A6914">
        <f>=3007098	 | Backdoor.Linux.Mirai.AV	 | fbe51695e97a45dc61967dc3241a37dc</f>
        <v/>
      </c>
    </row>
    <row r="6915">
      <c r="A6915">
        <f>=30071	 | Virus.Win32.Expiro.V	 | 97a848204e51d6473305a7435c06e5e3</f>
        <v/>
      </c>
    </row>
    <row r="6916">
      <c r="A6916">
        <f>=30072	 | Virus.Win32.Expiro.W	 | 575ca866375c0c1e401f164cb58be890</f>
        <v/>
      </c>
    </row>
    <row r="6917">
      <c r="A6917">
        <f>=30073	 | Virus.Win32.Expiro.X	 | a91e00912a5af4d7f69c5ef3eebac56a</f>
        <v/>
      </c>
    </row>
    <row r="6918">
      <c r="A6918">
        <f>=30074	 | Virus.Win32.Expiro.Y	 | 59234b5d42fa33f62d804b4e9739b05e</f>
        <v/>
      </c>
    </row>
    <row r="6919">
      <c r="A6919">
        <f>=30075	 | Virus.Win32.Expiro.Z	 | </f>
        <v/>
      </c>
    </row>
    <row r="6920">
      <c r="A6920">
        <f>=30076	 | Virus.Win32.Expiro.AA	 | 32c8f25ecac6d9c946309abe10f078b4</f>
        <v/>
      </c>
    </row>
    <row r="6921">
      <c r="A6921">
        <f>=30077	 | Virus.Win32.Expiro.AB	 | 6c0a8b3c3b1c89ac77f1223da6e603b3</f>
        <v/>
      </c>
    </row>
    <row r="6922">
      <c r="A6922">
        <f>=3007762	 | Backdoor.Linux.Mirai.AW	 | 5a4047340aa818fbea0083111bd0e515</f>
        <v/>
      </c>
    </row>
    <row r="6923">
      <c r="A6923">
        <f>=30078	 | Virus.Win32.Expiro.AC	 | 39edb056597891e7a1b0970183b75e30</f>
        <v/>
      </c>
    </row>
    <row r="6924">
      <c r="A6924">
        <f>=3007892	 | Trojan.Linux.Xmrig.A	 | 39DFFED3C43EF9B15A6AA2F4D1AB4B4E</f>
        <v/>
      </c>
    </row>
    <row r="6925">
      <c r="A6925">
        <f>=3007893	 | Trojan.Linux.DDGBot.A	 | 44fe6fd36da292e8857a9a6520997919</f>
        <v/>
      </c>
    </row>
    <row r="6926">
      <c r="A6926">
        <f>=30079	 | Virus.Win32.Expiro.AD	 | 4061548504b1eeaa41c63f8a832d96da</f>
        <v/>
      </c>
    </row>
    <row r="6927">
      <c r="A6927">
        <f>=30080	 | Virus.Win32.Expiro.AE	 | </f>
        <v/>
      </c>
    </row>
    <row r="6928">
      <c r="A6928">
        <f>=3008083	 | Ransom.Linux.Ransome.A	 | aa1ddf0c8312349be614ff43e80a262f</f>
        <v/>
      </c>
    </row>
    <row r="6929">
      <c r="A6929">
        <f>=30081	 | Virus.Win32.Expiro.AF	 | 8728ff840508b72ab81881d0d8722cc0</f>
        <v/>
      </c>
    </row>
    <row r="6930">
      <c r="A6930">
        <f>=3008101	 | Backdoor.Linux.Mirai.AX	 | be064676bcb2c3801af1b04f16680a7d</f>
        <v/>
      </c>
    </row>
    <row r="6931">
      <c r="A6931">
        <f>=3008102	 | Backdoor.Linux.Mirai.AY	 | b508cdf2fd1d51b9dc59378655471128</f>
        <v/>
      </c>
    </row>
    <row r="6932">
      <c r="A6932">
        <f>=3008103	 | Backdoor.Linux.Mirai.BA	 | a536276af66351dc3e5418d99c511f63</f>
        <v/>
      </c>
    </row>
    <row r="6933">
      <c r="A6933">
        <f>=30082	 | Virus.Win32.Expiro.AG	 | 95e880c9ff47c74c5d62ed51fa292ad4</f>
        <v/>
      </c>
    </row>
    <row r="6934">
      <c r="A6934">
        <f>=30083	 | Virus.Win32.Expiro.AH	 | 4710de4ce5cb5d09d4460db324797039</f>
        <v/>
      </c>
    </row>
    <row r="6935">
      <c r="A6935">
        <f>=30084	 | Virus.Win32.Expiro.AI	 | 8d6fb67c4bbef568e0c307a18f85780f</f>
        <v/>
      </c>
    </row>
    <row r="6936">
      <c r="A6936">
        <f>=3008451	 | Trojan.Linux.Mirai.B	 | f922171d48fc77ae43dbf6afa2104cbe</f>
        <v/>
      </c>
    </row>
    <row r="6937">
      <c r="A6937">
        <f>=30085	 | Virus.Win32.Expiro.AJ	 | 5342ce71992cc3aa7cc5bd1719138987</f>
        <v/>
      </c>
    </row>
    <row r="6938">
      <c r="A6938">
        <f>=3008548	 | Hackertool.Linux.BitCoinMiner.A	 | 4a25d0bd0638234d0ae885f6fb8559b7</f>
        <v/>
      </c>
    </row>
    <row r="6939">
      <c r="A6939">
        <f>=30086	 | Virus.Win32.Expiro.AK	 | d8338adcea363f5dfe0191536404d0c2</f>
        <v/>
      </c>
    </row>
    <row r="6940">
      <c r="A6940">
        <f>=3008657	 | Backdoor.Linux.Gafgyt.V	 | 86e71e365e3335294615c783772c8e63</f>
        <v/>
      </c>
    </row>
    <row r="6941">
      <c r="A6941">
        <f>=30087	 | Virus.Win32.Expiro.AL	 | 75b927a01199ff642aca04624dde40b2</f>
        <v/>
      </c>
    </row>
    <row r="6942">
      <c r="A6942">
        <f>=30088	 | Virus.Win32.Expiro.AM	 | ac0d82f6139340dde59db8baf7205f4d</f>
        <v/>
      </c>
    </row>
    <row r="6943">
      <c r="A6943">
        <f>=3008822	 | VirTool.Linux.Orig.A	 | 8359adfd8f0d419505dea41d18d59070</f>
        <v/>
      </c>
    </row>
    <row r="6944">
      <c r="A6944">
        <f>=3008823	 | Hackertool.Linux.CoinMiner.C	 | 231e9710424f5ca67bc12ad216a3cf21</f>
        <v/>
      </c>
    </row>
    <row r="6945">
      <c r="A6945">
        <f>=3008828	 | VirTool.Linux.Joker.A	 | 7d6892e2207258b4b8d1acc731340bde</f>
        <v/>
      </c>
    </row>
    <row r="6946">
      <c r="A6946">
        <f>=3008829	 | Exploit.Linux.Lotoor.C	 | 0fe2af80c6463f1fa6d9e0a5094dfe83</f>
        <v/>
      </c>
    </row>
    <row r="6947">
      <c r="A6947">
        <f>=3008848	 | Backdoor.Linux.Mirai.BB	 | 211f4a744bf11adfa67ba7d241be2095</f>
        <v/>
      </c>
    </row>
    <row r="6948">
      <c r="A6948">
        <f>=3008849	 | Backdoor.Linux.Mirai.BC	 | a92cc3f7d765c1e71a0d27188c900001</f>
        <v/>
      </c>
    </row>
    <row r="6949">
      <c r="A6949">
        <f>=3008854	 | Backdoor.Linux.Mirai.BD	 | 7e47753b485158c5ad4aaf1695393da3</f>
        <v/>
      </c>
    </row>
    <row r="6950">
      <c r="A6950">
        <f>=30089	 | Virus.Win32.Expiro.AN	 | 41c6f0267a1664b39c83d5ddfcd74753</f>
        <v/>
      </c>
    </row>
    <row r="6951">
      <c r="A6951">
        <f>=30090	 | Virus.Win32.Expiro.AO	 | eeece6a315c7e410ac5b2e539247b51f</f>
        <v/>
      </c>
    </row>
    <row r="6952">
      <c r="A6952">
        <f>=30091	 | Virus.Win32.Expiro.AP	 | 5b5abb7c21e16e36fbc610154f344bfd</f>
        <v/>
      </c>
    </row>
    <row r="6953">
      <c r="A6953">
        <f>=30092	 | Virus.Win32.Expiro.AQ	 | affba1a73260196c3e0efa804315f690</f>
        <v/>
      </c>
    </row>
    <row r="6954">
      <c r="A6954">
        <f>=30093	 | Virus.Win32.Expiro.AR	 | fa0075af63b4f8aa9c75914a57b7ae05</f>
        <v/>
      </c>
    </row>
    <row r="6955">
      <c r="A6955">
        <f>=30094	 | Virus.Win32.Expiro.AS	 | 37b85f521e30186f9b9f16d97bdbb16f</f>
        <v/>
      </c>
    </row>
    <row r="6956">
      <c r="A6956">
        <f>=30095	 | Virus.Win32.Expiro.AT	 | 735b7c82ba12df6cd3ab3323887b436d</f>
        <v/>
      </c>
    </row>
    <row r="6957">
      <c r="A6957">
        <f>=30096	 | Virus.Win32.Expiro.AU	 | 3ca97c9d753cf43a878adcd401be24b3</f>
        <v/>
      </c>
    </row>
    <row r="6958">
      <c r="A6958">
        <f>=30097	 | Virus.Win32.Expiro.AV	 | f781f518b71b597a457e4ce5490d966a</f>
        <v/>
      </c>
    </row>
    <row r="6959">
      <c r="A6959">
        <f>=3009743	 | Trojan.Linux.CoinMiner.E	 | e725966f027573c5ccb9d92dbdbc4ecc</f>
        <v/>
      </c>
    </row>
    <row r="6960">
      <c r="A6960">
        <f>=3009744	 | Trojan.Linux.CoinMiner.F	 | d8c31b2512efea3ec0146ff2448a72d2</f>
        <v/>
      </c>
    </row>
    <row r="6961">
      <c r="A6961">
        <f>=3009793	 | Trojan.Linux.Generic.B	 | f4c90b41126fc17848bd0d131288bd36</f>
        <v/>
      </c>
    </row>
    <row r="6962">
      <c r="A6962">
        <f>=3009794	 | Trojan.Linux.Xmrig.B	 | ead2cf8ab7aef63706b40eb57d668d0a</f>
        <v/>
      </c>
    </row>
    <row r="6963">
      <c r="A6963">
        <f>=3009795	 | Trojan.Linux.Xmrig.C	 | ead2cf8ab7aef63706b40eb57d668d0a</f>
        <v/>
      </c>
    </row>
    <row r="6964">
      <c r="A6964">
        <f>=3009796	 | Trojan.Linux.XmrigMiner.A	 | 301a0a58dd98ecbbe12c6acbd0c7bbdc</f>
        <v/>
      </c>
    </row>
    <row r="6965">
      <c r="A6965">
        <f>=30098	 | Virus.Win32.Expiro.AW	 | f3a0f389aed2dfac4604cd6bf42f9f5c</f>
        <v/>
      </c>
    </row>
    <row r="6966">
      <c r="A6966">
        <f>=30099	 | Virus.Win32.Expiro.AX	 | 38b38646dcea2c393c4fd224a7c5f9d4</f>
        <v/>
      </c>
    </row>
    <row r="6967">
      <c r="A6967">
        <f>=3009904	 | Trojan.Linux.Generic.C	 | f4c90b41126fc17848bd0d131288bd36</f>
        <v/>
      </c>
    </row>
    <row r="6968">
      <c r="A6968">
        <f>=30100	 | Virus.Win32.Expiro.AY	 | </f>
        <v/>
      </c>
    </row>
    <row r="6969">
      <c r="A6969">
        <f>=30101	 | Virus.Win32.Expiro.AZ	 | 84d2bb2dcb485f53a4c2e9d63cbebddb</f>
        <v/>
      </c>
    </row>
    <row r="6970">
      <c r="A6970">
        <f>=30102	 | Virus.Win32.Expiro.BA	 | 7fde07298feccc511c864727cdca94e5</f>
        <v/>
      </c>
    </row>
    <row r="6971">
      <c r="A6971">
        <f>=30103	 | Virus.Win64.Expiro.G	 | 42f42a218429025fd1ab9d463559a2a0</f>
        <v/>
      </c>
    </row>
    <row r="6972">
      <c r="A6972">
        <f>=30104	 | Virus.Win64.Expiro.H	 | c69609236a3c96dbfc1d3bb9faaae343</f>
        <v/>
      </c>
    </row>
    <row r="6973">
      <c r="A6973">
        <f>=30105	 | Virus.Win64.Expiro.I	 | c564f14eeb708561c1543cfed3529ea3</f>
        <v/>
      </c>
    </row>
    <row r="6974">
      <c r="A6974">
        <f>=30106	 | Virus.Win64.Expiro.J	 | 80b3e6a88c1d6838f05a5d7b411b55dd</f>
        <v/>
      </c>
    </row>
    <row r="6975">
      <c r="A6975">
        <f>=3010624	 | Trojan.Linux.Meterpreter.B	 | 1aa2894b361c2d68788590b31d2eb37e</f>
        <v/>
      </c>
    </row>
    <row r="6976">
      <c r="A6976">
        <f>=3010625	 | Trojan.Linux.Meterpreter.C	 | 1aa2894b361c2d68788590b31d2eb37e</f>
        <v/>
      </c>
    </row>
    <row r="6977">
      <c r="A6977">
        <f>=30107	 | Virus.Win64.Expiro.K	 | 9bc03fdf8ec345fc87cb00cc9bc20ae7</f>
        <v/>
      </c>
    </row>
    <row r="6978">
      <c r="A6978">
        <f>=3010744	 | Hackertool.Linux.Xmrig.A	 | f4c90b41126fc17848bd0d131288bd36</f>
        <v/>
      </c>
    </row>
    <row r="6979">
      <c r="A6979">
        <f>=30108	 | Virus.Win64.Expiro.L	 | 056bdc41bb9deacd48d30b89259b005c</f>
        <v/>
      </c>
    </row>
    <row r="6980">
      <c r="A6980">
        <f>=30109	 | Virus.Win64.Expiro.M	 | c1cdcb3d7a551a1c39e5cd1904573a30</f>
        <v/>
      </c>
    </row>
    <row r="6981">
      <c r="A6981">
        <f>=30110	 | Virus.Win64.Expiro.N	 | a51d6ec672775dfbc337d747a71566b1</f>
        <v/>
      </c>
    </row>
    <row r="6982">
      <c r="A6982">
        <f>=30111	 | Virus.Win32.Viking.BK	 | </f>
        <v/>
      </c>
    </row>
    <row r="6983">
      <c r="A6983">
        <f>=30112	 | Virus.Win32.Viking.BL	 | 226aef36de521e72f5785e5397504a71</f>
        <v/>
      </c>
    </row>
    <row r="6984">
      <c r="A6984">
        <f>=30113	 | Virus.Win32.Viking.BM	 | a4457a17c9f5245ea3e302e842e5427c</f>
        <v/>
      </c>
    </row>
    <row r="6985">
      <c r="A6985">
        <f>=30114	 | Virus.Win32.Viking.BN	 | c926c656bf0adff798aa91fc2e234b85</f>
        <v/>
      </c>
    </row>
    <row r="6986">
      <c r="A6986">
        <f>=30115	 | Virus.Win32.Viking.BO	 | 07763bbb9bc08b6d30fd0d9dfbddf0e0</f>
        <v/>
      </c>
    </row>
    <row r="6987">
      <c r="A6987">
        <f>=3011579	 | Hackertool.Linux.CoinMiner.D	 | a66c6c00d09529066b03070646127286</f>
        <v/>
      </c>
    </row>
    <row r="6988">
      <c r="A6988">
        <f>=30116	 | Virus.Win32.Viking.BP	 | d81fe3c2d6690ed6270d87ea5bf64cb5</f>
        <v/>
      </c>
    </row>
    <row r="6989">
      <c r="A6989">
        <f>=3011648	 | Backdoor.Linux.Tsunami.G	 | 6f7c410de4a850558e8f8680013b0027</f>
        <v/>
      </c>
    </row>
    <row r="6990">
      <c r="A6990">
        <f>=30117	 | Virus.Win32.Expiro.BB	 | b74a4f656b6abf6b6a984f5037ef9e70</f>
        <v/>
      </c>
    </row>
    <row r="6991">
      <c r="A6991">
        <f>=30118	 | Virus.Win32.Patched.D	 | 693abb6ee9d70061cccbe7b8b6bbd229</f>
        <v/>
      </c>
    </row>
    <row r="6992">
      <c r="A6992">
        <f>=3011867	 | Hackertool.Linux.PortScan.A	 | eefc0ce93d254982fbbcd26460f3d10d</f>
        <v/>
      </c>
    </row>
    <row r="6993">
      <c r="A6993">
        <f>=3011870	 | Hackertool.Linux.Sshbrute.A	 | dc6e956855bcf3ede2658b11c2e5fa95</f>
        <v/>
      </c>
    </row>
    <row r="6994">
      <c r="A6994">
        <f>=3011872	 | Hackertool.Linux.Sshbru.A	 | 8bb0f33cfe9b2e0eada28a736e4a0b49</f>
        <v/>
      </c>
    </row>
    <row r="6995">
      <c r="A6995">
        <f>=3011888	 | Backdoor.Linux.Mirai.BY	 | 6ba4a28de2bc22416ea6fcbcf1579592</f>
        <v/>
      </c>
    </row>
    <row r="6996">
      <c r="A6996">
        <f>=3011889	 | Backdoor.Linux.Mirai.CA	 | 010a678cbb7fe9bc42cbce6d97c5fc7b</f>
        <v/>
      </c>
    </row>
    <row r="6997">
      <c r="A6997">
        <f>=3011890	 | Backdoor.Linux.Mirai.CB	 | 6d5606aecfabc01d84c254ab1aaca829</f>
        <v/>
      </c>
    </row>
    <row r="6998">
      <c r="A6998">
        <f>=3011891	 | Backdoor.Linux.Mirai.CC	 | 1df1a36e134a79bfcda16c384521fb3c</f>
        <v/>
      </c>
    </row>
    <row r="6999">
      <c r="A6999">
        <f>=3011892	 | Backdoor.Linux.Mirai.CD	 | f3ca5cda080acc31665304640c01b243</f>
        <v/>
      </c>
    </row>
    <row r="7000">
      <c r="A7000">
        <f>=3011893	 | Hackertool.Linux.CoinMiner.E	 | 32b573efd67b27c6bc1580e1f5b1d0e3</f>
        <v/>
      </c>
    </row>
    <row r="7001">
      <c r="A7001">
        <f>=3011894	 | Trojan.Linux.Mirai.C	 | aa667e06a8da3907d76e8afc5e7d977e</f>
        <v/>
      </c>
    </row>
    <row r="7002">
      <c r="A7002">
        <f>=3011895	 | Trojan.Linux.Mirai.D	 | 024b15b667a77cce5f6541c5f53259cf</f>
        <v/>
      </c>
    </row>
    <row r="7003">
      <c r="A7003">
        <f>=3011896	 | Trojan.Linux.Mirai.E	 | 05591fb9763577235b1b46c5f90bd6c5</f>
        <v/>
      </c>
    </row>
    <row r="7004">
      <c r="A7004">
        <f>=3011898	 | Trojan.Linux.Generic.D	 | b68b247605c685951c2386e2ccfbcf39</f>
        <v/>
      </c>
    </row>
    <row r="7005">
      <c r="A7005">
        <f>=3011899	 | Trojan.Linux.DDoS.E	 | 065b43397b758bdc4d266d7b8a3aff6d</f>
        <v/>
      </c>
    </row>
    <row r="7006">
      <c r="A7006">
        <f>=30119	 | Virus.Win32.VB.A	 | 19f316648ae2cda724ac4e63d4d4f31b</f>
        <v/>
      </c>
    </row>
    <row r="7007">
      <c r="A7007">
        <f>=3011901	 | Hackertool.Linux.HackBrowser.A	 | f346604e5f0bf38d25882221e02d81cd</f>
        <v/>
      </c>
    </row>
    <row r="7008">
      <c r="A7008">
        <f>=3011902	 | Hackertool.Linux.HackBrowser.B	 | b8e20bfb438d13fc3d1d38dcb4a12a80</f>
        <v/>
      </c>
    </row>
    <row r="7009">
      <c r="A7009">
        <f>=3011920	 | Hackertool.Linux.Coinminer.F	 | 648effa354b3cbaad87b45f48d59c616</f>
        <v/>
      </c>
    </row>
    <row r="7010">
      <c r="A7010">
        <f>=3011921	 | Backdoor.Linux.Gafgyt.AD	 | 033d6fb1f2733e74f7a61dafd71273a6</f>
        <v/>
      </c>
    </row>
    <row r="7011">
      <c r="A7011">
        <f>=3011922	 | Backdoor.Linux.Mirai.CE	 | 1e5288a9289504e010683b7a55f654a9</f>
        <v/>
      </c>
    </row>
    <row r="7012">
      <c r="A7012">
        <f>=3011923	 | Hackertool.Linux.Coinminer.G	 | 8c6681daba966addd295ad89bf5146af</f>
        <v/>
      </c>
    </row>
    <row r="7013">
      <c r="A7013">
        <f>=3011948	 | Hackertool.Linux.CoinMiner.H	 | 2d614c4ba6f9dbbf3ba511c8a2dfc051</f>
        <v/>
      </c>
    </row>
    <row r="7014">
      <c r="A7014">
        <f>=30120	 | Virus.Win32.Cekar.B	 | a7de686643979447ed9e01463db81a58</f>
        <v/>
      </c>
    </row>
    <row r="7015">
      <c r="A7015">
        <f>=30121	 | Virus.Win32.Floxif.A	 | </f>
        <v/>
      </c>
    </row>
    <row r="7016">
      <c r="A7016">
        <f>=30122	 | Virus.Win32.Unruy.F	 | </f>
        <v/>
      </c>
    </row>
    <row r="7017">
      <c r="A7017">
        <f>=3012250	 | Trojan.Linux.Xmrig.E	 | e5c3720e14a5ea7f678e0a9835d28283</f>
        <v/>
      </c>
    </row>
    <row r="7018">
      <c r="A7018">
        <f>=3012255	 | Hackertool.Linux.CoinMiner.I	 | 074c9c0865f7e76eed921bae2362cda3</f>
        <v/>
      </c>
    </row>
    <row r="7019">
      <c r="A7019">
        <f>=3012274	 | Trojan.Linux.Skidmap.A	 | 31ccae78b56a9dae3a316dd389963647</f>
        <v/>
      </c>
    </row>
    <row r="7020">
      <c r="A7020">
        <f>=3012275	 | Trojan.Linux.Skidmap.B	 | b5a9c7bd8fdb2b6e5c4431a90b83010f</f>
        <v/>
      </c>
    </row>
    <row r="7021">
      <c r="A7021">
        <f>=3012276	 | HackerTool.Linux.XMRIG.B	 | 149c79bf71a54ec41f6793819682f790</f>
        <v/>
      </c>
    </row>
    <row r="7022">
      <c r="A7022">
        <f>=3012277	 | Backdoor.Linux.Gafgyt.AE	 | 3c5758723980e6b9315ac6e6c32e261d</f>
        <v/>
      </c>
    </row>
    <row r="7023">
      <c r="A7023">
        <f>=3012278	 | Backdoor.Linux.Gafgyt.AF	 | 843a7fec9a8e2398a69dd7dfc49afdd2</f>
        <v/>
      </c>
    </row>
    <row r="7024">
      <c r="A7024">
        <f>=3012283	 | Hackertool.Linux.CoinMiner.J	 | 35269826d788370c3be184261adde884</f>
        <v/>
      </c>
    </row>
    <row r="7025">
      <c r="A7025">
        <f>=3012284	 | Hackertool.Linux.ExploitScan.A	 | 9960bac4ddc3e864a167e03037b9e65a</f>
        <v/>
      </c>
    </row>
    <row r="7026">
      <c r="A7026">
        <f>=30123	 | Virus.Win32.Unruy.E	 | da042e7fc2510f3d71be018549cb095f</f>
        <v/>
      </c>
    </row>
    <row r="7027">
      <c r="A7027">
        <f>=3012335	 | Trojan.Linux.Ransom.A	 | 4bb2f87100fca40bfbb102e48ef43e65</f>
        <v/>
      </c>
    </row>
    <row r="7028">
      <c r="A7028">
        <f>=3012350	 | Backdoor.Linux.Generic.E	 | 3c9b9664f5a8040c63662b3fe0a5c8aadf1c857f</f>
        <v/>
      </c>
    </row>
    <row r="7029">
      <c r="A7029">
        <f>=3012374	 | Trojan.Linux.Wellmess.A	 | 861879f402fe3080ab058c0c88536be4</f>
        <v/>
      </c>
    </row>
    <row r="7030">
      <c r="A7030">
        <f>=3012377	 | Trojan.Linux.Wellmail.A	 | 8777a9796565effa01b03cf1cea9d24d</f>
        <v/>
      </c>
    </row>
    <row r="7031">
      <c r="A7031">
        <f>=30124	 | Virus.Win32.VB.B	 | 22b8ffa086b41c825466f08b740526e8</f>
        <v/>
      </c>
    </row>
    <row r="7032">
      <c r="A7032">
        <f>=30125	 | Virus.Win32.Patched.E	 | </f>
        <v/>
      </c>
    </row>
    <row r="7033">
      <c r="A7033">
        <f>=30126	 | Virus.Win32.Patched.F	 | 00448e82ae833810aaf68fad38427f6f</f>
        <v/>
      </c>
    </row>
    <row r="7034">
      <c r="A7034">
        <f>=30127	 | Virus.Win32.Dasinap.A	 | </f>
        <v/>
      </c>
    </row>
    <row r="7035">
      <c r="A7035">
        <f>=30128	 | Virus.Win32.Cekar.C	 | b51f3c3cc2081b3910681e3c7703643f</f>
        <v/>
      </c>
    </row>
    <row r="7036">
      <c r="A7036">
        <f>=30129	 | Virus.Win32.Viking.CA	 | 73a8d0f8423359270adfad041e830562</f>
        <v/>
      </c>
    </row>
    <row r="7037">
      <c r="A7037">
        <f>=30130	 | Virus.Win32.Viking.CB	 | 1f6581987e4f27df530bbf77aa4107d9</f>
        <v/>
      </c>
    </row>
    <row r="7038">
      <c r="A7038">
        <f>=30131	 | Virus.Win32.Viking.CC	 | d8477c10a944e5b272edf61aa7f42005</f>
        <v/>
      </c>
    </row>
    <row r="7039">
      <c r="A7039">
        <f>=30132	 | Virus.Win32.Butileg.A	 | </f>
        <v/>
      </c>
    </row>
    <row r="7040">
      <c r="A7040">
        <f>=30133	 | Virus.Win32.Viking.CD	 | </f>
        <v/>
      </c>
    </row>
    <row r="7041">
      <c r="A7041">
        <f>=30134	 | Virus.Win32.MySignal.A	 | </f>
        <v/>
      </c>
    </row>
    <row r="7042">
      <c r="A7042">
        <f>=30135	 | Virus.Win32.MySignal.B	 | 2fb72866f6bc0322d330b85f960ee4e1</f>
        <v/>
      </c>
    </row>
    <row r="7043">
      <c r="A7043">
        <f>=30136	 | Virus.Win32.Bloored.A	 | fcbcc43a2df1ae11b13f957e66610488</f>
        <v/>
      </c>
    </row>
    <row r="7044">
      <c r="A7044">
        <f>=30137	 | Virus.Win32.Bloored.B	 | d3a74aadc57acba6c62c2ca57f94d7ea</f>
        <v/>
      </c>
    </row>
    <row r="7045">
      <c r="A7045">
        <f>=30138	 | Virus.Win32.Butileg.B	 | </f>
        <v/>
      </c>
    </row>
    <row r="7046">
      <c r="A7046">
        <f>=30139	 | Virus.Win32.Hala.A	 | </f>
        <v/>
      </c>
    </row>
    <row r="7047">
      <c r="A7047">
        <f>=30140	 | Virus.Win32.SennaSpy.D	 | dfcfe7d05d0771e3a9c45b6cf0a0f49b</f>
        <v/>
      </c>
    </row>
    <row r="7048">
      <c r="A7048">
        <f>=30141	 | Virus.Win32.Hps.A	 | </f>
        <v/>
      </c>
    </row>
    <row r="7049">
      <c r="A7049">
        <f>=30142	 | Virus.Win32.Resur.B	 | 006cd7a359479745b99c18712c10e4ab</f>
        <v/>
      </c>
    </row>
    <row r="7050">
      <c r="A7050">
        <f>=30143	 | Virus.Win32.Icogon.A	 | 5077BB9C99E46C4CDC74823AF2A47386</f>
        <v/>
      </c>
    </row>
    <row r="7051">
      <c r="A7051">
        <f>=30145	 | Virus.Win32.SennaSpy.F	 | d75c46576696a7ccf03a1820c2d22f78</f>
        <v/>
      </c>
    </row>
    <row r="7052">
      <c r="A7052">
        <f>=30146	 | Virus.Win32.Wanex.A	 | a724ad9f8353e2e6ad5ae8861bd82a0b</f>
        <v/>
      </c>
    </row>
    <row r="7053">
      <c r="A7053">
        <f>=30506274	 | Exploit.Win32.CVE-2020-0938.A	 | 05bc7e824363cd0d7098c7de01177439</f>
        <v/>
      </c>
    </row>
    <row r="7054">
      <c r="A7054">
        <f>=40000	 | Virus.Win32.Blueheaven.A	 | 5e2dcdbc0e0ae37f8ffbfc68ded3aff4</f>
        <v/>
      </c>
    </row>
    <row r="7055">
      <c r="A7055">
        <f>=40001	 | Virus.Win32.Belarus.B	 | 083bf03ab1304d8819f943d322db2384</f>
        <v/>
      </c>
    </row>
    <row r="7056">
      <c r="A7056">
        <f>=40002	 | Virus.Win32.Visua.A	 | </f>
        <v/>
      </c>
    </row>
    <row r="7057">
      <c r="A7057">
        <f>=40003	 | Virus.Win32.Coinminer.A	 | 01a4d828251c6b10faff3ff793280143</f>
        <v/>
      </c>
    </row>
    <row r="7058">
      <c r="A7058">
        <f>=40004	 | Virus.Win32.Coinminer.B	 | 1376930829569e63c0ff0930e18cf231</f>
        <v/>
      </c>
    </row>
    <row r="7059">
      <c r="A7059">
        <f>=40005	 | Virus.Win32.Lamer.A	 | 0d5a7a66bb5878bf7deb249b098b987e</f>
        <v/>
      </c>
    </row>
    <row r="7060">
      <c r="A7060">
        <f>=40006	 | Virus.Win32.Lamer.B	 | </f>
        <v/>
      </c>
    </row>
    <row r="7061">
      <c r="A7061">
        <f>=40007	 | Virus.Win32.Unruy.A	 | 19b565d844b63e3b1b1e0df4b78e4c2b</f>
        <v/>
      </c>
    </row>
    <row r="7062">
      <c r="A7062">
        <f>=40008	 | Virus.Win32.Renamer.A	 | 1b3b3b2fbe01e4cea4de7497228e1b9a</f>
        <v/>
      </c>
    </row>
    <row r="7063">
      <c r="A7063">
        <f>=40009	 | Virus.Win32.Renamer.B	 | 77efd95828190dce36fb27f8aa788c01</f>
        <v/>
      </c>
    </row>
    <row r="7064">
      <c r="A7064">
        <f>=40010	 | Virus.Win32.Unruy.B	 | 047cde5fc956409d3c59e0dcebec31c1</f>
        <v/>
      </c>
    </row>
    <row r="7065">
      <c r="A7065">
        <f>=40011	 | Virus.Win32.Bagar.A	 | 06c73a151c7ad7051e7eadbdd7188794</f>
        <v/>
      </c>
    </row>
    <row r="7066">
      <c r="A7066">
        <f>=40012	 | Virus.Win32.Coinminer.C	 | </f>
        <v/>
      </c>
    </row>
    <row r="7067">
      <c r="A7067">
        <f>=40013	 | Virus.Win32.Krepper.A	 | 7fe974a3e9eec6d981a0f135028957db</f>
        <v/>
      </c>
    </row>
    <row r="7068">
      <c r="A7068">
        <f>=40014	 | Virus.Win32.Sality.H	 | 034dcac306a9ddcf984d8072157e3e80</f>
        <v/>
      </c>
    </row>
    <row r="7069">
      <c r="A7069">
        <f>=40015	 | Virus.Win32.Sality.I	 | </f>
        <v/>
      </c>
    </row>
    <row r="7070">
      <c r="A7070">
        <f>=40016	 | Virus.Win32.Sality.J	 | db4ca72d0d80f4bf24998b2dd404068d</f>
        <v/>
      </c>
    </row>
    <row r="7071">
      <c r="A7071">
        <f>=40017	 | Virus.Win32.Downloader.A	 | 8efdefa0dde5a54b687102491cf6e46f</f>
        <v/>
      </c>
    </row>
    <row r="7072">
      <c r="A7072">
        <f>=40019	 | Virus.Win32.Synaptics.A	 | 1b65b075c0e506d0ff1e0bd78eb6a953</f>
        <v/>
      </c>
    </row>
    <row r="7073">
      <c r="A7073">
        <f>=40020	 | Virus.Win32.Nimnul.A	 | aaac114c16697effc7c4e5fc362827f6</f>
        <v/>
      </c>
    </row>
    <row r="7074">
      <c r="A7074">
        <f>=40021	 | Virus.Win32.WhBoy.A	 | 8760679b633fa7f900ac37fe2cc568ba</f>
        <v/>
      </c>
    </row>
    <row r="7075">
      <c r="A7075">
        <f>=40022	 | Virus.Win32.WhBoy.B	 | 79272b73138fc13d13d9f592f2bfe12e</f>
        <v/>
      </c>
    </row>
    <row r="7076">
      <c r="A7076">
        <f>=40023	 | Virus.Win32.WhBoy.C	 | 5cb8c5a671a9378f57be8b6b7caf6373</f>
        <v/>
      </c>
    </row>
    <row r="7077">
      <c r="A7077">
        <f>=40024	 | Virus.Win32.WhBoy.D	 | 5cb8c5a671a9378f57be8b6b7caf6373</f>
        <v/>
      </c>
    </row>
    <row r="7078">
      <c r="A7078">
        <f>=40025	 | Virus.Win32.WhBoy.E	 | 598b09ff68f78a982146bfe24f8d999a</f>
        <v/>
      </c>
    </row>
    <row r="7079">
      <c r="A7079">
        <f>=40026	 | Virus.Win32.WhBoy.F	 | 7d67140369ce7b884a9dccbc853f8192</f>
        <v/>
      </c>
    </row>
    <row r="7080">
      <c r="A7080">
        <f>=40027	 | Virus.Win32.WhBoy.G	 | 409d71c3c45d5691c0b1c817c6ee9e20</f>
        <v/>
      </c>
    </row>
    <row r="7081">
      <c r="A7081">
        <f>=40028	 | Virus.Win32.WhBoy.H	 | 8d3fbbc66de98afbdeb8d334b7038097</f>
        <v/>
      </c>
    </row>
    <row r="7082">
      <c r="A7082">
        <f>=4003967	 | Vbs.Win32.Agent.A	 | 05ac2857db5fd019097f5541a3272611</f>
        <v/>
      </c>
    </row>
    <row r="7083">
      <c r="A7083">
        <f>=4004075	 | Vbs.Win32.Agent.B	 | 4da9d8deba9fa1dc44375747cfe3db05</f>
        <v/>
      </c>
    </row>
    <row r="7084">
      <c r="A7084">
        <f>=4004979	 | Vbs.Win32.Agent.C	 | 976ad3dcdb61ea3dfcf8aefb93fab2bc</f>
        <v/>
      </c>
    </row>
    <row r="7085">
      <c r="A7085">
        <f>=4005819	 | Trojan.Win32.RoseKernel.B	 | 7a4e9ceb9a626e5133004dba22b8e9a9</f>
        <v/>
      </c>
    </row>
    <row r="7086">
      <c r="A7086">
        <f>=4005820	 | Trojan.Win32.RoseKernel.C	 | 822032d5d49dc1daed3d819c87b07cc6</f>
        <v/>
      </c>
    </row>
    <row r="7087">
      <c r="A7087">
        <f>=4006225	 | Trojan.Win32.Maltzur.A	 | 8f02ade908a5a6c964d0e8599a98a386</f>
        <v/>
      </c>
    </row>
    <row r="7088">
      <c r="A7088">
        <f>=4006299	 | Vbs.Win32.Kryptomix.A	 | 01938000fb289557a5a97422eb584260</f>
        <v/>
      </c>
    </row>
    <row r="7089">
      <c r="A7089">
        <f>=4006306	 | Vbs.Win32.Generic.A	 | 07667b52171742070efc8c587e5e6eb7</f>
        <v/>
      </c>
    </row>
    <row r="7090">
      <c r="A7090">
        <f>=4006764	 | Vbs.Win32.Starter.A	 | 8f52324624698d2dec6244e010b33a52</f>
        <v/>
      </c>
    </row>
    <row r="7091">
      <c r="A7091">
        <f>=4006865	 | Vbs.Linux.Backdoor.A	 | e96d03cbf16e950104b23cbf205fd0ad</f>
        <v/>
      </c>
    </row>
    <row r="7092">
      <c r="A7092">
        <f>=4006867	 | Vbs.Win32.Adodb.A	 | cdefe8d48e897797799142068479059e</f>
        <v/>
      </c>
    </row>
    <row r="7093">
      <c r="A7093">
        <f>=4006871	 | Vbs.Win32.Downloader.F	 | f603b761e1b4db2951fce2ca09e96923</f>
        <v/>
      </c>
    </row>
    <row r="7094">
      <c r="A7094">
        <f>=4006872	 | Vbs.Win32.Schopets.B	 | 05d0a5e137da4e63da2d3e519194849a</f>
        <v/>
      </c>
    </row>
    <row r="7095">
      <c r="A7095">
        <f>=4006893	 | Vbs.Win32.Schopets.C	 | 07420c0c474d7b0348109142403f7173</f>
        <v/>
      </c>
    </row>
    <row r="7096">
      <c r="A7096">
        <f>=4006894	 | Vbs.Win32.Downloader.H	 | 0b5a9c642d2a2f445cd3ebd385134414</f>
        <v/>
      </c>
    </row>
    <row r="7097">
      <c r="A7097">
        <f>=4006944	 | Trojan.Win32.Agent.XAANDW	 | f8f6e596e6f541e50bf25c1ffeeeb522</f>
        <v/>
      </c>
    </row>
    <row r="7098">
      <c r="A7098">
        <f>=4006949	 | Vbs.Win32.Agent.E	 | a4fffe239c91f79bed45ed3ed9187437</f>
        <v/>
      </c>
    </row>
    <row r="7099">
      <c r="A7099">
        <f>=4006978	 | Vbs.Win32.Agent.F	 | 2ec0d21e26c19971f255e45c84c5bef8</f>
        <v/>
      </c>
    </row>
    <row r="7100">
      <c r="A7100">
        <f>=4006984	 | Script.Win32.Generic.E	 | 43154b46f4489213bba27cf9bfdfde27</f>
        <v/>
      </c>
    </row>
    <row r="7101">
      <c r="A7101">
        <f>=4006985	 | Script.Win32.RoseKernel.A	 | 7188c13cc58dbec59deb424333d1382c</f>
        <v/>
      </c>
    </row>
    <row r="7102">
      <c r="A7102">
        <f>=4006999	 | Vbs.Win32.Loveletter.A	 | a2ab989232c158537a884bce7a451a1b</f>
        <v/>
      </c>
    </row>
    <row r="7103">
      <c r="A7103">
        <f>=4007028	 | Vbs.Win32.Agent.G	 | fae0553dd92494a75b73f3de348e9e19</f>
        <v/>
      </c>
    </row>
    <row r="7104">
      <c r="A7104">
        <f>=4008117	 | Vbs.Win32.Agent.H	 | 91c40544a1a1ac548a01028c8875b644</f>
        <v/>
      </c>
    </row>
    <row r="7105">
      <c r="A7105">
        <f>=4008815	 | HackerTool.Win32.Fireeyetool.F	 | 5e8343ce6c6e2894f46648c532b241e3</f>
        <v/>
      </c>
    </row>
    <row r="7106">
      <c r="A7106">
        <f>=4009741	 | Vbs.Win32.CoinMiner.A	 | 83c608f50b5b1960cb605393a9f969f7</f>
        <v/>
      </c>
    </row>
    <row r="7107">
      <c r="A7107">
        <f>=4010572	 | Trojan.Win32.Kuaigo.A	 | 88876df637f929f52baeea05872b17d5</f>
        <v/>
      </c>
    </row>
    <row r="7108">
      <c r="A7108">
        <f>=4010573	 | Trojan.Win32.Kuaigo.B	 | beea8a884adae023a2cf53413bb6a8e2</f>
        <v/>
      </c>
    </row>
    <row r="7109">
      <c r="A7109">
        <f>=4010651	 | Vbs.Win32.Downloader.J	 | 1142a0381c63078ab28c98373f01566b</f>
        <v/>
      </c>
    </row>
    <row r="7110">
      <c r="A7110">
        <f>=4010748	 | Vbs.Win32.Generic.C	 | f6178e07911e68467d93870766058d7e</f>
        <v/>
      </c>
    </row>
    <row r="7111">
      <c r="A7111">
        <f>=4010753	 | Vbs.Win32.Downloader.K	 | fd05726132c8627a835d8fcef28292ba</f>
        <v/>
      </c>
    </row>
    <row r="7112">
      <c r="A7112">
        <f>=4011595	 | Worm.Win32.Yuyun.A	 | 0a456ffff1d3fd522457c187ebcf41e4</f>
        <v/>
      </c>
    </row>
    <row r="7113">
      <c r="A7113">
        <f>=4011628	 | Vbs.Win32.CobaltStrike.A	 | 2c326d40b2b3c0ec1a97002b52aa3596</f>
        <v/>
      </c>
    </row>
    <row r="7114">
      <c r="A7114">
        <f>=4011632	 | Vbs.Win32.CobaltStrike.B	 | 834b21479efd41b00157b957e3057c4a</f>
        <v/>
      </c>
    </row>
    <row r="7115">
      <c r="A7115">
        <f>=4011647	 | Trojan.Win32.Miner.B	 | 2e6e68dc03695f26eae3bcba36dfffe4</f>
        <v/>
      </c>
    </row>
    <row r="7116">
      <c r="A7116">
        <f>=4011683	 | Script.Win32.Generic.L	 | 9ca403f0126aca99dc9a1f58b748ec09</f>
        <v/>
      </c>
    </row>
    <row r="7117">
      <c r="A7117">
        <f>=4011686	 | Vbs.Win32.SAgent.A	 | fdeb0e464d28dffb8a6af124394c3603</f>
        <v/>
      </c>
    </row>
    <row r="7118">
      <c r="A7118">
        <f>=4011775	 | Vbs.Win32.Valyria.B	 | f339b50dae55e3fe4f84a38246efa4c0</f>
        <v/>
      </c>
    </row>
    <row r="7119">
      <c r="A7119">
        <f>=4011810	 | Vbs.Win32.Dropper.B	 | e565df3cf0f136f450f726f8d68baa42</f>
        <v/>
      </c>
    </row>
    <row r="7120">
      <c r="A7120">
        <f>=4011815	 | Vbs.Win32.Serviks.A	 | 2FEBA7B0071D71FE3400A75FCD9CA367</f>
        <v/>
      </c>
    </row>
    <row r="7121">
      <c r="A7121">
        <f>=4011816	 | Vbs.Win32.Serviks.B	 | 02F638045780A73AEB90F4B04BC4DE05</f>
        <v/>
      </c>
    </row>
    <row r="7122">
      <c r="A7122">
        <f>=4011903	 | Vbs.Win32.Dropper.C	 | 6c5b0bcf9a9e7dd7909a5bd36b2e32af</f>
        <v/>
      </c>
    </row>
    <row r="7123">
      <c r="A7123">
        <f>=4012226	 | Vbs.Win32.Generic.D	 | eb6f0cfb0dff0fb504dc1f060f02adaa</f>
        <v/>
      </c>
    </row>
    <row r="7124">
      <c r="A7124">
        <f>=4012298	 | Vbs.Win32.Generic.E	 | 5e339203d706919e0b0281c3ddf9d43e</f>
        <v/>
      </c>
    </row>
    <row r="7125">
      <c r="A7125">
        <f>=4012322	 | Script.Win32.BleachGap.A	 | 8a0c49444f711472753e1412c9a7231b</f>
        <v/>
      </c>
    </row>
    <row r="7126">
      <c r="A7126">
        <f>=4012349	 | Vbs.Win32.Generic.F	 | 5e339203d706919e0b0281c3ddf9d43e</f>
        <v/>
      </c>
    </row>
    <row r="7127">
      <c r="A7127">
        <f>=50001	 | Virus.Win32.dundun.A	 | 4af3c365be0b95ccc17b81d282b63976</f>
        <v/>
      </c>
    </row>
    <row r="7128">
      <c r="A7128">
        <f>=50002	 | Virus.Win32.Boy.A	 | 92099dec423804b96cc1d6ba35f43df8</f>
        <v/>
      </c>
    </row>
    <row r="7129">
      <c r="A7129">
        <f>=50003	 | Virus.Win32.DeTroies.A	 | c1e94dd92bf683cde2d219eb920315eb</f>
        <v/>
      </c>
    </row>
    <row r="7130">
      <c r="A7130">
        <f>=50004	 | Virus.Win32.Difupat.A	 | c00f145a488d58edb2ae6e6be3060cb1</f>
        <v/>
      </c>
    </row>
    <row r="7131">
      <c r="A7131">
        <f>=50005	 | Virus.Win32.Flea.A	 | 79304f7e022644616260ba3b84268f8c</f>
        <v/>
      </c>
    </row>
    <row r="7132">
      <c r="A7132">
        <f>=50006	 | Virus.Win32.Drope.A	 | </f>
        <v/>
      </c>
    </row>
    <row r="7133">
      <c r="A7133">
        <f>=50008	 | Virus.Win32.Stagol.A	 | ce0479dfd01183d5f63c9d1549fcd5e1</f>
        <v/>
      </c>
    </row>
    <row r="7134">
      <c r="A7134">
        <f>=50009	 | Virus.Win32.BadDay.A	 | </f>
        <v/>
      </c>
    </row>
    <row r="7135">
      <c r="A7135">
        <f>=50010	 | Virus.Win32.Virtob.G	 | 0cb48bd7851a898fde45dcd28a2dd20c</f>
        <v/>
      </c>
    </row>
    <row r="7136">
      <c r="A7136">
        <f>=50012	 | Virus.Win32.LazyMin.A	 | </f>
        <v/>
      </c>
    </row>
    <row r="7137">
      <c r="A7137">
        <f>=50013	 | Virus.Win32.Dzan.D	 | </f>
        <v/>
      </c>
    </row>
    <row r="7138">
      <c r="A7138">
        <f>=50014	 | Virus.Win32.Vax.A	 | b01a7e1924f52b509afe8d1c3ea3f026</f>
        <v/>
      </c>
    </row>
    <row r="7139">
      <c r="A7139">
        <f>=50016	 | Virus.Win32.toffus.B	 | abc411cecbb8fdc1a01d9e99b41b3ef0</f>
        <v/>
      </c>
    </row>
    <row r="7140">
      <c r="A7140">
        <f>=50017	 | Virus.Win32.Viking.CP	 | de95c092597443dd1c8c010b68f94504</f>
        <v/>
      </c>
    </row>
    <row r="7141">
      <c r="A7141">
        <f>=5006124	 | Js.Win32.Generic.J	 | 6f47a944923127b907d2ff5a2d59e1f8</f>
        <v/>
      </c>
    </row>
    <row r="7142">
      <c r="A7142">
        <f>=5006129	 | Js.Win32.Generic.L	 | 6f47a944923127b907d2ff5a2d59e1f8</f>
        <v/>
      </c>
    </row>
    <row r="7143">
      <c r="A7143">
        <f>=5006401	 | Js.Win32.Sload.A	 | 50d2520e046de10757e1d9dd44de1007</f>
        <v/>
      </c>
    </row>
    <row r="7144">
      <c r="A7144">
        <f>=5006646	 | Js.Win32.Shadraem.A	 | 1d4f1c1638d2b436418e60b38143ffe6</f>
        <v/>
      </c>
    </row>
    <row r="7145">
      <c r="A7145">
        <f>=5006690	 | Js.Win32.SLoad.B	 | 9c6c4b76a431517a97ee12ab513a39bc</f>
        <v/>
      </c>
    </row>
    <row r="7146">
      <c r="A7146">
        <f>=5006702	 | Js.Win32.Downloader.AA	 | 11a9c52160e11bd371f3f551aefc045f</f>
        <v/>
      </c>
    </row>
    <row r="7147">
      <c r="A7147">
        <f>=5006709	 | Js.Win32.Downloader.AC	 | 14af6f102ebe0ea8e65a40ebfd35d1c6</f>
        <v/>
      </c>
    </row>
    <row r="7148">
      <c r="A7148">
        <f>=5006710	 | Js.Win32.Downloader.AD	 | fe105c63233283a99156d055fdb1815d</f>
        <v/>
      </c>
    </row>
    <row r="7149">
      <c r="A7149">
        <f>=5006712	 | Js.Win32.Agent.U	 | b4b01bbef06866ee8316bee5f1ce1e7f</f>
        <v/>
      </c>
    </row>
    <row r="7150">
      <c r="A7150">
        <f>=5006723	 | Js.Win32.Iframe.K	 | 8e0ef0c747e379727551cba50f1681ce</f>
        <v/>
      </c>
    </row>
    <row r="7151">
      <c r="A7151">
        <f>=5007315	 | Js.Win32.Generic.Q	 | bd1ec2725a7b48c24689625bcb7ba668</f>
        <v/>
      </c>
    </row>
    <row r="7152">
      <c r="A7152">
        <f>=5008170	 | Script.Win32.Miner.B	 | a243232dd80b6170a4969430be5ad901</f>
        <v/>
      </c>
    </row>
    <row r="7153">
      <c r="A7153">
        <f>=5008448	 | Script.Win32.Redirector.A	 | c5a6f16e3905b099af43b99c321c9cae</f>
        <v/>
      </c>
    </row>
    <row r="7154">
      <c r="A7154">
        <f>=5008717	 | Js.Win32.Downloader.AF	 | 08a73437e8cd3f37dde1c694b2963af1</f>
        <v/>
      </c>
    </row>
    <row r="7155">
      <c r="A7155">
        <f>=5008803	 | HackerTool.Win32.Fireeyetool.B	 | 106ef839714757ba77228be9987669e0</f>
        <v/>
      </c>
    </row>
    <row r="7156">
      <c r="A7156">
        <f>=5008853	 | Js.Win32.Alien.A	 | 1062b0544beb5457fb6fe2b42a5d279d</f>
        <v/>
      </c>
    </row>
    <row r="7157">
      <c r="A7157">
        <f>=5008857	 | Trojan.Win32.Bluteal.B	 | 60bc6b69427e866aa6c5cd55446f19c5</f>
        <v/>
      </c>
    </row>
    <row r="7158">
      <c r="A7158">
        <f>=5009712	 | Js.Win32.Downloader.AG	 | 1fa9a0b71dd0cdd98d6ee0688f3b36f4</f>
        <v/>
      </c>
    </row>
    <row r="7159">
      <c r="A7159">
        <f>=5009717	 | Js.Win32.Denali.A	 | 5684590e521b35c60a0f9310dc57fecb</f>
        <v/>
      </c>
    </row>
    <row r="7160">
      <c r="A7160">
        <f>=5009718	 | Js.Win32.Obfuscator.A	 | 01887f113e3f614d2ebcc2f0e2961329</f>
        <v/>
      </c>
    </row>
    <row r="7161">
      <c r="A7161">
        <f>=5009719	 | Js.Win32.Obfuscator.B	 | e08ec81dcb237139457808da547e0a6c</f>
        <v/>
      </c>
    </row>
    <row r="7162">
      <c r="A7162">
        <f>=5009720	 | Js.Win32.Generic.R	 | a1e7ffe09d0fde91cb6baaa740ee15bf</f>
        <v/>
      </c>
    </row>
    <row r="7163">
      <c r="A7163">
        <f>=5010691	 | Trojan.Win32.IframeRef.AC	 | 7ce7cccededc6365a0cfc031acb79d8d</f>
        <v/>
      </c>
    </row>
    <row r="7164">
      <c r="A7164">
        <f>=5010695	 | Trojan.Win32.IframeRef.AG	 | 15ccd059aae85af36a24b1e8d28e3883</f>
        <v/>
      </c>
    </row>
    <row r="7165">
      <c r="A7165">
        <f>=5010718	 | Trojan.Win32.IframeRef.BE	 | 4482a46ace6243590f516194a9a21d2c</f>
        <v/>
      </c>
    </row>
    <row r="7166">
      <c r="A7166">
        <f>=5010736	 | Trojan.Win32.IframeRef.BW	 | cda10d4059bb9d7da31f935e42d441ae</f>
        <v/>
      </c>
    </row>
    <row r="7167">
      <c r="A7167">
        <f>=5010741	 | Trojan.Win32.IframeRef.CC	 | e7a932b595d7270b65bad86dc1012b54</f>
        <v/>
      </c>
    </row>
    <row r="7168">
      <c r="A7168">
        <f>=5010750	 | Js.Win32.Agent.AB	 | 06c305153dcad229385dd2a218292c34</f>
        <v/>
      </c>
    </row>
    <row r="7169">
      <c r="A7169">
        <f>=5010756	 | Js.Win32.Obfuscator.C	 | 05001348323469af10f885fa2b0c42b6</f>
        <v/>
      </c>
    </row>
    <row r="7170">
      <c r="A7170">
        <f>=5011677	 | Trojan.Win32.Ratty.A	 | 5306a9a80c301d51acb7fc45ec1fa5ef</f>
        <v/>
      </c>
    </row>
    <row r="7171">
      <c r="A7171">
        <f>=5011774	 | Js.Win32.Keylogger.A	 | 5322e77eecf619e6604506ab40da32ff</f>
        <v/>
      </c>
    </row>
    <row r="7172">
      <c r="A7172">
        <f>=6003463	 | Powershell.Win32.Downloader.A	 | </f>
        <v/>
      </c>
    </row>
    <row r="7173">
      <c r="A7173">
        <f>=6003589	 | Powershell.Win32.Downloader.C	 | 17c79346e469603d135e2acc3b8e13c8</f>
        <v/>
      </c>
    </row>
    <row r="7174">
      <c r="A7174">
        <f>=6004076	 | Powershell.Win32.Agent.A	 | a278eb1acc0524529b7dd725ccab05e7</f>
        <v/>
      </c>
    </row>
    <row r="7175">
      <c r="A7175">
        <f>=6005391	 | Powershell.Win32.AssemblyRun.A	 | 234d17d8978717d33bf53015760878ea</f>
        <v/>
      </c>
    </row>
    <row r="7176">
      <c r="A7176">
        <f>=6005458	 | Powershell.Win32.RunBase64File.A	 | 6a9c39d88715c5262b34a68cea4fa331</f>
        <v/>
      </c>
    </row>
    <row r="7177">
      <c r="A7177">
        <f>=6005505	 | Js.Win32.RunPsDownloader.A	 | 06072312768ba47c162d2aead14bb170</f>
        <v/>
      </c>
    </row>
    <row r="7178">
      <c r="A7178">
        <f>=6005587	 | Trojan.Win32.PowerShell.A	 | afd9911c85a034902cf8cca3854d4a23</f>
        <v/>
      </c>
    </row>
    <row r="7179">
      <c r="A7179">
        <f>=6005589	 | Trojan.Win32.PowerShell.B	 | faf53676fa29216c14d3698ff44893c8</f>
        <v/>
      </c>
    </row>
    <row r="7180">
      <c r="A7180">
        <f>=6005897	 | Trojan.Win32.Agent.XAANDD	 | 4e4a2b3a8909ac1b4b79ac63c43d1dd8</f>
        <v/>
      </c>
    </row>
    <row r="7181">
      <c r="A7181">
        <f>=6006019	 | Trojan.Win32.PowerShell.C	 | 7AC4E48CD81B8595AADE2FF6423494E2</f>
        <v/>
      </c>
    </row>
    <row r="7182">
      <c r="A7182">
        <f>=6006203	 | Ransom.Win32.Avaddon.F	 | 4c7b7ce130e2daee190fc88de954292d</f>
        <v/>
      </c>
    </row>
    <row r="7183">
      <c r="A7183">
        <f>=6006300	 | Trojan.Win32.SLoad.A	 | 7fc886cd07d07b0d8a826c64fbccbf02</f>
        <v/>
      </c>
    </row>
    <row r="7184">
      <c r="A7184">
        <f>=6006356	 | Trojan.Win32.Generic.GK	 | 232c3473a3946b706693e7da615d4f1a</f>
        <v/>
      </c>
    </row>
    <row r="7185">
      <c r="A7185">
        <f>=6006402	 | Powershell.Win32.Downloader.D	 | 8c65dfeec0694880b9d187a628055183</f>
        <v/>
      </c>
    </row>
    <row r="7186">
      <c r="A7186">
        <f>=6006717	 | Powershell.Win32.Netwalker.B	 | 8e030188e0d03654d5e7a7738a9d6a9a</f>
        <v/>
      </c>
    </row>
    <row r="7187">
      <c r="A7187">
        <f>=6007313	 | Powershell.Win32.Generic.C	 | c171bcd34151cbcd48edbce13796e0ed</f>
        <v/>
      </c>
    </row>
    <row r="7188">
      <c r="A7188">
        <f>=6007314	 | Powershell.Win32.Generic.D	 | 2e088d7b5b8b09c559de29649e370b2e</f>
        <v/>
      </c>
    </row>
    <row r="7189">
      <c r="A7189">
        <f>=6007349	 | Powershell.Win32.Generic.E	 | 2be90e929169cfeaf6ff5c07aa4ca499</f>
        <v/>
      </c>
    </row>
    <row r="7190">
      <c r="A7190">
        <f>=6007359	 | Powershell.Win32.Miner.A	 | 9fb6eda3fe10a621b9578ec9ee84e4ba</f>
        <v/>
      </c>
    </row>
    <row r="7191">
      <c r="A7191">
        <f>=6008475	 | Powershell.Win32.Compressed.A	 | 4ec29049ac81521c37dad2da6754d6a3</f>
        <v/>
      </c>
    </row>
    <row r="7192">
      <c r="A7192">
        <f>=6008479	 | Powershell.Win32.Mimikatz.A	 | e05827e44d487d1782a32386123193ef</f>
        <v/>
      </c>
    </row>
    <row r="7193">
      <c r="A7193">
        <f>=6008841	 | Hackertool.Win32.CVE-2016-7255.A	 | 9888ede4cd12681cdcc929a7038a033a</f>
        <v/>
      </c>
    </row>
    <row r="7194">
      <c r="A7194">
        <f>=6008844	 | Backdoor.Win32.Meterpreter.D	 | 074df149e5de5a3cd51294ec25cfc7aa</f>
        <v/>
      </c>
    </row>
    <row r="7195">
      <c r="A7195">
        <f>=6009799	 | Script.Win32.XmrigMiner.A	 | 642d73c85e6e79720a5ae7b82fc427c5</f>
        <v/>
      </c>
    </row>
    <row r="7196">
      <c r="A7196">
        <f>=6011636	 | Powershell.Win32.CobaltStrike.C	 | df883733f1f1844916de49826483cd9e</f>
        <v/>
      </c>
    </row>
    <row r="7197">
      <c r="A7197">
        <f>=6011919	 | Powershell.Win32.CoinMiner.A	 | 70000D52DC3AD153464DC41891C10439</f>
        <v/>
      </c>
    </row>
    <row r="7198">
      <c r="A7198">
        <f>=6012198	 | Script.Win32.IronPython.A	 | d672139849f9855bfb703fcaec020a2f</f>
        <v/>
      </c>
    </row>
    <row r="7199">
      <c r="A7199">
        <f>=6012272	 | Powershell.Win32.GuardMiner.A	 | 67c5f45a931b5eb6fbbdd1c4c5f7fd02</f>
        <v/>
      </c>
    </row>
    <row r="7200">
      <c r="A7200">
        <f>=6012391	 | Powershell.Win32.Mimikatz.B	 | a66953b8a3eeee7d5057ddf80b8be962</f>
        <v/>
      </c>
    </row>
    <row r="7201">
      <c r="A7201">
        <f>=7003609	 | Js.Win32.IframeRef.A	 | 0b07ef97d5e0873a61288b98aa0b606d</f>
        <v/>
      </c>
    </row>
    <row r="7202">
      <c r="A7202">
        <f>=7004053	 | Html.Win32.Dropper.D	 | 126b6573c3c069a8cd88ce435a0f12f8</f>
        <v/>
      </c>
    </row>
    <row r="7203">
      <c r="A7203">
        <f>=7004069	 | Html.Win32.IframeBof.A	 | 7bc9dca70bd4ee665297e60d52bfea15</f>
        <v/>
      </c>
    </row>
    <row r="7204">
      <c r="A7204">
        <f>=7004070	 | Html.Win32.IframeBof.B	 | 33042b74be4ca7d1c9ff83b1556f6cc7</f>
        <v/>
      </c>
    </row>
    <row r="7205">
      <c r="A7205">
        <f>=7004141	 | Html.Win32.Psyme.B	 | 6cbc28c04b454355b3ed03d4536aa030</f>
        <v/>
      </c>
    </row>
    <row r="7206">
      <c r="A7206">
        <f>=7004142	 | Js.Win32.Downloader.T	 | 0ec098f8927a7044350be341b6f1b619</f>
        <v/>
      </c>
    </row>
    <row r="7207">
      <c r="A7207">
        <f>=7005430	 | Html.Win32.IframeBof.C	 | 0C5738C6DF9B849315899966A62C6F69</f>
        <v/>
      </c>
    </row>
    <row r="7208">
      <c r="A7208">
        <f>=7005431	 | Vbs.Win32.Downloader.E	 | 0E59CCC3AE3FB443E51C505D6625956D</f>
        <v/>
      </c>
    </row>
    <row r="7209">
      <c r="A7209">
        <f>=7005463	 | Html.Win32.Jatdre.B	 | a63ed04af5243fcd2ef791a2fe949590</f>
        <v/>
      </c>
    </row>
    <row r="7210">
      <c r="A7210">
        <f>=7005824	 | Js.Win32.Iframe.H	 | ffddee7e39fa4f33700b8b372ca83bae</f>
        <v/>
      </c>
    </row>
    <row r="7211">
      <c r="A7211">
        <f>=7005933	 | Html.Win32.IframeBof.G	 | d26842df797715bf3513fdf0fa7dfa0e</f>
        <v/>
      </c>
    </row>
    <row r="7212">
      <c r="A7212">
        <f>=7005934	 | Html.Win32.IframeBof.H	 | d26842df797715bf3513fdf0fa7dfa0e</f>
        <v/>
      </c>
    </row>
    <row r="7213">
      <c r="A7213">
        <f>=7006065	 | Html.Win32.Generic.E	 | 9406A7B2F9FED208F48D8DB8264E0D9A</f>
        <v/>
      </c>
    </row>
    <row r="7214">
      <c r="A7214">
        <f>=7006241	 | Html.Win32.Phishing.G	 | 037e27beb73a9b7cd77e5a8b84434bdd</f>
        <v/>
      </c>
    </row>
    <row r="7215">
      <c r="A7215">
        <f>=7006341	 | Html.Win32.Phishing.I	 | 8d0ee7b8e345f2ac578af99cbf77152e</f>
        <v/>
      </c>
    </row>
    <row r="7216">
      <c r="A7216">
        <f>=7006357	 | Trojan.Win32.Generic.GL	 | 7c3a581383b2c7a16aeb878cbc504509</f>
        <v/>
      </c>
    </row>
    <row r="7217">
      <c r="A7217">
        <f>=7006517	 | Script.Win32.CoinMiner.A	 | 05b50e9ad8117d7bb0230de7a2890f7e</f>
        <v/>
      </c>
    </row>
    <row r="7218">
      <c r="A7218">
        <f>=7006523	 | Js.Win32.Coinhive.G	 | 001cc4a2c18704831229d8ce38083ed9</f>
        <v/>
      </c>
    </row>
    <row r="7219">
      <c r="A7219">
        <f>=7006525	 | Js.Win32.Coinhive.I	 | bef4c60e0833f06507b168a1293ad75b</f>
        <v/>
      </c>
    </row>
    <row r="7220">
      <c r="A7220">
        <f>=7006561	 | VirTool.Win32.Obfuscator.DR	 | 1c2e41bef46e264590e8cdceb2145bc0</f>
        <v/>
      </c>
    </row>
    <row r="7221">
      <c r="A7221">
        <f>=7006588	 | Trojan.Win32.Phishing.C	 | 03c8098d08f23e6323a471cf073fce33</f>
        <v/>
      </c>
    </row>
    <row r="7222">
      <c r="A7222">
        <f>=7006590	 | Trojan.Win32.IframeRef.A	 | e5aa60481c1a2dd3bc42768571c7c264</f>
        <v/>
      </c>
    </row>
    <row r="7223">
      <c r="A7223">
        <f>=7006633	 | Trojan.Win32.Iframe.B	 | 067f88c8697c34947a602d49bbdf23a2</f>
        <v/>
      </c>
    </row>
    <row r="7224">
      <c r="A7224">
        <f>=7006714	 | Html.Win32.Iframe.K	 | 76eb884e67f037240fd31fda87e1caaf</f>
        <v/>
      </c>
    </row>
    <row r="7225">
      <c r="A7225">
        <f>=7006715	 | Html.Win32.Generic.I	 | 064199352cd01542ee77e7fbc5a0c333</f>
        <v/>
      </c>
    </row>
    <row r="7226">
      <c r="A7226">
        <f>=7006733	 | Html.Win32.Iframeref.G	 | f5ca0f7c149edc8392ed26aaa13c90aa</f>
        <v/>
      </c>
    </row>
    <row r="7227">
      <c r="A7227">
        <f>=7006794	 | Js.Win32.Iframe.L	 | fcfa56575e59ca8c5c32186dd0e5c74c</f>
        <v/>
      </c>
    </row>
    <row r="7228">
      <c r="A7228">
        <f>=7006818	 | Html.Win32.Tadtruss.A	 | 0781888cc55b5c5466ebf0870f7b9d6f</f>
        <v/>
      </c>
    </row>
    <row r="7229">
      <c r="A7229">
        <f>=7006831	 | Html.Win32.BlackHole.A	 | 101823416bb4e1ca94e037e70303a325</f>
        <v/>
      </c>
    </row>
    <row r="7230">
      <c r="A7230">
        <f>=7006833	 | Html.Win32.Redirector.P	 | 0369e848b05065b46859e15f2e2783b0</f>
        <v/>
      </c>
    </row>
    <row r="7231">
      <c r="A7231">
        <f>=7006903	 | Html.Win32.Iframe.N	 | 06b88c0ac9892580c2a3c5fa91400d1b</f>
        <v/>
      </c>
    </row>
    <row r="7232">
      <c r="A7232">
        <f>=7006967	 | Html.Win32.IframeRef.J	 | 1491b16a64773d79c4f54d5af798abe7</f>
        <v/>
      </c>
    </row>
    <row r="7233">
      <c r="A7233">
        <f>=7006993	 | Html.Win32.Generic.J	 | 45ff4b0fda9203b0b830b36927b16b9e</f>
        <v/>
      </c>
    </row>
    <row r="7234">
      <c r="A7234">
        <f>=7006994	 | Html.Win32.Loveletter.A	 | 22f21bd1e3d6e02f89b15982fc9b7310</f>
        <v/>
      </c>
    </row>
    <row r="7235">
      <c r="A7235">
        <f>=7007021	 | Html.Win32.Cryxos.A	 | 65cd47514894aac7dd61db3add7f16e9</f>
        <v/>
      </c>
    </row>
    <row r="7236">
      <c r="A7236">
        <f>=7007139	 | Script.Win32.Generic.F	 | 0e3dec04cd1bb55da835d460e18b19fa</f>
        <v/>
      </c>
    </row>
    <row r="7237">
      <c r="A7237">
        <f>=7007147	 | Html.Win32.Redirector.S	 | 18b16845182eb19b405a0e62c4cdf12e</f>
        <v/>
      </c>
    </row>
    <row r="7238">
      <c r="A7238">
        <f>=7007350	 | Html.Win32.Backdoor.A	 | aab3820d2cedf2ddcd0b06ebdb07a9b9</f>
        <v/>
      </c>
    </row>
    <row r="7239">
      <c r="A7239">
        <f>=7008405	 | Script.Win32.Dropper.B	 | 66bb8e74def01a190673f6ea71c102ca</f>
        <v/>
      </c>
    </row>
    <row r="7240">
      <c r="A7240">
        <f>=7008566	 | Html.Win32.Generic.K	 | 4dc475b2055b5a880cbd67526b0f6e3c</f>
        <v/>
      </c>
    </row>
    <row r="7241">
      <c r="A7241">
        <f>=7008802	 | HackerTool.Win32.Fireeyetool.A	 | 7124347bfd1259ef51933fb262102f3e</f>
        <v/>
      </c>
    </row>
    <row r="7242">
      <c r="A7242">
        <f>=7009945	 | Backdoor.Win32.WebShell.S	 | 4fbfbc344c6ecbd3f42f8879994d8f0f</f>
        <v/>
      </c>
    </row>
    <row r="7243">
      <c r="A7243">
        <f>=7010371	 | Html.Win32.Obfuscated.A	 | 0005ee8f7ca007188a2cfd989d1b1575</f>
        <v/>
      </c>
    </row>
    <row r="7244">
      <c r="A7244">
        <f>=7010634	 | Html.Win32.Generic.L	 | 0E073810D53999CACC193765E01876DC</f>
        <v/>
      </c>
    </row>
    <row r="7245">
      <c r="A7245">
        <f>=7010654	 | Script.Win32.Downloader.C	 | 0c3d3247b07d3098b4cf9efd544f5692</f>
        <v/>
      </c>
    </row>
    <row r="7246">
      <c r="A7246">
        <f>=7010659	 | Html.Win32.C99shell.A	 | 088fd107e47e2907cefcdda166643ed5</f>
        <v/>
      </c>
    </row>
    <row r="7247">
      <c r="A7247">
        <f>=7010666	 | Trojan.Win32.IframeRef.C	 | 00de62c3ca8cedbdb6e1d8baed69ee4d</f>
        <v/>
      </c>
    </row>
    <row r="7248">
      <c r="A7248">
        <f>=7010667	 | Trojan.Win32.IframeRef.D	 | 0a6afbdff1a91d4ab2afcb9d462cdb19</f>
        <v/>
      </c>
    </row>
    <row r="7249">
      <c r="A7249">
        <f>=7010668	 | Trojan.Win32.IframeRef.E	 | 0adf6adfe223f93b0b5cfc0c1206e416</f>
        <v/>
      </c>
    </row>
    <row r="7250">
      <c r="A7250">
        <f>=7010669	 | Trojan.Win32.IframeRef.F	 | 0af90315becf0b796cb7bcd6bb9c15ec</f>
        <v/>
      </c>
    </row>
    <row r="7251">
      <c r="A7251">
        <f>=7010670	 | Trojan.Win32.IframeRef.G	 | 0b8e96d4a08e9c2f392b51d5186973f7</f>
        <v/>
      </c>
    </row>
    <row r="7252">
      <c r="A7252">
        <f>=7010671	 | Trojan.Win32.IframeRef.H	 | 0bd03f56f6f261d4f20eac4d437c3d91</f>
        <v/>
      </c>
    </row>
    <row r="7253">
      <c r="A7253">
        <f>=7010672	 | Trojan.Win32.IframeRef.I	 | 0d22964e1fa327f9e1d194089afbca0d</f>
        <v/>
      </c>
    </row>
    <row r="7254">
      <c r="A7254">
        <f>=7010673	 | Trojan.Win32.IframeRef.J	 | 0d26207ef4a886d7663d541f55c03fab</f>
        <v/>
      </c>
    </row>
    <row r="7255">
      <c r="A7255">
        <f>=7010674	 | Trojan.Win32.IframeRef.K	 | 0e99ef3474aa5d6aba16504f8330fa38</f>
        <v/>
      </c>
    </row>
    <row r="7256">
      <c r="A7256">
        <f>=7010676	 | Trojan.Win32.IframeRef.M	 | 01baa80bfc2d648f3bbcb42d461d59fb</f>
        <v/>
      </c>
    </row>
    <row r="7257">
      <c r="A7257">
        <f>=7010677	 | Trojan.Win32.IframeRef.N	 | 01ce4c691aeb4a926001b2e290b48a6a</f>
        <v/>
      </c>
    </row>
    <row r="7258">
      <c r="A7258">
        <f>=7010678	 | Trojan.Win32.IframeRef.O	 | 1a6a4786d145b65de53ef034a461b4a2</f>
        <v/>
      </c>
    </row>
    <row r="7259">
      <c r="A7259">
        <f>=7010679	 | Trojan.Win32.IframeRef.P	 | 1a42133783f89ee1d190cc95c95d7e26</f>
        <v/>
      </c>
    </row>
    <row r="7260">
      <c r="A7260">
        <f>=7010680	 | Trojan.Win32.IframeRef.Q	 | 1e6230a23aadf2ae322f5fecae6e9e46</f>
        <v/>
      </c>
    </row>
    <row r="7261">
      <c r="A7261">
        <f>=7010681	 | Trojan.Win32.IframeRef.R	 | 1ea34714a606b85836f6f8cfa0a4fbf5</f>
        <v/>
      </c>
    </row>
    <row r="7262">
      <c r="A7262">
        <f>=7010682	 | Trojan.Win32.IframeRef.S	 | 002d4b1e6eb0a50d8e019a31103aa53c</f>
        <v/>
      </c>
    </row>
    <row r="7263">
      <c r="A7263">
        <f>=7010684	 | Trojan.Win32.IframeRef.U	 | 03a2835fa961dfa67448c5b5ba910bd8</f>
        <v/>
      </c>
    </row>
    <row r="7264">
      <c r="A7264">
        <f>=7010685	 | Trojan.Win32.IframeRef.V	 | 3b8f106a96cef2f1f1b2eb3c5dd8d6a4</f>
        <v/>
      </c>
    </row>
    <row r="7265">
      <c r="A7265">
        <f>=7010686	 | Trojan.Win32.IframeRef.W	 | 04c9735175b07c4a9c8c685147adc76b</f>
        <v/>
      </c>
    </row>
    <row r="7266">
      <c r="A7266">
        <f>=7010688	 | Trojan.Win32.IframeRef.Y	 | 5b9efbfc6ad0ad7f7f55defa98a4944a</f>
        <v/>
      </c>
    </row>
    <row r="7267">
      <c r="A7267">
        <f>=7010690	 | Trojan.Win32.IframeRef.AB	 | 6b0e535643661866e673b213b4206c20</f>
        <v/>
      </c>
    </row>
    <row r="7268">
      <c r="A7268">
        <f>=7010692	 | Trojan.Win32.IframeRef.AD	 | 7d4528c8ceb464618f35ea0b2a621ed1</f>
        <v/>
      </c>
    </row>
    <row r="7269">
      <c r="A7269">
        <f>=7010694	 | Trojan.Win32.IframeRef.AF	 | 8ab52016a92d2655ce5b0bb14ece4ae0</f>
        <v/>
      </c>
    </row>
    <row r="7270">
      <c r="A7270">
        <f>=7010699	 | Trojan.Win32.IframeRef.AK	 | 0024a9b4089aba390725580bbb667895</f>
        <v/>
      </c>
    </row>
    <row r="7271">
      <c r="A7271">
        <f>=7010700	 | Trojan.Win32.IframeRef.AL	 | 24ad0949aa0b20377f0afffef9bde998</f>
        <v/>
      </c>
    </row>
    <row r="7272">
      <c r="A7272">
        <f>=7010703	 | Trojan.Win32.IframeRef.AO	 | 030fbe5ad551496b6c99c821d930b777</f>
        <v/>
      </c>
    </row>
    <row r="7273">
      <c r="A7273">
        <f>=7010706	 | Trojan.Win32.IframeRef.AR	 | 045df8a0ee25715164f8201ba7265982</f>
        <v/>
      </c>
    </row>
    <row r="7274">
      <c r="A7274">
        <f>=7010707	 | Trojan.Win32.IframeRef.AS	 | 089ca59befda0bbf109db4cea8c273ce</f>
        <v/>
      </c>
    </row>
    <row r="7275">
      <c r="A7275">
        <f>=7010710	 | Trojan.Win32.IframeRef.AV	 | 095d9ba52579fffbea5e1684f2454a58</f>
        <v/>
      </c>
    </row>
    <row r="7276">
      <c r="A7276">
        <f>=7010713	 | Trojan.Win32.IframeRef.AY	 | 0585e8575fe3b5d239e4a3086fd74f4f</f>
        <v/>
      </c>
    </row>
    <row r="7277">
      <c r="A7277">
        <f>=7010714	 | Trojan.Win32.IframeRef.BA	 | 688bd26ab60a94c1d03c10322a739df3</f>
        <v/>
      </c>
    </row>
    <row r="7278">
      <c r="A7278">
        <f>=7010715	 | Trojan.Win32.IframeRef.BB	 | 0710a2a390d0263d474f3ac720b941e7</f>
        <v/>
      </c>
    </row>
    <row r="7279">
      <c r="A7279">
        <f>=7010717	 | Trojan.Win32.IframeRef.BD	 | 1848cbebe9ac4fbae8ea76ed0e3cbda1</f>
        <v/>
      </c>
    </row>
    <row r="7280">
      <c r="A7280">
        <f>=7010719	 | Trojan.Win32.IframeRef.BF	 | 004563d306f09b1c131fbdb787ef3e72</f>
        <v/>
      </c>
    </row>
    <row r="7281">
      <c r="A7281">
        <f>=7010722	 | Trojan.Win32.IframeRef.BI	 | 038698ab8d016dc1040ad3d71fb1d38b</f>
        <v/>
      </c>
    </row>
    <row r="7282">
      <c r="A7282">
        <f>=7010723	 | Trojan.Win32.IframeRef.BJ	 | 044441ec564b3d99de421cb3955ac392</f>
        <v/>
      </c>
    </row>
    <row r="7283">
      <c r="A7283">
        <f>=7010725	 | Trojan.Win32.IframeRef.BL	 | 072110d318ae09b34da116917548d98b</f>
        <v/>
      </c>
    </row>
    <row r="7284">
      <c r="A7284">
        <f>=7010727	 | Trojan.Win32.IframeRef.BN	 | 0772272ec3daa0ca2d824e2210ba4157</f>
        <v/>
      </c>
    </row>
    <row r="7285">
      <c r="A7285">
        <f>=7010731	 | Trojan.Win32.IframeRef.BR	 | a4a4f8173b9da3b6268121ab578d16c3</f>
        <v/>
      </c>
    </row>
    <row r="7286">
      <c r="A7286">
        <f>=7010735	 | Trojan.Win32.IframeRef.BV	 | c91c29db4f2bb35ba8d82bb34bbfab34</f>
        <v/>
      </c>
    </row>
    <row r="7287">
      <c r="A7287">
        <f>=7010738	 | Trojan.Win32.IframeRef.BY	 | d8b61bfe791e4a3f0f442fa7301002dc</f>
        <v/>
      </c>
    </row>
    <row r="7288">
      <c r="A7288">
        <f>=7010751	 | Script.Win32.Redirector.E	 | 2e51f4eabf5173402e0db6f62d9a0b04</f>
        <v/>
      </c>
    </row>
    <row r="7289">
      <c r="A7289">
        <f>=7011604	 | Trojan.Win32.XPassLogger.B	 | feacf7676bba0e5a8ed22155ce94a798</f>
        <v/>
      </c>
    </row>
    <row r="7290">
      <c r="A7290">
        <f>=7011617	 | Html.Win32.CobaltStrike.A	 | 47462e40096fb9d256ef078b249199ca</f>
        <v/>
      </c>
    </row>
    <row r="7291">
      <c r="A7291">
        <f>=7011620	 | Html.Win32.CobaltStrike.B	 | ece669f6444512b08e4e58e4ca04c48b</f>
        <v/>
      </c>
    </row>
    <row r="7292">
      <c r="A7292">
        <f>=7011621	 | Html.Win32.CobaltStrike.FP	 | b10031dd151396c27a6eea7c17a25277</f>
        <v/>
      </c>
    </row>
    <row r="7293">
      <c r="A7293">
        <f>=7011633	 | Html.Win32.CobaltStrike.FQ	 | 0f6b8f475a174a1de35d2a4caca3f0c6</f>
        <v/>
      </c>
    </row>
    <row r="7294">
      <c r="A7294">
        <f>=7011634	 | Html.Win32.CobaltStrike.FR	 | c9a49db9a07b515b525dfe806d628f86</f>
        <v/>
      </c>
    </row>
    <row r="7295">
      <c r="A7295">
        <f>=7011756	 | html.Win32.Downloader.A	 | 959E5C727C9FC9A6125E594560F01BBD</f>
        <v/>
      </c>
    </row>
    <row r="7296">
      <c r="A7296">
        <f>=7011805	 | html.Win32.Downloader.B	 | 959E5C727C9FC9A6125E594560F01BBD</f>
        <v/>
      </c>
    </row>
    <row r="7297">
      <c r="A7297">
        <f>=7011882	 | Html.Win32.Generic.N	 | 9aaccbaab8f7772f71df4e9337863b59</f>
        <v/>
      </c>
    </row>
    <row r="7298">
      <c r="A7298">
        <f>=7012192	 | Ransom.Win32.Ronggolawe.A	 | 301a4c17a40e137bd53717545cad268b</f>
        <v/>
      </c>
    </row>
    <row r="7299">
      <c r="A7299">
        <f>=7012193	 | Ransom.Win32.Ronggolawe.B	 | 43b05a3cb14a67fa41531783d80caa3b</f>
        <v/>
      </c>
    </row>
    <row r="7300">
      <c r="A7300">
        <f>=7012195	 | Ransom.Win32.Ronggolawe.D	 | 379a3d30dfa0013d687e3081f5932737</f>
        <v/>
      </c>
    </row>
    <row r="7301">
      <c r="A7301">
        <f>=7012196	 | Ransom.Win32.Ronggolawe.E	 | 7597351ae803e2bd97745f9ed6ee5485</f>
        <v/>
      </c>
    </row>
    <row r="7302">
      <c r="A7302">
        <f>=8004088	 | Bash.Linux.Shell.B	 | 00e81d6943cdc37c5e06099e7a190fee</f>
        <v/>
      </c>
    </row>
    <row r="7303">
      <c r="A7303">
        <f>=8004094	 | Bash.Linux.Shell.C	 | 00df336d024e571b3f23f6a1c1d6a21d</f>
        <v/>
      </c>
    </row>
    <row r="7304">
      <c r="A7304">
        <f>=8004095	 | Bash.Linux.Shell.D	 | 97e267e592315a0ab0b8143b6778c672</f>
        <v/>
      </c>
    </row>
    <row r="7305">
      <c r="A7305">
        <f>=8004097	 | Bash.Linux.Shell.F	 | 36d365e67de0f3fa9cf162de3ae1af27</f>
        <v/>
      </c>
    </row>
    <row r="7306">
      <c r="A7306">
        <f>=8004099	 | Bash.Linux.Shell.H	 | 07949b4594d002975c6e6fd06e7dffad</f>
        <v/>
      </c>
    </row>
    <row r="7307">
      <c r="A7307">
        <f>=8005470	 | Bash.Linux.Shell.J	 | ebbe57e3996d71ee974fb56d18640b44</f>
        <v/>
      </c>
    </row>
    <row r="7308">
      <c r="A7308">
        <f>=8005580	 | Trojan.Linux.Shell.A	 | c0ab986107d80f4ddbfdb46d3426244a</f>
        <v/>
      </c>
    </row>
    <row r="7309">
      <c r="A7309">
        <f>=8005584	 | Trojan.Linux.Shell.C	 | 64cb1856e9698cf0457a90c07a188169</f>
        <v/>
      </c>
    </row>
    <row r="7310">
      <c r="A7310">
        <f>=8006131	 | Trojan.Linux.Shell.D	 | 336aba094e69c940a50e129f25e11ffe</f>
        <v/>
      </c>
    </row>
    <row r="7311">
      <c r="A7311">
        <f>=8006307	 | Bash.Linux.Miner.A	 | 4a705ea23810ab67266c38d917fd6577</f>
        <v/>
      </c>
    </row>
    <row r="7312">
      <c r="A7312">
        <f>=8006314	 | Bash.Linux.Downloader.B	 | fe5cc7fe2649eee79caf23def7f5e9ea</f>
        <v/>
      </c>
    </row>
    <row r="7313">
      <c r="A7313">
        <f>=8006577	 | Bash.Win32.Mimipenguin.E	 | 4DF79F4C6A7A16D12CF7BB678635E8BF</f>
        <v/>
      </c>
    </row>
    <row r="7314">
      <c r="A7314">
        <f>=8006598	 | Bash.Linux.Miner.B	 | 86DD09F93683EE550C9F48FAD1AF7DC8</f>
        <v/>
      </c>
    </row>
    <row r="7315">
      <c r="A7315">
        <f>=8006730	 | Bash.Linux.Miner.C	 | 914749c88881ca375d0f75c31a3af6dd</f>
        <v/>
      </c>
    </row>
    <row r="7316">
      <c r="A7316">
        <f>=8006735	 | Bash.Linux.Miner.D	 | 9F856C16D63FD0C7BE916135AA157137</f>
        <v/>
      </c>
    </row>
    <row r="7317">
      <c r="A7317">
        <f>=8007831	 | Trojan.Linux.Shell.E	 | 72fa2b4f8ea4d98b3ed0bc3928a390a1</f>
        <v/>
      </c>
    </row>
    <row r="7318">
      <c r="A7318">
        <f>=8007894	 | Script.Win32.Miner.A	 | 912E2DA6E1C2DF016D5E282C81C70E3B</f>
        <v/>
      </c>
    </row>
    <row r="7319">
      <c r="A7319">
        <f>=8009797	 | Bash.Linux.Xmrig.A	 | b6239b2c2691bd59866da4161db827af</f>
        <v/>
      </c>
    </row>
    <row r="7320">
      <c r="A7320">
        <f>=8011786	 | Bash.Linux.Miner.G	 | e86c661693c2ebe8f9671c86020f6849</f>
        <v/>
      </c>
    </row>
    <row r="7321">
      <c r="A7321">
        <f>=8011868	 | Bash.Linux.Generic.A	 | a5d4eb6be18d5678003e749cb014d744</f>
        <v/>
      </c>
    </row>
    <row r="7322">
      <c r="A7322">
        <f>=8011871	 | Bash.Linux.Agent.A	 | 9625b439a9fc50f2d44ebe86c5f80ba5</f>
        <v/>
      </c>
    </row>
    <row r="7323">
      <c r="A7323">
        <f>=8011918	 | Bash.Linux.CoinMiner.A	 | 22A0EED3E0FB617F3B1D904D6E8C226E</f>
        <v/>
      </c>
    </row>
    <row r="7324">
      <c r="A7324">
        <f>=8012256	 | Bash.Linux.Downloader.D	 | ad895b537e6a3c85dd404c213e712e46</f>
        <v/>
      </c>
    </row>
    <row r="7325">
      <c r="A7325">
        <f>=8012273	 | Bash.Linux.Miner.H	 | cbdc3a5c3a3c4bca9d4f71b2f5a285ee</f>
        <v/>
      </c>
    </row>
    <row r="7326">
      <c r="A7326">
        <f>=8012291	 | Bash.Linux.Miner.I	 | 2a5d030e06772a92f14aac18b9929331</f>
        <v/>
      </c>
    </row>
    <row r="7327">
      <c r="A7327">
        <f>=8012292	 | Bash.Linux.Miner.J	 | 9ce6495ef3f2489b65aa4e8a1392bc0a</f>
        <v/>
      </c>
    </row>
    <row r="7328">
      <c r="A7328">
        <f>=9006720	 | Bat.Win32.Netwalker.B	 | 96e1849976d90425e74f075ed6bf8c30</f>
        <v/>
      </c>
    </row>
    <row r="7329">
      <c r="A7329">
        <f>=9007357	 | Bat.Win32.Hosts.A	 | 133fd7240cbd4ea5dc8f03d34601ef8f</f>
        <v/>
      </c>
    </row>
    <row r="7330">
      <c r="A7330">
        <f>=9008564	 | Bat.Win32.KillFiles.A	 | 8442693706e00bfdcae053ecf8c5a324</f>
        <v/>
      </c>
    </row>
    <row r="7331">
      <c r="A7331">
        <f>=9009936	 | Script.Win32.WebShell.TJ	 | 02f91d1849f658a3b49368f215a09214</f>
        <v/>
      </c>
    </row>
    <row r="7332">
      <c r="A7332">
        <f>=9010570	 | Bat.Win32.Kuaigo.A	 | 3c3ab9e27d997f1e7c36240cd9296448</f>
        <v/>
      </c>
    </row>
    <row r="7333">
      <c r="A7333">
        <f>=9010571	 | Bat.Win32.Kuaigo.B	 | f50ba6466675e43ed6e637f00a7a1b56</f>
        <v/>
      </c>
    </row>
    <row r="7334">
      <c r="A7334">
        <f>=9010610	 | Trojan.Win32.Agent.XAAOLR	 | 0c3415797f9b8e17a059b55059ffb176</f>
        <v/>
      </c>
    </row>
    <row r="7335">
      <c r="A7335">
        <f>=9010734	 | Trojan.Win32.IframeRef.BU	 | b2d83a320978c753d467477c8b2fd5fd</f>
        <v/>
      </c>
    </row>
    <row r="7336">
      <c r="A7336">
        <f>=9011616	 | Bat.Win32.Agent.B	 | f8bb029ee0e328b32bd808d3e87a860a</f>
        <v/>
      </c>
    </row>
    <row r="7337">
      <c r="A7337">
        <f>=9011703	 | Bat.Win32.Downloader.C	 | bbe79c271a650d22b673063732cf05a5</f>
        <v/>
      </c>
    </row>
    <row r="7338">
      <c r="A7338">
        <f>=9011869	 | Bat.Linux.CoinMiner.A	 | 972fa000a7c5df3654b93542f7ab77a9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2021-04-12T17:01:10Z</dcterms:created>
  <dcterms:modified xmlns:dcterms="http://purl.org/dc/terms/" xmlns:xsi="http://www.w3.org/2001/XMLSchema-instance" xsi:type="dcterms:W3CDTF">2021-04-12T17:01:10Z</dcterms:modified>
</cp:coreProperties>
</file>