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hiapas Field Research/Summer Trip/"/>
    </mc:Choice>
  </mc:AlternateContent>
  <xr:revisionPtr revIDLastSave="0" documentId="8_{E1135C92-9429-664E-A114-7A922C7FDD56}" xr6:coauthVersionLast="47" xr6:coauthVersionMax="47" xr10:uidLastSave="{00000000-0000-0000-0000-000000000000}"/>
  <bookViews>
    <workbookView xWindow="0" yWindow="0" windowWidth="25600" windowHeight="16000" activeTab="3" xr2:uid="{1101A634-5985-AF4D-84B3-94526A2FA7AB}"/>
  </bookViews>
  <sheets>
    <sheet name="Current Balances" sheetId="4" r:id="rId1"/>
    <sheet name="Log" sheetId="5" r:id="rId2"/>
    <sheet name="CIFAP Balance Sheet" sheetId="7" r:id="rId3"/>
    <sheet name="Categories" sheetId="2" r:id="rId4"/>
    <sheet name="Log (old)" sheetId="1" r:id="rId5"/>
    <sheet name="Budget Summary (old)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4" i="4"/>
  <c r="M3" i="5"/>
  <c r="M4" i="5"/>
  <c r="M5" i="5"/>
  <c r="M6" i="5"/>
  <c r="M7" i="5"/>
  <c r="M8" i="5"/>
  <c r="M9" i="5"/>
  <c r="M10" i="5"/>
  <c r="M11" i="5"/>
  <c r="M12" i="5"/>
  <c r="M19" i="5"/>
  <c r="M20" i="5"/>
  <c r="M21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L3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I48" i="5"/>
  <c r="J48" i="5"/>
  <c r="K48" i="5"/>
  <c r="L48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68" i="5"/>
  <c r="J68" i="5"/>
  <c r="K68" i="5"/>
  <c r="L68" i="5"/>
  <c r="I69" i="5"/>
  <c r="J69" i="5"/>
  <c r="K69" i="5"/>
  <c r="L69" i="5"/>
  <c r="I70" i="5"/>
  <c r="J70" i="5"/>
  <c r="K70" i="5"/>
  <c r="L70" i="5"/>
  <c r="I71" i="5"/>
  <c r="J71" i="5"/>
  <c r="K71" i="5"/>
  <c r="L71" i="5"/>
  <c r="I72" i="5"/>
  <c r="J72" i="5"/>
  <c r="K72" i="5"/>
  <c r="L72" i="5"/>
  <c r="I73" i="5"/>
  <c r="J73" i="5"/>
  <c r="K73" i="5"/>
  <c r="L73" i="5"/>
  <c r="I74" i="5"/>
  <c r="J74" i="5"/>
  <c r="K74" i="5"/>
  <c r="L74" i="5"/>
  <c r="I75" i="5"/>
  <c r="J75" i="5"/>
  <c r="K75" i="5"/>
  <c r="L75" i="5"/>
  <c r="I76" i="5"/>
  <c r="J76" i="5"/>
  <c r="K76" i="5"/>
  <c r="L76" i="5"/>
  <c r="I77" i="5"/>
  <c r="J77" i="5"/>
  <c r="K77" i="5"/>
  <c r="L77" i="5"/>
  <c r="I78" i="5"/>
  <c r="J78" i="5"/>
  <c r="K78" i="5"/>
  <c r="L78" i="5"/>
  <c r="A12" i="7"/>
  <c r="A4" i="7"/>
  <c r="A13" i="7"/>
  <c r="A11" i="7"/>
  <c r="E6" i="7"/>
  <c r="G6" i="7" s="1"/>
  <c r="A6" i="7"/>
  <c r="A5" i="7"/>
  <c r="I5" i="5"/>
  <c r="J5" i="5"/>
  <c r="I6" i="5"/>
  <c r="J6" i="5"/>
  <c r="I3" i="5"/>
  <c r="J3" i="5"/>
  <c r="I4" i="5"/>
  <c r="J4" i="5"/>
  <c r="I7" i="5"/>
  <c r="J7" i="5"/>
  <c r="I8" i="5"/>
  <c r="J8" i="5"/>
  <c r="I9" i="5"/>
  <c r="J9" i="5"/>
  <c r="I10" i="5"/>
  <c r="I11" i="5"/>
  <c r="J11" i="5"/>
  <c r="I12" i="5"/>
  <c r="J12" i="5"/>
  <c r="I26" i="5"/>
  <c r="J26" i="5"/>
  <c r="I22" i="5"/>
  <c r="I14" i="5"/>
  <c r="J14" i="5"/>
  <c r="I15" i="5"/>
  <c r="J15" i="5"/>
  <c r="I16" i="5"/>
  <c r="J16" i="5"/>
  <c r="I17" i="5"/>
  <c r="J17" i="5"/>
  <c r="I27" i="5"/>
  <c r="J27" i="5"/>
  <c r="I18" i="5"/>
  <c r="J18" i="5"/>
  <c r="I24" i="5"/>
  <c r="J24" i="5"/>
  <c r="I25" i="5"/>
  <c r="J25" i="5"/>
  <c r="J13" i="5"/>
  <c r="J23" i="5"/>
  <c r="I28" i="5"/>
  <c r="J28" i="5"/>
  <c r="K28" i="5"/>
  <c r="L28" i="5"/>
  <c r="I29" i="5"/>
  <c r="J29" i="5"/>
  <c r="K29" i="5"/>
  <c r="L29" i="5"/>
  <c r="I30" i="5"/>
  <c r="J30" i="5"/>
  <c r="K30" i="5"/>
  <c r="L30" i="5"/>
  <c r="I31" i="5"/>
  <c r="J31" i="5"/>
  <c r="K31" i="5"/>
  <c r="L31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M26" i="5"/>
  <c r="M22" i="5"/>
  <c r="J20" i="5"/>
  <c r="J21" i="5"/>
  <c r="J19" i="5"/>
  <c r="I20" i="5"/>
  <c r="I21" i="5"/>
  <c r="I19" i="5"/>
  <c r="E5" i="7"/>
  <c r="G5" i="7" s="1"/>
  <c r="E3" i="7"/>
  <c r="E18" i="7"/>
  <c r="A14" i="7"/>
  <c r="C14" i="7" s="1"/>
  <c r="A15" i="7"/>
  <c r="A16" i="7"/>
  <c r="A10" i="7"/>
  <c r="A3" i="7"/>
  <c r="A4" i="3"/>
  <c r="F13" i="3"/>
  <c r="K17" i="5" l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C15" i="7"/>
  <c r="C6" i="7"/>
  <c r="C13" i="7"/>
  <c r="C4" i="7"/>
  <c r="D3" i="4" s="1"/>
  <c r="B6" i="4"/>
  <c r="B3" i="4"/>
  <c r="D4" i="7"/>
  <c r="D4" i="4" s="1"/>
  <c r="C10" i="7"/>
  <c r="C11" i="7"/>
  <c r="H3" i="7"/>
  <c r="C12" i="7"/>
  <c r="D12" i="7"/>
  <c r="D13" i="7"/>
  <c r="B13" i="7" s="1"/>
  <c r="D14" i="7"/>
  <c r="B14" i="7" s="1"/>
  <c r="D11" i="7"/>
  <c r="H6" i="7"/>
  <c r="F6" i="7" s="1"/>
  <c r="D6" i="7"/>
  <c r="H5" i="7"/>
  <c r="F5" i="7" s="1"/>
  <c r="G3" i="7"/>
  <c r="C16" i="7"/>
  <c r="D5" i="7"/>
  <c r="I13" i="3"/>
  <c r="D10" i="7"/>
  <c r="D15" i="7"/>
  <c r="D16" i="7"/>
  <c r="J2" i="5"/>
  <c r="C4" i="3" s="1"/>
  <c r="I2" i="5"/>
  <c r="M2" i="5" l="1"/>
  <c r="B15" i="7"/>
  <c r="B6" i="7"/>
  <c r="B10" i="7"/>
  <c r="B4" i="7"/>
  <c r="F3" i="7"/>
  <c r="F7" i="7" s="1"/>
  <c r="F5" i="4" s="1" a="1"/>
  <c r="F5" i="4" s="1"/>
  <c r="B11" i="7"/>
  <c r="B12" i="7"/>
  <c r="D5" i="4" s="1"/>
  <c r="D2" i="4" s="1"/>
  <c r="D4" i="3"/>
  <c r="D3" i="7"/>
  <c r="F4" i="4" s="1"/>
  <c r="C3" i="7"/>
  <c r="F3" i="4" s="1"/>
  <c r="H13" i="3"/>
  <c r="G13" i="3" s="1"/>
  <c r="H18" i="7"/>
  <c r="B16" i="7"/>
  <c r="C5" i="7"/>
  <c r="B5" i="7" s="1"/>
  <c r="G18" i="7"/>
  <c r="G5" i="1"/>
  <c r="G4" i="1"/>
  <c r="F4" i="3"/>
  <c r="F5" i="3"/>
  <c r="F6" i="3"/>
  <c r="F7" i="3"/>
  <c r="J3" i="1"/>
  <c r="J4" i="1" s="1"/>
  <c r="J5" i="1" s="1"/>
  <c r="G2" i="1"/>
  <c r="G3" i="1"/>
  <c r="F2" i="4" l="1"/>
  <c r="B17" i="7"/>
  <c r="B3" i="7"/>
  <c r="B7" i="7" s="1"/>
  <c r="F18" i="7"/>
  <c r="E20" i="7" s="1"/>
  <c r="H7" i="3"/>
  <c r="I7" i="3"/>
  <c r="H5" i="3"/>
  <c r="I5" i="3"/>
  <c r="I6" i="3"/>
  <c r="H6" i="3"/>
  <c r="H4" i="3"/>
  <c r="I4" i="3"/>
  <c r="B2" i="4"/>
  <c r="A20" i="7" l="1"/>
  <c r="G6" i="3"/>
  <c r="G4" i="3"/>
  <c r="G5" i="3"/>
  <c r="G7" i="3"/>
  <c r="G8" i="3" l="1"/>
  <c r="F15" i="3" s="1"/>
  <c r="B4" i="3"/>
  <c r="A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<sst xmlns="http://schemas.openxmlformats.org/spreadsheetml/2006/main" count="230" uniqueCount="95">
  <si>
    <t>Date</t>
  </si>
  <si>
    <t>Transaction</t>
  </si>
  <si>
    <t>Category</t>
  </si>
  <si>
    <t>USD</t>
  </si>
  <si>
    <t>MXN</t>
  </si>
  <si>
    <t>Balance</t>
  </si>
  <si>
    <t>Debit</t>
  </si>
  <si>
    <t>Credit</t>
  </si>
  <si>
    <t>ATM Withdrawal</t>
  </si>
  <si>
    <t>Deposit</t>
  </si>
  <si>
    <t>Starting Balance</t>
  </si>
  <si>
    <t>Currency</t>
  </si>
  <si>
    <t>Budget Categories</t>
  </si>
  <si>
    <t>Tags</t>
  </si>
  <si>
    <t>Travel</t>
  </si>
  <si>
    <t>Sub-category tags</t>
  </si>
  <si>
    <t>Multiple People</t>
  </si>
  <si>
    <t>Food</t>
  </si>
  <si>
    <t>Food_Restaurant</t>
  </si>
  <si>
    <t>Travel_Airplane</t>
  </si>
  <si>
    <t>Travel_Taxi</t>
  </si>
  <si>
    <t>Enumerators</t>
  </si>
  <si>
    <t>Supplies</t>
  </si>
  <si>
    <t>Exchange Rate</t>
  </si>
  <si>
    <t>Total Cash Withdrawn</t>
  </si>
  <si>
    <t>Total Cash Spent</t>
  </si>
  <si>
    <t>Total</t>
  </si>
  <si>
    <t>Cash</t>
  </si>
  <si>
    <t>100 bags</t>
  </si>
  <si>
    <t>Airport Transportation July 11</t>
  </si>
  <si>
    <t>Amount</t>
  </si>
  <si>
    <t>Reimbursed?</t>
  </si>
  <si>
    <t>Yes/NO</t>
  </si>
  <si>
    <t>YES</t>
  </si>
  <si>
    <t>NO</t>
  </si>
  <si>
    <t>Funding</t>
  </si>
  <si>
    <t>CIFAP</t>
  </si>
  <si>
    <t>Currency Flag</t>
  </si>
  <si>
    <t>Assets</t>
  </si>
  <si>
    <t>CIFAP Grant Equity</t>
  </si>
  <si>
    <t>Assets (Debit Accounts)</t>
  </si>
  <si>
    <t>Expenses (Credit Accounts)</t>
  </si>
  <si>
    <t>Expenses Total</t>
  </si>
  <si>
    <t>Credit Accounts Total (Expenses + CIFAP)</t>
  </si>
  <si>
    <t>Debit Accounts Total (Cash)</t>
  </si>
  <si>
    <t>cash</t>
  </si>
  <si>
    <t>Grant</t>
  </si>
  <si>
    <t>Stephen</t>
  </si>
  <si>
    <t>Liabilities</t>
  </si>
  <si>
    <t>Credit Accounts Total (Liabilities + Equities)</t>
  </si>
  <si>
    <t>Liabilities Total</t>
  </si>
  <si>
    <t xml:space="preserve">Expenses </t>
  </si>
  <si>
    <t>Assets Total</t>
  </si>
  <si>
    <t>Current Balance (MXN)</t>
  </si>
  <si>
    <t>Accounts Receivable</t>
  </si>
  <si>
    <t>Accounts Payable</t>
  </si>
  <si>
    <t>Debit Accounts Total (Cash+Expenses)</t>
  </si>
  <si>
    <t>Funding Balance (USD)</t>
  </si>
  <si>
    <t>Cash Balance (MXN)</t>
  </si>
  <si>
    <t>March Trip Total Expenses</t>
  </si>
  <si>
    <t>March Trip</t>
  </si>
  <si>
    <t>Reimbursement for March Expenses</t>
  </si>
  <si>
    <t>Tablets</t>
  </si>
  <si>
    <t>Tablets Reimbursed</t>
  </si>
  <si>
    <t xml:space="preserve">Stephen Summer Travel </t>
  </si>
  <si>
    <t>Reimbursement for Stephen Summer Travel</t>
  </si>
  <si>
    <t>Chris Flight</t>
  </si>
  <si>
    <t xml:space="preserve">Chris Flight </t>
  </si>
  <si>
    <t>Chris Flight bag fee</t>
  </si>
  <si>
    <t>San Crist Hotel for Grant &amp; Stephen</t>
  </si>
  <si>
    <t>Lodging</t>
  </si>
  <si>
    <t>Per Diem</t>
  </si>
  <si>
    <t>June Per Diem</t>
  </si>
  <si>
    <t>Cash withdrawal</t>
  </si>
  <si>
    <t>Tuxtla taxi for Grant &amp; Stephen</t>
  </si>
  <si>
    <t>Per Diem Exp.</t>
  </si>
  <si>
    <t>Airport Lunch for Grant &amp; Stephen</t>
  </si>
  <si>
    <t>El Secreto Dinner for Grant &amp; Stephen</t>
  </si>
  <si>
    <t>Cash Balance</t>
  </si>
  <si>
    <t>Per Diem Balance</t>
  </si>
  <si>
    <t>Current Balance (USD)</t>
  </si>
  <si>
    <t>Total Per Diem Requested</t>
  </si>
  <si>
    <t>Total Per Diem Reimbursed</t>
  </si>
  <si>
    <t>Total Per Diem Expensed</t>
  </si>
  <si>
    <t>Taxi from San Cris to Bachajón for Grant &amp; Stephen</t>
  </si>
  <si>
    <t>June Taxi trips between Bachajón &amp; Chilón for Stephen &amp; Grant</t>
  </si>
  <si>
    <t>Transportation expenses for Enumerator Training</t>
  </si>
  <si>
    <t>Payment to Xmati for truck rental</t>
  </si>
  <si>
    <t>Payment to Alex for expenses</t>
  </si>
  <si>
    <t>CIFAP Balance</t>
  </si>
  <si>
    <t>CIFAP Funding</t>
  </si>
  <si>
    <t>Total Funding Expensed</t>
  </si>
  <si>
    <t>Total Pending Reimbursement</t>
  </si>
  <si>
    <t>Per Diem Cash Spent</t>
  </si>
  <si>
    <t>Project Cash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</si>
</sst>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  <numFmt numFmtId="166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14" fontId="0" fillId="0" borderId="0" xfId="0" applyNumberFormat="1" applyFont="1"/>
    <xf numFmtId="16" fontId="0" fillId="0" borderId="0" xfId="0" applyNumberFormat="1"/>
    <xf numFmtId="0" fontId="0" fillId="0" borderId="1" xfId="0" applyBorder="1"/>
    <xf numFmtId="44" fontId="0" fillId="0" borderId="0" xfId="1" applyFont="1"/>
    <xf numFmtId="166" fontId="0" fillId="0" borderId="0" xfId="0" applyNumberFormat="1"/>
    <xf numFmtId="44" fontId="0" fillId="0" borderId="1" xfId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Alignment="1">
      <alignment horizontal="center"/>
    </xf>
    <xf numFmtId="165" fontId="0" fillId="0" borderId="2" xfId="1" applyNumberFormat="1" applyFont="1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5" fillId="0" borderId="0" xfId="0" applyFont="1"/>
    <xf numFmtId="0" fontId="2" fillId="3" borderId="0" xfId="0" applyFont="1" applyFill="1"/>
    <xf numFmtId="44" fontId="2" fillId="3" borderId="0" xfId="1" applyFont="1" applyFill="1"/>
    <xf numFmtId="0" fontId="2" fillId="3" borderId="0" xfId="0" applyFont="1" applyFill="1" applyBorder="1"/>
    <xf numFmtId="0" fontId="2" fillId="3" borderId="0" xfId="0" applyFont="1" applyFill="1" applyAlignment="1">
      <alignment wrapText="1"/>
    </xf>
    <xf numFmtId="164" fontId="2" fillId="3" borderId="0" xfId="0" applyNumberFormat="1" applyFont="1" applyFill="1"/>
    <xf numFmtId="164" fontId="2" fillId="3" borderId="0" xfId="0" applyNumberFormat="1" applyFont="1" applyFill="1" applyBorder="1"/>
    <xf numFmtId="165" fontId="2" fillId="2" borderId="2" xfId="1" applyNumberFormat="1" applyFont="1" applyFill="1" applyBorder="1"/>
    <xf numFmtId="44" fontId="2" fillId="2" borderId="1" xfId="1" applyFont="1" applyFill="1" applyBorder="1"/>
    <xf numFmtId="44" fontId="2" fillId="2" borderId="0" xfId="1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Border="1" applyAlignment="1">
      <alignment wrapText="1"/>
    </xf>
    <xf numFmtId="44" fontId="5" fillId="0" borderId="0" xfId="1" applyFont="1"/>
    <xf numFmtId="165" fontId="5" fillId="0" borderId="7" xfId="1" applyNumberFormat="1" applyFont="1" applyBorder="1"/>
    <xf numFmtId="44" fontId="5" fillId="0" borderId="10" xfId="1" applyFont="1" applyBorder="1"/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5" fontId="4" fillId="0" borderId="13" xfId="1" applyNumberFormat="1" applyFont="1" applyBorder="1"/>
    <xf numFmtId="0" fontId="4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165" fontId="5" fillId="0" borderId="16" xfId="1" applyNumberFormat="1" applyFont="1" applyBorder="1"/>
    <xf numFmtId="0" fontId="5" fillId="0" borderId="24" xfId="0" applyFont="1" applyBorder="1"/>
    <xf numFmtId="0" fontId="5" fillId="0" borderId="1" xfId="0" applyFont="1" applyBorder="1"/>
    <xf numFmtId="0" fontId="5" fillId="0" borderId="18" xfId="0" applyFont="1" applyBorder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CA76-8223-4C4C-8A19-A289415886EB}">
  <dimension ref="A1:H6"/>
  <sheetViews>
    <sheetView workbookViewId="0">
      <selection activeCell="B11" sqref="B11"/>
    </sheetView>
  </sheetViews>
  <sheetFormatPr baseColWidth="10" defaultRowHeight="16" x14ac:dyDescent="0.2"/>
  <cols>
    <col min="1" max="1" width="44.33203125" bestFit="1" customWidth="1"/>
    <col min="2" max="2" width="27.1640625" style="5" customWidth="1"/>
    <col min="3" max="3" width="44.33203125" bestFit="1" customWidth="1"/>
    <col min="4" max="4" width="18.83203125" bestFit="1" customWidth="1"/>
    <col min="5" max="5" width="48.5" bestFit="1" customWidth="1"/>
    <col min="6" max="6" width="18.6640625" bestFit="1" customWidth="1"/>
  </cols>
  <sheetData>
    <row r="1" spans="1:8" ht="38" thickBot="1" x14ac:dyDescent="0.5">
      <c r="A1" s="55" t="s">
        <v>78</v>
      </c>
      <c r="B1" s="56"/>
      <c r="C1" s="55" t="s">
        <v>79</v>
      </c>
      <c r="D1" s="56"/>
      <c r="E1" s="55" t="s">
        <v>89</v>
      </c>
      <c r="F1" s="56"/>
    </row>
    <row r="2" spans="1:8" ht="60" customHeight="1" thickBot="1" x14ac:dyDescent="0.45">
      <c r="A2" s="58" t="s">
        <v>53</v>
      </c>
      <c r="B2" s="57">
        <f>SUM(B3-B6)</f>
        <v>26480</v>
      </c>
      <c r="C2" s="58" t="s">
        <v>80</v>
      </c>
      <c r="D2" s="57">
        <f>SUM(D3-D4-D5)</f>
        <v>767.05</v>
      </c>
      <c r="E2" s="58" t="s">
        <v>80</v>
      </c>
      <c r="F2" s="57">
        <f>SUM(F3-F4-F5)</f>
        <v>12141.52</v>
      </c>
    </row>
    <row r="3" spans="1:8" s="40" customFormat="1" ht="49" customHeight="1" x14ac:dyDescent="0.35">
      <c r="A3" s="63" t="s">
        <v>24</v>
      </c>
      <c r="B3" s="53">
        <f>SUMIF(Log!$G:$G,Categories!$C$2,Log!$I:$I)</f>
        <v>48000</v>
      </c>
      <c r="C3" s="59" t="s">
        <v>81</v>
      </c>
      <c r="D3" s="53">
        <f>SUM('CIFAP Balance Sheet'!C4)</f>
        <v>1423.75</v>
      </c>
      <c r="E3" s="59" t="s">
        <v>90</v>
      </c>
      <c r="F3" s="53">
        <f>SUM('CIFAP Balance Sheet'!C3)</f>
        <v>25000</v>
      </c>
    </row>
    <row r="4" spans="1:8" s="40" customFormat="1" ht="49" customHeight="1" x14ac:dyDescent="0.35">
      <c r="A4" s="64" t="s">
        <v>93</v>
      </c>
      <c r="B4" s="52">
        <f>SUMIFS(Log!I:I,Log!G:G,Categories!C16,Log!H:H,Categories!C2)</f>
        <v>1800</v>
      </c>
      <c r="C4" s="59" t="s">
        <v>82</v>
      </c>
      <c r="D4" s="53">
        <f>'CIFAP Balance Sheet'!D4</f>
        <v>402.86</v>
      </c>
      <c r="E4" s="59" t="s">
        <v>91</v>
      </c>
      <c r="F4" s="53">
        <f>'CIFAP Balance Sheet'!D3</f>
        <v>7097.44</v>
      </c>
    </row>
    <row r="5" spans="1:8" ht="30" thickBot="1" x14ac:dyDescent="0.4">
      <c r="A5" s="65" t="s">
        <v>94</v>
      </c>
      <c r="B5" s="52">
        <f>SUM(B6-B4)</f>
        <v>19720</v>
      </c>
      <c r="C5" s="60" t="s">
        <v>83</v>
      </c>
      <c r="D5" s="54">
        <f>'CIFAP Balance Sheet'!B12</f>
        <v>253.83999999999997</v>
      </c>
      <c r="E5" s="60" t="s">
        <v>92</v>
      </c>
      <c r="F5" s="54" cm="1">
        <f t="array" ref="F5:H5">'CIFAP Balance Sheet'!F7:H7</f>
        <v>5761.04</v>
      </c>
      <c r="G5">
        <v>0</v>
      </c>
      <c r="H5">
        <v>0</v>
      </c>
    </row>
    <row r="6" spans="1:8" ht="30" thickBot="1" x14ac:dyDescent="0.4">
      <c r="A6" s="61" t="s">
        <v>25</v>
      </c>
      <c r="B6" s="62">
        <f>SUMIF(Log!$H:$H,Categories!$C$2,Log!$I:$I)</f>
        <v>21520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0EB0-53F0-304C-AA61-913B0C297F6F}">
  <dimension ref="A1:M78"/>
  <sheetViews>
    <sheetView workbookViewId="0">
      <selection sqref="A1:XFD3"/>
    </sheetView>
  </sheetViews>
  <sheetFormatPr baseColWidth="10" defaultRowHeight="16" x14ac:dyDescent="0.2"/>
  <cols>
    <col min="2" max="2" width="11.5" style="9" bestFit="1" customWidth="1"/>
    <col min="4" max="4" width="14" bestFit="1" customWidth="1"/>
    <col min="5" max="5" width="18" customWidth="1"/>
    <col min="7" max="7" width="18" bestFit="1" customWidth="1"/>
    <col min="9" max="9" width="12.5" style="15" bestFit="1" customWidth="1"/>
    <col min="10" max="10" width="11.5" style="9" bestFit="1" customWidth="1"/>
    <col min="11" max="11" width="20.83203125" style="9" bestFit="1" customWidth="1"/>
    <col min="12" max="12" width="25" bestFit="1" customWidth="1"/>
    <col min="13" max="13" width="25.33203125" style="2" customWidth="1"/>
  </cols>
  <sheetData>
    <row r="1" spans="1:13" s="4" customFormat="1" ht="20" x14ac:dyDescent="0.25">
      <c r="A1" s="41" t="s">
        <v>0</v>
      </c>
      <c r="B1" s="42" t="s">
        <v>30</v>
      </c>
      <c r="C1" s="41" t="s">
        <v>11</v>
      </c>
      <c r="D1" s="43" t="s">
        <v>31</v>
      </c>
      <c r="E1" s="44" t="s">
        <v>1</v>
      </c>
      <c r="F1" s="43" t="s">
        <v>13</v>
      </c>
      <c r="G1" s="45" t="s">
        <v>6</v>
      </c>
      <c r="H1" s="46" t="s">
        <v>7</v>
      </c>
      <c r="I1" s="47" t="s">
        <v>4</v>
      </c>
      <c r="J1" s="48" t="s">
        <v>3</v>
      </c>
      <c r="K1" s="49" t="s">
        <v>58</v>
      </c>
      <c r="L1" s="50" t="s">
        <v>57</v>
      </c>
      <c r="M1" s="51" t="s">
        <v>37</v>
      </c>
    </row>
    <row r="2" spans="1:13" ht="17" x14ac:dyDescent="0.2">
      <c r="A2" s="1">
        <v>44562</v>
      </c>
      <c r="B2" s="9">
        <v>25000</v>
      </c>
      <c r="C2" t="s">
        <v>3</v>
      </c>
      <c r="D2" s="9"/>
      <c r="E2" s="2" t="s">
        <v>10</v>
      </c>
      <c r="F2" s="12"/>
      <c r="G2" s="3" t="s">
        <v>36</v>
      </c>
      <c r="H2" s="13" t="s">
        <v>35</v>
      </c>
      <c r="I2" s="15">
        <f>IF(C2="MXN", $B2,$B2*Categories!$B$3)</f>
        <v>500000</v>
      </c>
      <c r="J2" s="11">
        <f>IF(C2="USD", $B2,$B2/Categories!$B$3)</f>
        <v>25000</v>
      </c>
      <c r="K2" s="3">
        <v>0</v>
      </c>
      <c r="L2" s="3">
        <v>25000</v>
      </c>
      <c r="M2" s="2" t="str">
        <f>IF(B2="","",IF(AND(C2=Categories!B2,I2/J2=Categories!B3),"Check exchange rate at time of transaction, potential discrepency.","" ))</f>
        <v/>
      </c>
    </row>
    <row r="3" spans="1:13" ht="17" x14ac:dyDescent="0.2">
      <c r="B3" s="9">
        <v>710.79</v>
      </c>
      <c r="C3" t="s">
        <v>3</v>
      </c>
      <c r="D3" t="s">
        <v>33</v>
      </c>
      <c r="E3" s="2" t="s">
        <v>62</v>
      </c>
      <c r="G3" t="s">
        <v>22</v>
      </c>
      <c r="H3" t="s">
        <v>47</v>
      </c>
      <c r="I3" s="15">
        <f>IF(B3="","",IF(C3="MXN",$B3,$B3*Categories!$B$3))</f>
        <v>14215.8</v>
      </c>
      <c r="J3" s="11">
        <f>IF(B3="","",IF(C3="USD", $B3,$B3/Categories!$B$3))</f>
        <v>710.79</v>
      </c>
      <c r="K3" s="3">
        <f>IF(B3="","",SUM($K2+(IF(OR($G3=Categories!$C$2,$H3=Categories!$C$2),IF($G3=Categories!$C$2,$I3,-$I3),0))))</f>
        <v>0</v>
      </c>
      <c r="L3" s="3">
        <f>IF(B3="","",SUM($L2+(IF(OR($G3=Categories!$C$3,$H3=Categories!$C$3),IF($G3=Categories!$C$3,$J3,-$J3),0))))</f>
        <v>25000</v>
      </c>
      <c r="M3" s="2" t="str">
        <f>IF(B3="","",IF(OR($G3=Categories!$C$3,$H3=Categories!$C$3),IF($C3=Categories!$A$2,"Check exchange rate at time of transaction, potential discrepency.","" ),"" ))</f>
        <v/>
      </c>
    </row>
    <row r="4" spans="1:13" ht="17" x14ac:dyDescent="0.2">
      <c r="B4" s="9">
        <v>710.79</v>
      </c>
      <c r="C4" t="s">
        <v>3</v>
      </c>
      <c r="D4" t="s">
        <v>33</v>
      </c>
      <c r="E4" s="2" t="s">
        <v>63</v>
      </c>
      <c r="G4" t="s">
        <v>47</v>
      </c>
      <c r="H4" t="s">
        <v>36</v>
      </c>
      <c r="I4" s="15">
        <f>IF(B4="","",IF(C4="MXN",$B4,$B4*Categories!$B$3))</f>
        <v>14215.8</v>
      </c>
      <c r="J4" s="11">
        <f>IF(B4="","",IF(C4="USD", $B4,$B4/Categories!$B$3))</f>
        <v>710.79</v>
      </c>
      <c r="K4" s="3">
        <f>IF(B4="","",SUM($K3+(IF(OR($G4=Categories!$C$2,$H4=Categories!$C$2),IF($G4=Categories!$C$2,$I4,-$I4),0))))</f>
        <v>0</v>
      </c>
      <c r="L4" s="3">
        <f>IF(B4="","",SUM($L3+(IF(OR($G4=Categories!$C$3,$H4=Categories!$C$3),IF($G4=Categories!$C$3,$J4,-$J4),0))))</f>
        <v>24289.21</v>
      </c>
      <c r="M4" s="2" t="str">
        <f>IF(B4="","",IF(OR($G4=Categories!$C$3,$H4=Categories!$C$3),IF($C4=Categories!$A$2,"Check exchange rate at time of transaction, potential discrepency.","" ),"" ))</f>
        <v/>
      </c>
    </row>
    <row r="5" spans="1:13" ht="34" x14ac:dyDescent="0.2">
      <c r="A5" s="1">
        <v>44640</v>
      </c>
      <c r="B5" s="9">
        <v>2068.7199999999998</v>
      </c>
      <c r="C5" t="s">
        <v>3</v>
      </c>
      <c r="D5" t="s">
        <v>33</v>
      </c>
      <c r="E5" s="2" t="s">
        <v>59</v>
      </c>
      <c r="G5" t="s">
        <v>60</v>
      </c>
      <c r="H5" t="s">
        <v>47</v>
      </c>
      <c r="I5" s="15">
        <f>IF(B5="","",IF(C5="MXN",$B5,$B5*Categories!$B$3))</f>
        <v>41374.399999999994</v>
      </c>
      <c r="J5" s="11">
        <f>IF(B5="","",IF(C5="USD", $B5,$B5/Categories!$B$3))</f>
        <v>2068.7199999999998</v>
      </c>
      <c r="K5" s="3">
        <f>IF(B5="","",SUM($K4+(IF(OR($G5=Categories!$C$2,$H5=Categories!$C$2),IF($G5=Categories!$C$2,$I5,-$I5),0))))</f>
        <v>0</v>
      </c>
      <c r="L5" s="3">
        <f>IF(B5="","",SUM($L4+(IF(OR($G5=Categories!$C$3,$H5=Categories!$C$3),IF($G5=Categories!$C$3,$J5,-$J5),0))))</f>
        <v>24289.21</v>
      </c>
      <c r="M5" s="2" t="str">
        <f>IF(B5="","",IF(OR($G5=Categories!$C$3,$H5=Categories!$C$3),IF($C5=Categories!$A$2,"Check exchange rate at time of transaction, potential discrepency.","" ),"" ))</f>
        <v/>
      </c>
    </row>
    <row r="6" spans="1:13" ht="34" x14ac:dyDescent="0.2">
      <c r="A6" s="1">
        <v>44640</v>
      </c>
      <c r="B6" s="9">
        <v>2068.7199999999998</v>
      </c>
      <c r="C6" t="s">
        <v>3</v>
      </c>
      <c r="D6" t="s">
        <v>33</v>
      </c>
      <c r="E6" s="2" t="s">
        <v>61</v>
      </c>
      <c r="G6" t="s">
        <v>47</v>
      </c>
      <c r="H6" t="s">
        <v>36</v>
      </c>
      <c r="I6" s="15">
        <f>IF(B6="","",IF(C6="MXN",$B6,$B6*Categories!$B$3))</f>
        <v>41374.399999999994</v>
      </c>
      <c r="J6" s="11">
        <f>IF(B6="","",IF(C6="USD", $B6,$B6/Categories!$B$3))</f>
        <v>2068.7199999999998</v>
      </c>
      <c r="K6" s="3">
        <f>IF(B6="","",SUM($K5+(IF(OR($G6=Categories!$C$2,$H6=Categories!$C$2),IF($G6=Categories!$C$2,$I6,-$I6),0))))</f>
        <v>0</v>
      </c>
      <c r="L6" s="3">
        <f>IF(B6="","",SUM($L5+(IF(OR($G6=Categories!$C$3,$H6=Categories!$C$3),IF($G6=Categories!$C$3,$J6,-$J6),0))))</f>
        <v>22220.489999999998</v>
      </c>
      <c r="M6" s="2" t="str">
        <f>IF(B6="","",IF(OR($G6=Categories!$C$3,$H6=Categories!$C$3),IF($C6=Categories!$A$2,"Check exchange rate at time of transaction, potential discrepency.","" ),"" ))</f>
        <v/>
      </c>
    </row>
    <row r="7" spans="1:13" ht="34" x14ac:dyDescent="0.2">
      <c r="B7" s="9">
        <v>894.18</v>
      </c>
      <c r="C7" t="s">
        <v>3</v>
      </c>
      <c r="D7" t="s">
        <v>33</v>
      </c>
      <c r="E7" s="2" t="s">
        <v>64</v>
      </c>
      <c r="G7" t="s">
        <v>14</v>
      </c>
      <c r="H7" t="s">
        <v>47</v>
      </c>
      <c r="I7" s="15">
        <f>IF(B7="","",IF(C7="MXN",$B7,$B7*Categories!$B$3))</f>
        <v>17883.599999999999</v>
      </c>
      <c r="J7" s="11">
        <f>IF(B7="","",IF(C7="USD", $B7,$B7/Categories!$B$3))</f>
        <v>894.18</v>
      </c>
      <c r="K7" s="3">
        <f>IF(B7="","",SUM($K6+(IF(OR($G7=Categories!$C$2,$H7=Categories!$C$2),IF($G7=Categories!$C$2,$I7,-$I7),0))))</f>
        <v>0</v>
      </c>
      <c r="L7" s="3">
        <f>IF(B7="","",SUM($L6+(IF(OR($G7=Categories!$C$3,$H7=Categories!$C$3),IF($G7=Categories!$C$3,$J7,-$J7),0))))</f>
        <v>22220.489999999998</v>
      </c>
      <c r="M7" s="2" t="str">
        <f>IF(B7="","",IF(OR($G7=Categories!$C$3,$H7=Categories!$C$3),IF($C7=Categories!$A$2,"Check exchange rate at time of transaction, potential discrepency.","" ),"" ))</f>
        <v/>
      </c>
    </row>
    <row r="8" spans="1:13" ht="51" x14ac:dyDescent="0.2">
      <c r="B8" s="9">
        <v>894.18</v>
      </c>
      <c r="C8" t="s">
        <v>3</v>
      </c>
      <c r="D8" t="s">
        <v>33</v>
      </c>
      <c r="E8" s="2" t="s">
        <v>65</v>
      </c>
      <c r="G8" t="s">
        <v>47</v>
      </c>
      <c r="H8" t="s">
        <v>36</v>
      </c>
      <c r="I8" s="15">
        <f>IF(B8="","",IF(C8="MXN",$B8,$B8*Categories!$B$3))</f>
        <v>17883.599999999999</v>
      </c>
      <c r="J8" s="11">
        <f>IF(B8="","",IF(C8="USD", $B8,$B8/Categories!$B$3))</f>
        <v>894.18</v>
      </c>
      <c r="K8" s="3">
        <f>IF(B8="","",SUM($K7+(IF(OR($G8=Categories!$C$2,$H8=Categories!$C$2),IF($G8=Categories!$C$2,$I8,-$I8),0))))</f>
        <v>0</v>
      </c>
      <c r="L8" s="3">
        <f>IF(B8="","",SUM($L7+(IF(OR($G8=Categories!$C$3,$H8=Categories!$C$3),IF($G8=Categories!$C$3,$J8,-$J8),0))))</f>
        <v>21326.309999999998</v>
      </c>
      <c r="M8" s="2" t="str">
        <f>IF(B8="","",IF(OR($G8=Categories!$C$3,$H8=Categories!$C$3),IF($C8=Categories!$A$2,"Check exchange rate at time of transaction, potential discrepency.","" ),"" ))</f>
        <v/>
      </c>
    </row>
    <row r="9" spans="1:13" ht="17" x14ac:dyDescent="0.2">
      <c r="B9" s="9">
        <v>789.76</v>
      </c>
      <c r="C9" t="s">
        <v>3</v>
      </c>
      <c r="D9" t="s">
        <v>34</v>
      </c>
      <c r="E9" s="2" t="s">
        <v>66</v>
      </c>
      <c r="G9" t="s">
        <v>14</v>
      </c>
      <c r="H9" t="s">
        <v>47</v>
      </c>
      <c r="I9" s="15">
        <f>IF(B9="","",IF(C9="MXN",$B9,$B9*Categories!$B$3))</f>
        <v>15795.2</v>
      </c>
      <c r="J9" s="11">
        <f>IF(B9="","",IF(C9="USD", $B9,$B9/Categories!$B$3))</f>
        <v>789.76</v>
      </c>
      <c r="K9" s="3">
        <f>IF(B9="","",SUM($K8+(IF(OR($G9=Categories!$C$2,$H9=Categories!$C$2),IF($G9=Categories!$C$2,$I9,-$I9),0))))</f>
        <v>0</v>
      </c>
      <c r="L9" s="3">
        <f>IF(B9="","",SUM($L8+(IF(OR($G9=Categories!$C$3,$H9=Categories!$C$3),IF($G9=Categories!$C$3,$J9,-$J9),0))))</f>
        <v>21326.309999999998</v>
      </c>
      <c r="M9" s="2" t="str">
        <f>IF(B9="","",IF(OR($G9=Categories!$C$3,$H9=Categories!$C$3),IF($C9=Categories!$A$2,"Check exchange rate at time of transaction, potential discrepency.","" ),"" ))</f>
        <v/>
      </c>
    </row>
    <row r="10" spans="1:13" ht="17" x14ac:dyDescent="0.2">
      <c r="B10" s="9">
        <v>1572</v>
      </c>
      <c r="C10" t="s">
        <v>4</v>
      </c>
      <c r="D10" t="s">
        <v>34</v>
      </c>
      <c r="E10" s="2" t="s">
        <v>67</v>
      </c>
      <c r="G10" t="s">
        <v>14</v>
      </c>
      <c r="H10" t="s">
        <v>47</v>
      </c>
      <c r="I10" s="15">
        <f>IF(B10="","",IF(C10="MXN",$B10,$B10*Categories!$B$3))</f>
        <v>1572</v>
      </c>
      <c r="J10" s="11">
        <v>78.92</v>
      </c>
      <c r="K10" s="3">
        <f>IF(B10="","",SUM($K9+(IF(OR($G10=Categories!$C$2,$H10=Categories!$C$2),IF($G10=Categories!$C$2,$I10,-$I10),0))))</f>
        <v>0</v>
      </c>
      <c r="L10" s="3">
        <f>IF(B10="","",SUM($L9+(IF(OR($G10=Categories!$C$3,$H10=Categories!$C$3),IF($G10=Categories!$C$3,$J10,-$J10),0))))</f>
        <v>21326.309999999998</v>
      </c>
      <c r="M10" s="2" t="str">
        <f>IF(B10="","",IF(OR($G10=Categories!$C$3,$H10=Categories!$C$3),IF($C10=Categories!$A$2,"Check exchange rate at time of transaction, potential discrepency.","" ),"" ))</f>
        <v/>
      </c>
    </row>
    <row r="11" spans="1:13" ht="17" x14ac:dyDescent="0.2">
      <c r="B11" s="9">
        <v>26.07</v>
      </c>
      <c r="C11" t="s">
        <v>3</v>
      </c>
      <c r="D11" t="s">
        <v>34</v>
      </c>
      <c r="E11" s="2" t="s">
        <v>68</v>
      </c>
      <c r="G11" t="s">
        <v>14</v>
      </c>
      <c r="H11" t="s">
        <v>47</v>
      </c>
      <c r="I11" s="15">
        <f>IF(B11="","",IF(C11="MXN",$B11,$B11*Categories!$B$3))</f>
        <v>521.4</v>
      </c>
      <c r="J11" s="11">
        <f>IF(B11="","",IF(C11="USD", $B11,$B11/Categories!$B$3))</f>
        <v>26.07</v>
      </c>
      <c r="K11" s="3">
        <f>IF(B11="","",SUM($K10+(IF(OR($G11=Categories!$C$2,$H11=Categories!$C$2),IF($G11=Categories!$C$2,$I11,-$I11),0))))</f>
        <v>0</v>
      </c>
      <c r="L11" s="3">
        <f>IF(B11="","",SUM($L10+(IF(OR($G11=Categories!$C$3,$H11=Categories!$C$3),IF($G11=Categories!$C$3,$J11,-$J11),0))))</f>
        <v>21326.309999999998</v>
      </c>
      <c r="M11" s="2" t="str">
        <f>IF(B11="","",IF(OR($G11=Categories!$C$3,$H11=Categories!$C$3),IF($C11=Categories!$A$2,"Check exchange rate at time of transaction, potential discrepency.","" ),"" ))</f>
        <v/>
      </c>
    </row>
    <row r="12" spans="1:13" ht="34" x14ac:dyDescent="0.2">
      <c r="A12" s="1">
        <v>44725</v>
      </c>
      <c r="B12" s="9">
        <v>143.44999999999999</v>
      </c>
      <c r="C12" t="s">
        <v>3</v>
      </c>
      <c r="D12" t="s">
        <v>34</v>
      </c>
      <c r="E12" s="2" t="s">
        <v>69</v>
      </c>
      <c r="G12" t="s">
        <v>70</v>
      </c>
      <c r="H12" t="s">
        <v>47</v>
      </c>
      <c r="I12" s="15">
        <f>IF(B12="","",IF(C12="MXN",$B12,$B12*Categories!$B$3))</f>
        <v>2869</v>
      </c>
      <c r="J12" s="11">
        <f>IF(B12="","",IF(C12="USD", $B12,$B12/Categories!$B$3))</f>
        <v>143.44999999999999</v>
      </c>
      <c r="K12" s="3">
        <f>IF(B12="","",SUM($K11+(IF(OR($G12=Categories!$C$2,$H12=Categories!$C$2),IF($G12=Categories!$C$2,$I12,-$I12),0))))</f>
        <v>0</v>
      </c>
      <c r="L12" s="3">
        <f>IF(B12="","",SUM($L11+(IF(OR($G12=Categories!$C$3,$H12=Categories!$C$3),IF($G12=Categories!$C$3,$J12,-$J12),0))))</f>
        <v>21326.309999999998</v>
      </c>
      <c r="M12" s="2" t="str">
        <f>IF(B12="","",IF(OR($G12=Categories!$C$3,$H12=Categories!$C$3),IF($C12=Categories!$A$2,"Check exchange rate at time of transaction, potential discrepency.","" ),"" ))</f>
        <v/>
      </c>
    </row>
    <row r="13" spans="1:13" ht="34" x14ac:dyDescent="0.2">
      <c r="A13" s="1">
        <v>44725</v>
      </c>
      <c r="B13" s="9">
        <v>2521.04</v>
      </c>
      <c r="C13" t="s">
        <v>3</v>
      </c>
      <c r="E13" s="2" t="s">
        <v>88</v>
      </c>
      <c r="G13" t="s">
        <v>54</v>
      </c>
      <c r="H13" t="s">
        <v>47</v>
      </c>
      <c r="I13" s="15">
        <v>50000</v>
      </c>
      <c r="J13" s="11">
        <f>IF(B13="","",IF(C13="USD", $B13,$B13/Categories!$B$3))</f>
        <v>2521.04</v>
      </c>
      <c r="K13" s="3">
        <f>IF(B13="","",SUM($K12+(IF(OR($G13=Categories!$C$2,$H13=Categories!$C$2),IF($G13=Categories!$C$2,$I13,-$I13),0))))</f>
        <v>0</v>
      </c>
      <c r="L13" s="3">
        <f>IF(B13="","",SUM($L12+(IF(OR($G13=Categories!$C$3,$H13=Categories!$C$3),IF($G13=Categories!$C$3,$J13,-$J13),0))))</f>
        <v>21326.309999999998</v>
      </c>
    </row>
    <row r="14" spans="1:13" ht="34" x14ac:dyDescent="0.2">
      <c r="A14" s="1">
        <v>44726</v>
      </c>
      <c r="B14" s="9">
        <v>44.23</v>
      </c>
      <c r="C14" t="s">
        <v>3</v>
      </c>
      <c r="D14" t="s">
        <v>34</v>
      </c>
      <c r="E14" s="2" t="s">
        <v>74</v>
      </c>
      <c r="G14" t="s">
        <v>75</v>
      </c>
      <c r="H14" t="s">
        <v>47</v>
      </c>
      <c r="I14" s="15">
        <f>IF(B14="","",IF(C14="MXN",$B14,$B14*Categories!$B$3))</f>
        <v>884.59999999999991</v>
      </c>
      <c r="J14" s="11">
        <f>IF(B14="","",IF(C14="USD", $B14,$B14/Categories!$B$3))</f>
        <v>44.23</v>
      </c>
      <c r="K14" s="3">
        <f>IF(B14="","",SUM($K13+(IF(OR($G14=Categories!$C$2,$H14=Categories!$C$2),IF($G14=Categories!$C$2,$I14,-$I14),0))))</f>
        <v>0</v>
      </c>
      <c r="L14" s="3">
        <f>IF(B14="","",SUM($L13+(IF(OR($G14=Categories!$C$3,$H14=Categories!$C$3),IF($G14=Categories!$C$3,$J14,-$J14),0))))</f>
        <v>21326.309999999998</v>
      </c>
    </row>
    <row r="15" spans="1:13" ht="34" x14ac:dyDescent="0.2">
      <c r="A15" s="1">
        <v>44726</v>
      </c>
      <c r="B15" s="9">
        <v>49.06</v>
      </c>
      <c r="C15" t="s">
        <v>3</v>
      </c>
      <c r="D15" t="s">
        <v>34</v>
      </c>
      <c r="E15" s="2" t="s">
        <v>76</v>
      </c>
      <c r="G15" t="s">
        <v>75</v>
      </c>
      <c r="H15" t="s">
        <v>47</v>
      </c>
      <c r="I15" s="15">
        <f>IF(B15="","",IF(C15="MXN",$B15,$B15*Categories!$B$3))</f>
        <v>981.2</v>
      </c>
      <c r="J15" s="11">
        <f>IF(B15="","",IF(C15="USD", $B15,$B15/Categories!$B$3))</f>
        <v>49.06</v>
      </c>
      <c r="K15" s="3">
        <f>IF(B15="","",SUM($K14+(IF(OR($G15=Categories!$C$2,$H15=Categories!$C$2),IF($G15=Categories!$C$2,$I15,-$I15),0))))</f>
        <v>0</v>
      </c>
      <c r="L15" s="3">
        <f>IF(B15="","",SUM($L14+(IF(OR($G15=Categories!$C$3,$H15=Categories!$C$3),IF($G15=Categories!$C$3,$J15,-$J15),0))))</f>
        <v>21326.309999999998</v>
      </c>
    </row>
    <row r="16" spans="1:13" ht="34" x14ac:dyDescent="0.2">
      <c r="A16" s="1">
        <v>44726</v>
      </c>
      <c r="B16" s="9">
        <v>70.55</v>
      </c>
      <c r="C16" t="s">
        <v>3</v>
      </c>
      <c r="D16" t="s">
        <v>34</v>
      </c>
      <c r="E16" s="2" t="s">
        <v>77</v>
      </c>
      <c r="G16" t="s">
        <v>75</v>
      </c>
      <c r="H16" t="s">
        <v>47</v>
      </c>
      <c r="I16" s="15">
        <f>IF(B16="","",IF(C16="MXN",$B16,$B16*Categories!$B$3))</f>
        <v>1411</v>
      </c>
      <c r="J16" s="11">
        <f>IF(B16="","",IF(C16="USD", $B16,$B16/Categories!$B$3))</f>
        <v>70.55</v>
      </c>
      <c r="K16" s="3">
        <f>IF(B16="","",SUM($K15+(IF(OR($G16=Categories!$C$2,$H16=Categories!$C$2),IF($G16=Categories!$C$2,$I16,-$I16),0))))</f>
        <v>0</v>
      </c>
      <c r="L16" s="3">
        <f>IF(B16="","",SUM($L15+(IF(OR($G16=Categories!$C$3,$H16=Categories!$C$3),IF($G16=Categories!$C$3,$J16,-$J16),0))))</f>
        <v>21326.309999999998</v>
      </c>
    </row>
    <row r="17" spans="1:13" ht="51" x14ac:dyDescent="0.2">
      <c r="A17" s="1">
        <v>44727</v>
      </c>
      <c r="B17" s="9">
        <v>600</v>
      </c>
      <c r="C17" t="s">
        <v>4</v>
      </c>
      <c r="E17" s="2" t="s">
        <v>84</v>
      </c>
      <c r="F17" s="12"/>
      <c r="G17" t="s">
        <v>75</v>
      </c>
      <c r="H17" t="s">
        <v>27</v>
      </c>
      <c r="I17" s="15">
        <f>IF(B17="","",IF(C17="MXN",$B17,$B17*Categories!$B$3))</f>
        <v>600</v>
      </c>
      <c r="J17" s="11">
        <f>IF(B17="","",IF(C17="USD", $B17,$B17/Categories!$B$3))</f>
        <v>30</v>
      </c>
      <c r="K17" s="3">
        <f>IF(B17="","",SUM($K16+(IF(OR($G17=Categories!$C$2,$H17=Categories!$C$2),IF($G17=Categories!$C$2,$I17,-$I17),0))))</f>
        <v>-600</v>
      </c>
      <c r="L17" s="3">
        <f>IF(B17="","",SUM($L16+(IF(OR($G17=Categories!$C$3,$H17=Categories!$C$3),IF($G17=Categories!$C$3,$J17,-$J17),0))))</f>
        <v>21326.309999999998</v>
      </c>
    </row>
    <row r="18" spans="1:13" ht="68" x14ac:dyDescent="0.2">
      <c r="A18" s="1">
        <v>44729</v>
      </c>
      <c r="B18" s="9">
        <v>2710</v>
      </c>
      <c r="C18" t="s">
        <v>4</v>
      </c>
      <c r="E18" s="2" t="s">
        <v>86</v>
      </c>
      <c r="G18" t="s">
        <v>21</v>
      </c>
      <c r="H18" t="s">
        <v>27</v>
      </c>
      <c r="I18" s="15">
        <f>IF(B18="","",IF(C18="MXN",$B18,$B18*Categories!$B$3))</f>
        <v>2710</v>
      </c>
      <c r="J18" s="11">
        <f>IF(B18="","",IF(C18="USD", $B18,$B18/Categories!$B$3))</f>
        <v>135.5</v>
      </c>
      <c r="K18" s="3">
        <f>IF(B18="","",SUM($K17+(IF(OR($G18=Categories!$C$2,$H18=Categories!$C$2),IF($G18=Categories!$C$2,$I18,-$I18),0))))</f>
        <v>-3310</v>
      </c>
      <c r="L18" s="3">
        <f>IF(B18="","",SUM($L17+(IF(OR($G18=Categories!$C$3,$H18=Categories!$C$3),IF($G18=Categories!$C$3,$J18,-$J18),0))))</f>
        <v>21326.309999999998</v>
      </c>
    </row>
    <row r="19" spans="1:13" ht="51" x14ac:dyDescent="0.2">
      <c r="A19" s="1">
        <v>44732</v>
      </c>
      <c r="B19" s="9">
        <v>40000</v>
      </c>
      <c r="C19" t="s">
        <v>4</v>
      </c>
      <c r="D19" s="10"/>
      <c r="E19" s="2" t="s">
        <v>8</v>
      </c>
      <c r="F19" s="12"/>
      <c r="G19" s="3" t="s">
        <v>27</v>
      </c>
      <c r="H19" s="13" t="s">
        <v>36</v>
      </c>
      <c r="I19" s="15">
        <f>IF(B19="","",IF(C19="MXN",$B19,$B19*Categories!$B$3))</f>
        <v>40000</v>
      </c>
      <c r="J19" s="11">
        <f>IF(B19="","",IF(C19="USD", $B19,$B19/Categories!$B$3))</f>
        <v>2000</v>
      </c>
      <c r="K19" s="3">
        <f>IF(B19="","",SUM($K18+(IF(OR($G19=Categories!$C$2,$H19=Categories!$C$2),IF($G19=Categories!$C$2,$I19,-$I19),0))))</f>
        <v>36690</v>
      </c>
      <c r="L19" s="3">
        <f>IF(B19="","",SUM($L18+(IF(OR($G19=Categories!$C$3,$H19=Categories!$C$3),IF($G19=Categories!$C$3,$J19,-$J19),0))))</f>
        <v>19326.309999999998</v>
      </c>
      <c r="M19" s="2" t="str">
        <f>IF(B19="","",IF(OR($G19=Categories!$C$3,$H19=Categories!$C$3),IF($C19=Categories!$A$2,"Check exchange rate at time of transaction, potential discrepency.","" ),"" ))</f>
        <v>Check exchange rate at time of transaction, potential discrepency.</v>
      </c>
    </row>
    <row r="20" spans="1:13" ht="17" x14ac:dyDescent="0.2">
      <c r="A20" s="6">
        <v>44732</v>
      </c>
      <c r="B20" s="9">
        <v>2000</v>
      </c>
      <c r="C20" t="s">
        <v>4</v>
      </c>
      <c r="E20" s="2" t="s">
        <v>28</v>
      </c>
      <c r="F20" s="12"/>
      <c r="G20" t="s">
        <v>22</v>
      </c>
      <c r="H20" s="12" t="s">
        <v>27</v>
      </c>
      <c r="I20" s="15">
        <f>IF(B20="","",IF(C20="MXN",$B20,$B20*Categories!$B$3))</f>
        <v>2000</v>
      </c>
      <c r="J20" s="11">
        <f>IF(B20="","",IF(C20="USD", $B20,$B20/Categories!$B$3))</f>
        <v>100</v>
      </c>
      <c r="K20" s="3">
        <f>IF(B20="","",SUM($K19+(IF(OR($G20=Categories!$C$2,$H20=Categories!$C$2),IF($G20=Categories!$C$2,$I20,-$I20),0))))</f>
        <v>34690</v>
      </c>
      <c r="L20" s="3">
        <f>IF(B20="","",SUM($L19+(IF(OR($G20=Categories!$C$3,$H20=Categories!$C$3),IF($G20=Categories!$C$3,$J20,-$J20),0))))</f>
        <v>19326.309999999998</v>
      </c>
      <c r="M20" s="2" t="str">
        <f>IF(B20="","",IF(OR($G20=Categories!$C$3,$H20=Categories!$C$3),IF($C20=Categories!$A$2,"Check exchange rate at time of transaction, potential discrepency.","" ),"" ))</f>
        <v/>
      </c>
    </row>
    <row r="21" spans="1:13" ht="51" x14ac:dyDescent="0.2">
      <c r="A21" s="6">
        <v>44732</v>
      </c>
      <c r="B21" s="9">
        <v>5900</v>
      </c>
      <c r="C21" t="s">
        <v>4</v>
      </c>
      <c r="E21" s="2" t="s">
        <v>29</v>
      </c>
      <c r="G21" t="s">
        <v>14</v>
      </c>
      <c r="H21" t="s">
        <v>54</v>
      </c>
      <c r="I21" s="15">
        <f>IF(B21="","",IF(C21="MXN",$B21,$B21*Categories!$B$3))</f>
        <v>5900</v>
      </c>
      <c r="J21" s="11">
        <f>IF(B21="","",IF(C21="USD", $B21,$B21/Categories!$B$3))</f>
        <v>295</v>
      </c>
      <c r="K21" s="3">
        <f>IF(B21="","",SUM($K20+(IF(OR($G21=Categories!$C$2,$H21=Categories!$C$2),IF($G21=Categories!$C$2,$I21,-$I21),0))))</f>
        <v>34690</v>
      </c>
      <c r="L21" s="3">
        <f>IF(B21="","",SUM($L20+(IF(OR($G21=Categories!$C$3,$H21=Categories!$C$3),IF($G21=Categories!$C$3,$J21,-$J21),0))))</f>
        <v>19326.309999999998</v>
      </c>
      <c r="M21" s="2" t="str">
        <f>IF(B21="","",IF(OR($G21=Categories!$C$3,$H21=Categories!$C$3),IF($C21=Categories!$A$2,"Check exchange rate at time of transaction, potential discrepency.","" ),"" ))</f>
        <v/>
      </c>
    </row>
    <row r="22" spans="1:13" ht="17" x14ac:dyDescent="0.2">
      <c r="A22" s="1">
        <v>44733</v>
      </c>
      <c r="B22" s="9">
        <v>8000</v>
      </c>
      <c r="C22" t="s">
        <v>4</v>
      </c>
      <c r="D22" t="s">
        <v>34</v>
      </c>
      <c r="E22" s="2" t="s">
        <v>73</v>
      </c>
      <c r="G22" t="s">
        <v>27</v>
      </c>
      <c r="H22" t="s">
        <v>71</v>
      </c>
      <c r="I22" s="15">
        <f>IF(B22="","",IF(C22="MXN",$B22,$B22*Categories!$B$3))</f>
        <v>8000</v>
      </c>
      <c r="J22" s="11">
        <v>402.86</v>
      </c>
      <c r="K22" s="3">
        <f>IF(B22="","",SUM($K21+(IF(OR($G22=Categories!$C$2,$H22=Categories!$C$2),IF($G22=Categories!$C$2,$I22,-$I22),0))))</f>
        <v>42690</v>
      </c>
      <c r="L22" s="3">
        <f>IF(B22="","",SUM($L21+(IF(OR($G22=Categories!$C$3,$H22=Categories!$C$3),IF($G22=Categories!$C$3,$J22,-$J22),0))))</f>
        <v>19326.309999999998</v>
      </c>
      <c r="M22" s="2" t="str">
        <f>IF(B22="","",IF(OR($G22=Categories!$C$3,$H22=Categories!$C$3),IF($C22=Categories!$A$2,"Check exchange rate at time of transaction, potential discrepency.","" ),"" ))</f>
        <v/>
      </c>
    </row>
    <row r="23" spans="1:13" ht="34" x14ac:dyDescent="0.2">
      <c r="A23" s="1">
        <v>44733</v>
      </c>
      <c r="B23" s="9">
        <v>2037.96</v>
      </c>
      <c r="C23" t="s">
        <v>3</v>
      </c>
      <c r="E23" s="2" t="s">
        <v>88</v>
      </c>
      <c r="G23" t="s">
        <v>54</v>
      </c>
      <c r="H23" t="s">
        <v>47</v>
      </c>
      <c r="I23" s="15">
        <v>40000</v>
      </c>
      <c r="J23" s="11">
        <f>IF(B23="","",IF(C23="USD", $B23,$B23/Categories!$B$3))</f>
        <v>2037.96</v>
      </c>
      <c r="K23" s="3">
        <f>IF(B23="","",SUM($K22+(IF(OR($G23=Categories!$C$2,$H23=Categories!$C$2),IF($G23=Categories!$C$2,$I23,-$I23),0))))</f>
        <v>42690</v>
      </c>
      <c r="L23" s="3">
        <f>IF(B23="","",SUM($L22+(IF(OR($G23=Categories!$C$3,$H23=Categories!$C$3),IF($G23=Categories!$C$3,$J23,-$J23),0))))</f>
        <v>19326.309999999998</v>
      </c>
    </row>
    <row r="24" spans="1:13" ht="68" x14ac:dyDescent="0.2">
      <c r="A24" s="1">
        <v>44734</v>
      </c>
      <c r="B24" s="9">
        <v>4010</v>
      </c>
      <c r="C24" t="s">
        <v>4</v>
      </c>
      <c r="E24" s="2" t="s">
        <v>86</v>
      </c>
      <c r="G24" t="s">
        <v>21</v>
      </c>
      <c r="H24" t="s">
        <v>27</v>
      </c>
      <c r="I24" s="15">
        <f>IF(B24="","",IF(C24="MXN",$B24,$B24*Categories!$B$3))</f>
        <v>4010</v>
      </c>
      <c r="J24" s="11">
        <f>IF(B24="","",IF(C24="USD", $B24,$B24/Categories!$B$3))</f>
        <v>200.5</v>
      </c>
      <c r="K24" s="3">
        <f>IF(B24="","",SUM($K23+(IF(OR($G24=Categories!$C$2,$H24=Categories!$C$2),IF($G24=Categories!$C$2,$I24,-$I24),0))))</f>
        <v>38680</v>
      </c>
      <c r="L24" s="3">
        <f>IF(B24="","",SUM($L23+(IF(OR($G24=Categories!$C$3,$H24=Categories!$C$3),IF($G24=Categories!$C$3,$J24,-$J24),0))))</f>
        <v>19326.309999999998</v>
      </c>
    </row>
    <row r="25" spans="1:13" ht="34" x14ac:dyDescent="0.2">
      <c r="A25" s="1">
        <v>44734</v>
      </c>
      <c r="B25" s="9">
        <v>11000</v>
      </c>
      <c r="C25" t="s">
        <v>4</v>
      </c>
      <c r="E25" s="2" t="s">
        <v>87</v>
      </c>
      <c r="G25" t="s">
        <v>54</v>
      </c>
      <c r="H25" t="s">
        <v>27</v>
      </c>
      <c r="I25" s="15">
        <f>IF(B25="","",IF(C25="MXN",$B25,$B25*Categories!$B$3))</f>
        <v>11000</v>
      </c>
      <c r="J25" s="11">
        <f>IF(B25="","",IF(C25="USD", $B25,$B25/Categories!$B$3))</f>
        <v>550</v>
      </c>
      <c r="K25" s="3">
        <f>IF(B25="","",SUM($K24+(IF(OR($G25=Categories!$C$2,$H25=Categories!$C$2),IF($G25=Categories!$C$2,$I25,-$I25),0))))</f>
        <v>27680</v>
      </c>
      <c r="L25" s="3">
        <f>IF(B25="","",SUM($L24+(IF(OR($G25=Categories!$C$3,$H25=Categories!$C$3),IF($G25=Categories!$C$3,$J25,-$J25),0))))</f>
        <v>19326.309999999998</v>
      </c>
    </row>
    <row r="26" spans="1:13" ht="17" x14ac:dyDescent="0.2">
      <c r="A26" s="1">
        <v>44742</v>
      </c>
      <c r="B26" s="9">
        <v>1423.75</v>
      </c>
      <c r="C26" t="s">
        <v>3</v>
      </c>
      <c r="D26" t="s">
        <v>34</v>
      </c>
      <c r="E26" s="2" t="s">
        <v>72</v>
      </c>
      <c r="G26" t="s">
        <v>71</v>
      </c>
      <c r="H26" t="s">
        <v>36</v>
      </c>
      <c r="I26" s="15">
        <f>IF(B26="","",IF(C26="MXN",$B26,$B26*Categories!$B$3))</f>
        <v>28475</v>
      </c>
      <c r="J26" s="11">
        <f>IF(B26="","",IF(C26="USD", $B26,$B26/Categories!$B$3))</f>
        <v>1423.75</v>
      </c>
      <c r="K26" s="3">
        <f>IF(B26="","",SUM($K25+(IF(OR($G26=Categories!$C$2,$H26=Categories!$C$2),IF($G26=Categories!$C$2,$I26,-$I26),0))))</f>
        <v>27680</v>
      </c>
      <c r="L26" s="3">
        <f>IF(B26="","",SUM($L25+(IF(OR($G26=Categories!$C$3,$H26=Categories!$C$3),IF($G26=Categories!$C$3,$J26,-$J26),0))))</f>
        <v>17902.559999999998</v>
      </c>
      <c r="M26" s="2" t="str">
        <f>IF(B26="","",IF(OR($G26=Categories!$C$3,$H26=Categories!$C$3),IF($C26=Categories!$A$2,"Check exchange rate at time of transaction, potential discrepency.","" ),"" ))</f>
        <v/>
      </c>
    </row>
    <row r="27" spans="1:13" ht="68" x14ac:dyDescent="0.2">
      <c r="A27" s="1">
        <v>44742</v>
      </c>
      <c r="B27" s="9">
        <v>1200</v>
      </c>
      <c r="C27" t="s">
        <v>4</v>
      </c>
      <c r="E27" s="2" t="s">
        <v>85</v>
      </c>
      <c r="G27" t="s">
        <v>75</v>
      </c>
      <c r="H27" t="s">
        <v>27</v>
      </c>
      <c r="I27" s="15">
        <f>IF(B27="","",IF(C27="MXN",$B27,$B27*Categories!$B$3))</f>
        <v>1200</v>
      </c>
      <c r="J27" s="11">
        <f>IF(B27="","",IF(C27="USD", $B27,$B27/Categories!$B$3))</f>
        <v>60</v>
      </c>
      <c r="K27" s="3">
        <f>IF(B27="","",SUM($K26+(IF(OR($G27=Categories!$C$2,$H27=Categories!$C$2),IF($G27=Categories!$C$2,$I27,-$I27),0))))</f>
        <v>26480</v>
      </c>
      <c r="L27" s="3">
        <f>IF(B27="","",SUM($L26+(IF(OR($G27=Categories!$C$3,$H27=Categories!$C$3),IF($G27=Categories!$C$3,$J27,-$J27),0))))</f>
        <v>17902.559999999998</v>
      </c>
    </row>
    <row r="28" spans="1:13" x14ac:dyDescent="0.2">
      <c r="A28" s="1"/>
      <c r="I28" s="15" t="str">
        <f>IF(B28="","",IF(C28="MXN",$B28,$B28*Categories!$B$3))</f>
        <v/>
      </c>
      <c r="J28" s="11" t="str">
        <f>IF(B28="","",IF(C28="USD", $B28,$B28/Categories!$B$3))</f>
        <v/>
      </c>
      <c r="K28" s="3" t="str">
        <f>IF(B28="","",SUM(#REF!+(IF(OR($G28=Categories!$C$2,$H28=Categories!$C$2),IF($G28=Categories!$C$2,$I28,-$I28),0))))</f>
        <v/>
      </c>
      <c r="L28" s="3" t="str">
        <f>IF(B28="","",SUM(#REF!+(IF(OR($G28=Categories!$C$3,$H28=Categories!$C$3),IF($G28=Categories!$C$3,$J28,-$J28),0))))</f>
        <v/>
      </c>
    </row>
    <row r="29" spans="1:13" x14ac:dyDescent="0.2">
      <c r="I29" s="15" t="str">
        <f>IF(B29="","",IF(C29="MXN",$B29,$B29*Categories!$B$3))</f>
        <v/>
      </c>
      <c r="J29" s="11" t="str">
        <f>IF(B29="","",IF(C29="USD", $B29,$B29/Categories!$B$3))</f>
        <v/>
      </c>
      <c r="K29" s="3" t="str">
        <f>IF(B29="","",SUM($K28+(IF(OR($G29=Categories!$C$2,$H29=Categories!$C$2),IF($G29=Categories!$C$2,$I29,-$I29),0))))</f>
        <v/>
      </c>
      <c r="L29" s="3" t="str">
        <f>IF(B29="","",SUM($L28+(IF(OR($G29=Categories!$C$3,$H29=Categories!$C$3),IF($G29=Categories!$C$3,$J29,-$J29),0))))</f>
        <v/>
      </c>
    </row>
    <row r="30" spans="1:13" x14ac:dyDescent="0.2">
      <c r="I30" s="15" t="str">
        <f>IF(B30="","",IF(C30="MXN",$B30,$B30*Categories!$B$3))</f>
        <v/>
      </c>
      <c r="J30" s="11" t="str">
        <f>IF(B30="","",IF(C30="USD", $B30,$B30/Categories!$B$3))</f>
        <v/>
      </c>
      <c r="K30" s="3" t="str">
        <f>IF(B30="","",SUM($K29+(IF(OR($G30=Categories!$C$2,$H30=Categories!$C$2),IF($G30=Categories!$C$2,$I30,-$I30),0))))</f>
        <v/>
      </c>
      <c r="L30" s="3" t="str">
        <f>IF(B30="","",SUM($L29+(IF(OR($G30=Categories!$C$3,$H30=Categories!$C$3),IF($G30=Categories!$C$3,$J30,-$J30),0))))</f>
        <v/>
      </c>
    </row>
    <row r="31" spans="1:13" x14ac:dyDescent="0.2">
      <c r="I31" s="15" t="str">
        <f>IF(B31="","",IF(C31="MXN",$B31,$B31*Categories!$B$3))</f>
        <v/>
      </c>
      <c r="J31" s="11" t="str">
        <f>IF(B31="","",IF(C31="USD", $B31,$B31/Categories!$B$3))</f>
        <v/>
      </c>
      <c r="K31" s="3" t="str">
        <f>IF(B31="","",SUM($K30+(IF(OR($G31=Categories!$C$2,$H31=Categories!$C$2),IF($G31=Categories!$C$2,$I31,-$I31),0))))</f>
        <v/>
      </c>
      <c r="L31" s="3" t="str">
        <f>IF(B31="","",SUM($L30+(IF(OR($G31=Categories!$C$3,$H31=Categories!$C$3),IF($G31=Categories!$C$3,$J31,-$J31),0))))</f>
        <v/>
      </c>
    </row>
    <row r="32" spans="1:13" x14ac:dyDescent="0.2">
      <c r="I32" s="15" t="str">
        <f>IF(B32="","",IF(C32="MXN",$B32,$B32*Categories!$B$3))</f>
        <v/>
      </c>
      <c r="J32" s="11" t="str">
        <f>IF(B32="","",IF(C32="USD", $B32,$B32/Categories!$B$3))</f>
        <v/>
      </c>
      <c r="K32" s="3" t="str">
        <f>IF(B32="","",SUM($K31+(IF(OR($G32=Categories!$C$2,$H32=Categories!$C$2),IF($G32=Categories!$C$2,$I32,-$I32),0))))</f>
        <v/>
      </c>
      <c r="L32" s="3" t="str">
        <f>IF(B32="","",SUM($L31+(IF(OR($G32=Categories!$C$3,$H32=Categories!$C$3),IF($G32=Categories!$C$3,$J32,-$J32),0))))</f>
        <v/>
      </c>
    </row>
    <row r="33" spans="9:12" x14ac:dyDescent="0.2">
      <c r="I33" s="15" t="str">
        <f>IF(B33="","",IF(C33="MXN",$B33,$B33*Categories!$B$3))</f>
        <v/>
      </c>
      <c r="J33" s="11" t="str">
        <f>IF(B33="","",IF(C33="USD", $B33,$B33/Categories!$B$3))</f>
        <v/>
      </c>
      <c r="K33" s="3" t="str">
        <f>IF(B33="","",SUM($K32+(IF(OR($G33=Categories!$C$2,$H33=Categories!$C$2),IF($G33=Categories!$C$2,$I33,-$I33),0))))</f>
        <v/>
      </c>
      <c r="L33" s="3" t="str">
        <f>IF(B33="","",SUM($L32+(IF(OR($G33=Categories!$C$3,$H33=Categories!$C$3),IF($G33=Categories!$C$3,$J33,-$J33),0))))</f>
        <v/>
      </c>
    </row>
    <row r="34" spans="9:12" x14ac:dyDescent="0.2">
      <c r="I34" s="15" t="str">
        <f>IF(B34="","",IF(C34="MXN",$B34,$B34*Categories!$B$3))</f>
        <v/>
      </c>
      <c r="J34" s="11" t="str">
        <f>IF(B34="","",IF(C34="USD", $B34,$B34/Categories!$B$3))</f>
        <v/>
      </c>
      <c r="K34" s="3" t="str">
        <f>IF(B34="","",SUM($K33+(IF(OR($G34=Categories!$C$2,$H34=Categories!$C$2),IF($G34=Categories!$C$2,$I34,-$I34),0))))</f>
        <v/>
      </c>
      <c r="L34" s="3" t="str">
        <f>IF(B34="","",SUM($L33+(IF(OR($G34=Categories!$C$3,$H34=Categories!$C$3),IF($G34=Categories!$C$3,$J34,-$J34),0))))</f>
        <v/>
      </c>
    </row>
    <row r="35" spans="9:12" x14ac:dyDescent="0.2">
      <c r="I35" s="15" t="str">
        <f>IF(B35="","",IF(C35="MXN",$B35,$B35*Categories!$B$3))</f>
        <v/>
      </c>
      <c r="J35" s="11" t="str">
        <f>IF(B35="","",IF(C35="USD", $B35,$B35/Categories!$B$3))</f>
        <v/>
      </c>
      <c r="K35" s="3" t="str">
        <f>IF(B35="","",SUM($K34+(IF(OR($G35=Categories!$C$2,$H35=Categories!$C$2),IF($G35=Categories!$C$2,$I35,-$I35),0))))</f>
        <v/>
      </c>
      <c r="L35" s="3" t="str">
        <f>IF(B35="","",SUM($L34+(IF(OR($G35=Categories!$C$3,$H35=Categories!$C$3),IF($G35=Categories!$C$3,$J35,-$J35),0))))</f>
        <v/>
      </c>
    </row>
    <row r="36" spans="9:12" x14ac:dyDescent="0.2">
      <c r="I36" s="15" t="str">
        <f>IF(B36="","",IF(C36="MXN",$B36,$B36*Categories!$B$3))</f>
        <v/>
      </c>
      <c r="J36" s="11" t="str">
        <f>IF(B36="","",IF(C36="USD", $B36,$B36/Categories!$B$3))</f>
        <v/>
      </c>
      <c r="K36" s="3" t="str">
        <f>IF(B36="","",SUM($K35+(IF(OR($G36=Categories!$C$2,$H36=Categories!$C$2),IF($G36=Categories!$C$2,$I36,-$I36),0))))</f>
        <v/>
      </c>
      <c r="L36" s="3" t="str">
        <f>IF(B36="","",SUM($L35+(IF(OR($G36=Categories!$C$3,$H36=Categories!$C$3),IF($G36=Categories!$C$3,$J36,-$J36),0))))</f>
        <v/>
      </c>
    </row>
    <row r="37" spans="9:12" x14ac:dyDescent="0.2">
      <c r="I37" s="15" t="str">
        <f>IF(B37="","",IF(C37="MXN",$B37,$B37*Categories!$B$3))</f>
        <v/>
      </c>
      <c r="J37" s="11" t="str">
        <f>IF(B37="","",IF(C37="USD", $B37,$B37/Categories!$B$3))</f>
        <v/>
      </c>
      <c r="K37" s="3" t="str">
        <f>IF(B37="","",SUM($K36+(IF(OR($G37=Categories!$C$2,$H37=Categories!$C$2),IF($G37=Categories!$C$2,$I37,-$I37),0))))</f>
        <v/>
      </c>
      <c r="L37" s="3" t="str">
        <f>IF(B37="","",SUM($L36+(IF(OR($G37=Categories!$C$3,$H37=Categories!$C$3),IF($G37=Categories!$C$3,$J37,-$J37),0))))</f>
        <v/>
      </c>
    </row>
    <row r="38" spans="9:12" x14ac:dyDescent="0.2">
      <c r="I38" s="15" t="str">
        <f>IF(B38="","",IF(C38="MXN",$B38,$B38*Categories!$B$3))</f>
        <v/>
      </c>
      <c r="J38" s="11" t="str">
        <f>IF(B38="","",IF(C38="USD", $B38,$B38/Categories!$B$3))</f>
        <v/>
      </c>
      <c r="K38" s="3" t="str">
        <f>IF(B38="","",SUM($K37+(IF(OR($G38=Categories!$C$2,$H38=Categories!$C$2),IF($G38=Categories!$C$2,$I38,-$I38),0))))</f>
        <v/>
      </c>
      <c r="L38" s="3" t="str">
        <f>IF(B38="","",SUM($L37+(IF(OR($G38=Categories!$C$3,$H38=Categories!$C$3),IF($G38=Categories!$C$3,$J38,-$J38),0))))</f>
        <v/>
      </c>
    </row>
    <row r="39" spans="9:12" x14ac:dyDescent="0.2">
      <c r="I39" s="15" t="str">
        <f>IF(B39="","",IF(C39="MXN",$B39,$B39*Categories!$B$3))</f>
        <v/>
      </c>
      <c r="J39" s="11" t="str">
        <f>IF(B39="","",IF(C39="USD", $B39,$B39/Categories!$B$3))</f>
        <v/>
      </c>
      <c r="K39" s="3" t="str">
        <f>IF(B39="","",SUM($K38+(IF(OR($G39=Categories!$C$2,$H39=Categories!$C$2),IF($G39=Categories!$C$2,$I39,-$I39),0))))</f>
        <v/>
      </c>
      <c r="L39" s="3" t="str">
        <f>IF(B39="","",SUM($L38+(IF(OR($G39=Categories!$C$3,$H39=Categories!$C$3),IF($G39=Categories!$C$3,$J39,-$J39),0))))</f>
        <v/>
      </c>
    </row>
    <row r="40" spans="9:12" x14ac:dyDescent="0.2">
      <c r="I40" s="15" t="str">
        <f>IF(B40="","",IF(C40="MXN",$B40,$B40*Categories!$B$3))</f>
        <v/>
      </c>
      <c r="J40" s="11" t="str">
        <f>IF(B40="","",IF(C40="USD", $B40,$B40/Categories!$B$3))</f>
        <v/>
      </c>
      <c r="K40" s="3" t="str">
        <f>IF(B40="","",SUM($K39+(IF(OR($G40=Categories!$C$2,$H40=Categories!$C$2),IF($G40=Categories!$C$2,$I40,-$I40),0))))</f>
        <v/>
      </c>
      <c r="L40" s="3" t="str">
        <f>IF(B40="","",SUM($L39+(IF(OR($G40=Categories!$C$3,$H40=Categories!$C$3),IF($G40=Categories!$C$3,$J40,-$J40),0))))</f>
        <v/>
      </c>
    </row>
    <row r="41" spans="9:12" x14ac:dyDescent="0.2">
      <c r="I41" s="15" t="str">
        <f>IF(B41="","",IF(C41="MXN",$B41,$B41*Categories!$B$3))</f>
        <v/>
      </c>
      <c r="J41" s="11" t="str">
        <f>IF(B41="","",IF(C41="USD", $B41,$B41/Categories!$B$3))</f>
        <v/>
      </c>
      <c r="K41" s="3" t="str">
        <f>IF(B41="","",SUM($K40+(IF(OR($G41=Categories!$C$2,$H41=Categories!$C$2),IF($G41=Categories!$C$2,$I41,-$I41),0))))</f>
        <v/>
      </c>
      <c r="L41" s="3" t="str">
        <f>IF(B41="","",SUM($L40+(IF(OR($G41=Categories!$C$3,$H41=Categories!$C$3),IF($G41=Categories!$C$3,$J41,-$J41),0))))</f>
        <v/>
      </c>
    </row>
    <row r="42" spans="9:12" x14ac:dyDescent="0.2">
      <c r="I42" s="15" t="str">
        <f>IF(B42="","",IF(C42="MXN",$B42,$B42*Categories!$B$3))</f>
        <v/>
      </c>
      <c r="J42" s="11" t="str">
        <f>IF(B42="","",IF(C42="USD", $B42,$B42/Categories!$B$3))</f>
        <v/>
      </c>
      <c r="K42" s="3" t="str">
        <f>IF(B42="","",SUM($K41+(IF(OR($G42=Categories!$C$2,$H42=Categories!$C$2),IF($G42=Categories!$C$2,$I42,-$I42),0))))</f>
        <v/>
      </c>
      <c r="L42" s="3" t="str">
        <f>IF(B42="","",SUM($L41+(IF(OR($G42=Categories!$C$3,$H42=Categories!$C$3),IF($G42=Categories!$C$3,$J42,-$J42),0))))</f>
        <v/>
      </c>
    </row>
    <row r="43" spans="9:12" x14ac:dyDescent="0.2">
      <c r="I43" s="15" t="str">
        <f>IF(B43="","",IF(C43="MXN",$B43,$B43*Categories!$B$3))</f>
        <v/>
      </c>
      <c r="J43" s="11" t="str">
        <f>IF(B43="","",IF(C43="USD", $B43,$B43/Categories!$B$3))</f>
        <v/>
      </c>
      <c r="K43" s="3" t="str">
        <f>IF(B43="","",SUM($K42+(IF(OR($G43=Categories!$C$2,$H43=Categories!$C$2),IF($G43=Categories!$C$2,$I43,-$I43),0))))</f>
        <v/>
      </c>
      <c r="L43" s="3" t="str">
        <f>IF(B43="","",SUM($L42+(IF(OR($G43=Categories!$C$3,$H43=Categories!$C$3),IF($G43=Categories!$C$3,$J43,-$J43),0))))</f>
        <v/>
      </c>
    </row>
    <row r="44" spans="9:12" x14ac:dyDescent="0.2">
      <c r="I44" s="15" t="str">
        <f>IF(B44="","",IF(C44="MXN",$B44,$B44*Categories!$B$3))</f>
        <v/>
      </c>
      <c r="J44" s="11" t="str">
        <f>IF(B44="","",IF(C44="USD", $B44,$B44/Categories!$B$3))</f>
        <v/>
      </c>
      <c r="K44" s="3" t="str">
        <f>IF(B44="","",SUM($K43+(IF(OR($G44=Categories!$C$2,$H44=Categories!$C$2),IF($G44=Categories!$C$2,$I44,-$I44),0))))</f>
        <v/>
      </c>
      <c r="L44" s="3" t="str">
        <f>IF(B44="","",SUM($L43+(IF(OR($G44=Categories!$C$3,$H44=Categories!$C$3),IF($G44=Categories!$C$3,$J44,-$J44),0))))</f>
        <v/>
      </c>
    </row>
    <row r="45" spans="9:12" x14ac:dyDescent="0.2">
      <c r="I45" s="15" t="str">
        <f>IF(B45="","",IF(C45="MXN",$B45,$B45*Categories!$B$3))</f>
        <v/>
      </c>
      <c r="J45" s="11" t="str">
        <f>IF(B45="","",IF(C45="USD", $B45,$B45/Categories!$B$3))</f>
        <v/>
      </c>
      <c r="K45" s="3" t="str">
        <f>IF(B45="","",SUM($K44+(IF(OR($G45=Categories!$C$2,$H45=Categories!$C$2),IF($G45=Categories!$C$2,$I45,-$I45),0))))</f>
        <v/>
      </c>
      <c r="L45" s="3" t="str">
        <f>IF(B45="","",SUM($L44+(IF(OR($G45=Categories!$C$3,$H45=Categories!$C$3),IF($G45=Categories!$C$3,$J45,-$J45),0))))</f>
        <v/>
      </c>
    </row>
    <row r="46" spans="9:12" x14ac:dyDescent="0.2">
      <c r="I46" s="15" t="str">
        <f>IF(B46="","",IF(C46="MXN",$B46,$B46*Categories!$B$3))</f>
        <v/>
      </c>
      <c r="J46" s="11" t="str">
        <f>IF(B46="","",IF(C46="USD", $B46,$B46/Categories!$B$3))</f>
        <v/>
      </c>
      <c r="K46" s="3" t="str">
        <f>IF(B46="","",SUM($K45+(IF(OR($G46=Categories!$C$2,$H46=Categories!$C$2),IF($G46=Categories!$C$2,$I46,-$I46),0))))</f>
        <v/>
      </c>
      <c r="L46" s="3" t="str">
        <f>IF(B46="","",SUM($L45+(IF(OR($G46=Categories!$C$3,$H46=Categories!$C$3),IF($G46=Categories!$C$3,$J46,-$J46),0))))</f>
        <v/>
      </c>
    </row>
    <row r="47" spans="9:12" x14ac:dyDescent="0.2">
      <c r="I47" s="15" t="str">
        <f>IF(B47="","",IF(C47="MXN",$B47,$B47*Categories!$B$3))</f>
        <v/>
      </c>
      <c r="J47" s="11" t="str">
        <f>IF(B47="","",IF(C47="USD", $B47,$B47/Categories!$B$3))</f>
        <v/>
      </c>
      <c r="K47" s="3" t="str">
        <f>IF(B47="","",SUM($K46+(IF(OR($G47=Categories!$C$2,$H47=Categories!$C$2),IF($G47=Categories!$C$2,$I47,-$I47),0))))</f>
        <v/>
      </c>
      <c r="L47" s="3" t="str">
        <f>IF(B47="","",SUM($L46+(IF(OR($G47=Categories!$C$3,$H47=Categories!$C$3),IF($G47=Categories!$C$3,$J47,-$J47),0))))</f>
        <v/>
      </c>
    </row>
    <row r="48" spans="9:12" x14ac:dyDescent="0.2">
      <c r="I48" s="15" t="str">
        <f>IF(B48="","",IF(C48="MXN",$B48,$B48*Categories!$B$3))</f>
        <v/>
      </c>
      <c r="J48" s="11" t="str">
        <f>IF(B48="","",IF(C48="USD", $B48,$B48/Categories!$B$3))</f>
        <v/>
      </c>
      <c r="K48" s="3" t="str">
        <f>IF(B48="","",SUM($K47+(IF(OR($G48=Categories!$C$2,$H48=Categories!$C$2),IF($G48=Categories!$C$2,$I48,-$I48),0))))</f>
        <v/>
      </c>
      <c r="L48" s="3" t="str">
        <f>IF(B48="","",SUM($L47+(IF(OR($G48=Categories!$C$3,$H48=Categories!$C$3),IF($G48=Categories!$C$3,$J48,-$J48),0))))</f>
        <v/>
      </c>
    </row>
    <row r="49" spans="9:12" x14ac:dyDescent="0.2">
      <c r="I49" s="15" t="str">
        <f>IF(B49="","",IF(C49="MXN",$B49,$B49*Categories!$B$3))</f>
        <v/>
      </c>
      <c r="J49" s="11" t="str">
        <f>IF(B49="","",IF(C49="USD", $B49,$B49/Categories!$B$3))</f>
        <v/>
      </c>
      <c r="K49" s="3" t="str">
        <f>IF(B49="","",SUM($K48+(IF(OR($G49=Categories!$C$2,$H49=Categories!$C$2),IF($G49=Categories!$C$2,$I49,-$I49),0))))</f>
        <v/>
      </c>
      <c r="L49" s="3" t="str">
        <f>IF(B49="","",SUM($L48+(IF(OR($G49=Categories!$C$3,$H49=Categories!$C$3),IF($G49=Categories!$C$3,$J49,-$J49),0))))</f>
        <v/>
      </c>
    </row>
    <row r="50" spans="9:12" x14ac:dyDescent="0.2">
      <c r="I50" s="15" t="str">
        <f>IF(B50="","",IF(C50="MXN",$B50,$B50*Categories!$B$3))</f>
        <v/>
      </c>
      <c r="J50" s="11" t="str">
        <f>IF(B50="","",IF(C50="USD", $B50,$B50/Categories!$B$3))</f>
        <v/>
      </c>
      <c r="K50" s="3" t="str">
        <f>IF(B50="","",SUM($K49+(IF(OR($G50=Categories!$C$2,$H50=Categories!$C$2),IF($G50=Categories!$C$2,$I50,-$I50),0))))</f>
        <v/>
      </c>
      <c r="L50" s="3" t="str">
        <f>IF(B50="","",SUM($L49+(IF(OR($G50=Categories!$C$3,$H50=Categories!$C$3),IF($G50=Categories!$C$3,$J50,-$J50),0))))</f>
        <v/>
      </c>
    </row>
    <row r="51" spans="9:12" x14ac:dyDescent="0.2">
      <c r="I51" s="15" t="str">
        <f>IF(B51="","",IF(C51="MXN",$B51,$B51*Categories!$B$3))</f>
        <v/>
      </c>
      <c r="J51" s="11" t="str">
        <f>IF(B51="","",IF(C51="USD", $B51,$B51/Categories!$B$3))</f>
        <v/>
      </c>
      <c r="K51" s="3" t="str">
        <f>IF(B51="","",SUM($K50+(IF(OR($G51=Categories!$C$2,$H51=Categories!$C$2),IF($G51=Categories!$C$2,$I51,-$I51),0))))</f>
        <v/>
      </c>
      <c r="L51" s="3" t="str">
        <f>IF(B51="","",SUM($L50+(IF(OR($G51=Categories!$C$3,$H51=Categories!$C$3),IF($G51=Categories!$C$3,$J51,-$J51),0))))</f>
        <v/>
      </c>
    </row>
    <row r="52" spans="9:12" x14ac:dyDescent="0.2">
      <c r="I52" s="15" t="str">
        <f>IF(B52="","",IF(C52="MXN",$B52,$B52*Categories!$B$3))</f>
        <v/>
      </c>
      <c r="J52" s="11" t="str">
        <f>IF(B52="","",IF(C52="USD", $B52,$B52/Categories!$B$3))</f>
        <v/>
      </c>
      <c r="K52" s="3" t="str">
        <f>IF(B52="","",SUM($K51+(IF(OR($G52=Categories!$C$2,$H52=Categories!$C$2),IF($G52=Categories!$C$2,$I52,-$I52),0))))</f>
        <v/>
      </c>
      <c r="L52" s="3" t="str">
        <f>IF(B52="","",SUM($L51+(IF(OR($G52=Categories!$C$3,$H52=Categories!$C$3),IF($G52=Categories!$C$3,$J52,-$J52),0))))</f>
        <v/>
      </c>
    </row>
    <row r="53" spans="9:12" x14ac:dyDescent="0.2">
      <c r="I53" s="15" t="str">
        <f>IF(B53="","",IF(C53="MXN",$B53,$B53*Categories!$B$3))</f>
        <v/>
      </c>
      <c r="J53" s="11" t="str">
        <f>IF(B53="","",IF(C53="USD", $B53,$B53/Categories!$B$3))</f>
        <v/>
      </c>
      <c r="K53" s="3" t="str">
        <f>IF(B53="","",SUM($K52+(IF(OR($G53=Categories!$C$2,$H53=Categories!$C$2),IF($G53=Categories!$C$2,$I53,-$I53),0))))</f>
        <v/>
      </c>
      <c r="L53" s="3" t="str">
        <f>IF(B53="","",SUM($L52+(IF(OR($G53=Categories!$C$3,$H53=Categories!$C$3),IF($G53=Categories!$C$3,$J53,-$J53),0))))</f>
        <v/>
      </c>
    </row>
    <row r="54" spans="9:12" x14ac:dyDescent="0.2">
      <c r="I54" s="15" t="str">
        <f>IF(B54="","",IF(C54="MXN",$B54,$B54*Categories!$B$3))</f>
        <v/>
      </c>
      <c r="J54" s="11" t="str">
        <f>IF(B54="","",IF(C54="USD", $B54,$B54/Categories!$B$3))</f>
        <v/>
      </c>
      <c r="K54" s="3" t="str">
        <f>IF(B54="","",SUM($K53+(IF(OR($G54=Categories!$C$2,$H54=Categories!$C$2),IF($G54=Categories!$C$2,$I54,-$I54),0))))</f>
        <v/>
      </c>
      <c r="L54" s="3" t="str">
        <f>IF(B54="","",SUM($L53+(IF(OR($G54=Categories!$C$3,$H54=Categories!$C$3),IF($G54=Categories!$C$3,$J54,-$J54),0))))</f>
        <v/>
      </c>
    </row>
    <row r="55" spans="9:12" x14ac:dyDescent="0.2">
      <c r="I55" s="15" t="str">
        <f>IF(B55="","",IF(C55="MXN",$B55,$B55*Categories!$B$3))</f>
        <v/>
      </c>
      <c r="J55" s="11" t="str">
        <f>IF(B55="","",IF(C55="USD", $B55,$B55/Categories!$B$3))</f>
        <v/>
      </c>
      <c r="K55" s="3" t="str">
        <f>IF(B55="","",SUM($K54+(IF(OR($G55=Categories!$C$2,$H55=Categories!$C$2),IF($G55=Categories!$C$2,$I55,-$I55),0))))</f>
        <v/>
      </c>
      <c r="L55" s="3" t="str">
        <f>IF(B55="","",SUM($L54+(IF(OR($G55=Categories!$C$3,$H55=Categories!$C$3),IF($G55=Categories!$C$3,$J55,-$J55),0))))</f>
        <v/>
      </c>
    </row>
    <row r="56" spans="9:12" x14ac:dyDescent="0.2">
      <c r="I56" s="15" t="str">
        <f>IF(B56="","",IF(C56="MXN",$B56,$B56*Categories!$B$3))</f>
        <v/>
      </c>
      <c r="J56" s="11" t="str">
        <f>IF(B56="","",IF(C56="USD", $B56,$B56/Categories!$B$3))</f>
        <v/>
      </c>
      <c r="K56" s="3" t="str">
        <f>IF(B56="","",SUM($K55+(IF(OR($G56=Categories!$C$2,$H56=Categories!$C$2),IF($G56=Categories!$C$2,$I56,-$I56),0))))</f>
        <v/>
      </c>
      <c r="L56" s="3" t="str">
        <f>IF(B56="","",SUM($L55+(IF(OR($G56=Categories!$C$3,$H56=Categories!$C$3),IF($G56=Categories!$C$3,$J56,-$J56),0))))</f>
        <v/>
      </c>
    </row>
    <row r="57" spans="9:12" x14ac:dyDescent="0.2">
      <c r="I57" s="15" t="str">
        <f>IF(B57="","",IF(C57="MXN",$B57,$B57*Categories!$B$3))</f>
        <v/>
      </c>
      <c r="J57" s="11" t="str">
        <f>IF(B57="","",IF(C57="USD", $B57,$B57/Categories!$B$3))</f>
        <v/>
      </c>
      <c r="K57" s="3" t="str">
        <f>IF(B57="","",SUM($K56+(IF(OR($G57=Categories!$C$2,$H57=Categories!$C$2),IF($G57=Categories!$C$2,$I57,-$I57),0))))</f>
        <v/>
      </c>
      <c r="L57" s="3" t="str">
        <f>IF(B57="","",SUM($L56+(IF(OR($G57=Categories!$C$3,$H57=Categories!$C$3),IF($G57=Categories!$C$3,$J57,-$J57),0))))</f>
        <v/>
      </c>
    </row>
    <row r="58" spans="9:12" x14ac:dyDescent="0.2">
      <c r="I58" s="15" t="str">
        <f>IF(B58="","",IF(C58="MXN",$B58,$B58*Categories!$B$3))</f>
        <v/>
      </c>
      <c r="J58" s="11" t="str">
        <f>IF(B58="","",IF(C58="USD", $B58,$B58/Categories!$B$3))</f>
        <v/>
      </c>
      <c r="K58" s="3" t="str">
        <f>IF(B58="","",SUM($K57+(IF(OR($G58=Categories!$C$2,$H58=Categories!$C$2),IF($G58=Categories!$C$2,$I58,-$I58),0))))</f>
        <v/>
      </c>
      <c r="L58" s="3" t="str">
        <f>IF(B58="","",SUM($L57+(IF(OR($G58=Categories!$C$3,$H58=Categories!$C$3),IF($G58=Categories!$C$3,$J58,-$J58),0))))</f>
        <v/>
      </c>
    </row>
    <row r="59" spans="9:12" x14ac:dyDescent="0.2">
      <c r="I59" s="15" t="str">
        <f>IF(B59="","",IF(C59="MXN",$B59,$B59*Categories!$B$3))</f>
        <v/>
      </c>
      <c r="J59" s="11" t="str">
        <f>IF(B59="","",IF(C59="USD", $B59,$B59/Categories!$B$3))</f>
        <v/>
      </c>
      <c r="K59" s="3" t="str">
        <f>IF(B59="","",SUM($K58+(IF(OR($G59=Categories!$C$2,$H59=Categories!$C$2),IF($G59=Categories!$C$2,$I59,-$I59),0))))</f>
        <v/>
      </c>
      <c r="L59" s="3" t="str">
        <f>IF(B59="","",SUM($L58+(IF(OR($G59=Categories!$C$3,$H59=Categories!$C$3),IF($G59=Categories!$C$3,$J59,-$J59),0))))</f>
        <v/>
      </c>
    </row>
    <row r="60" spans="9:12" x14ac:dyDescent="0.2">
      <c r="I60" s="15" t="str">
        <f>IF(B60="","",IF(C60="MXN",$B60,$B60*Categories!$B$3))</f>
        <v/>
      </c>
      <c r="J60" s="11" t="str">
        <f>IF(B60="","",IF(C60="USD", $B60,$B60/Categories!$B$3))</f>
        <v/>
      </c>
      <c r="K60" s="3" t="str">
        <f>IF(B60="","",SUM($K59+(IF(OR($G60=Categories!$C$2,$H60=Categories!$C$2),IF($G60=Categories!$C$2,$I60,-$I60),0))))</f>
        <v/>
      </c>
      <c r="L60" s="3" t="str">
        <f>IF(B60="","",SUM($L59+(IF(OR($G60=Categories!$C$3,$H60=Categories!$C$3),IF($G60=Categories!$C$3,$J60,-$J60),0))))</f>
        <v/>
      </c>
    </row>
    <row r="61" spans="9:12" x14ac:dyDescent="0.2">
      <c r="I61" s="15" t="str">
        <f>IF(B61="","",IF(C61="MXN",$B61,$B61*Categories!$B$3))</f>
        <v/>
      </c>
      <c r="J61" s="11" t="str">
        <f>IF(B61="","",IF(C61="USD", $B61,$B61/Categories!$B$3))</f>
        <v/>
      </c>
      <c r="K61" s="3" t="str">
        <f>IF(B61="","",SUM($K60+(IF(OR($G61=Categories!$C$2,$H61=Categories!$C$2),IF($G61=Categories!$C$2,$I61,-$I61),0))))</f>
        <v/>
      </c>
      <c r="L61" s="3" t="str">
        <f>IF(B61="","",SUM($L60+(IF(OR($G61=Categories!$C$3,$H61=Categories!$C$3),IF($G61=Categories!$C$3,$J61,-$J61),0))))</f>
        <v/>
      </c>
    </row>
    <row r="62" spans="9:12" x14ac:dyDescent="0.2">
      <c r="I62" s="15" t="str">
        <f>IF(B62="","",IF(C62="MXN",$B62,$B62*Categories!$B$3))</f>
        <v/>
      </c>
      <c r="J62" s="11" t="str">
        <f>IF(B62="","",IF(C62="USD", $B62,$B62/Categories!$B$3))</f>
        <v/>
      </c>
      <c r="K62" s="3" t="str">
        <f>IF(B62="","",SUM($K61+(IF(OR($G62=Categories!$C$2,$H62=Categories!$C$2),IF($G62=Categories!$C$2,$I62,-$I62),0))))</f>
        <v/>
      </c>
      <c r="L62" s="3" t="str">
        <f>IF(B62="","",SUM($L61+(IF(OR($G62=Categories!$C$3,$H62=Categories!$C$3),IF($G62=Categories!$C$3,$J62,-$J62),0))))</f>
        <v/>
      </c>
    </row>
    <row r="63" spans="9:12" x14ac:dyDescent="0.2">
      <c r="I63" s="15" t="str">
        <f>IF(B63="","",IF(C63="MXN",$B63,$B63*Categories!$B$3))</f>
        <v/>
      </c>
      <c r="J63" s="11" t="str">
        <f>IF(B63="","",IF(C63="USD", $B63,$B63/Categories!$B$3))</f>
        <v/>
      </c>
      <c r="K63" s="3" t="str">
        <f>IF(B63="","",SUM($K62+(IF(OR($G63=Categories!$C$2,$H63=Categories!$C$2),IF($G63=Categories!$C$2,$I63,-$I63),0))))</f>
        <v/>
      </c>
      <c r="L63" s="3" t="str">
        <f>IF(B63="","",SUM($L62+(IF(OR($G63=Categories!$C$3,$H63=Categories!$C$3),IF($G63=Categories!$C$3,$J63,-$J63),0))))</f>
        <v/>
      </c>
    </row>
    <row r="64" spans="9:12" x14ac:dyDescent="0.2">
      <c r="I64" s="15" t="str">
        <f>IF(B64="","",IF(C64="MXN",$B64,$B64*Categories!$B$3))</f>
        <v/>
      </c>
      <c r="J64" s="11" t="str">
        <f>IF(B64="","",IF(C64="USD", $B64,$B64/Categories!$B$3))</f>
        <v/>
      </c>
      <c r="K64" s="3" t="str">
        <f>IF(B64="","",SUM($K63+(IF(OR($G64=Categories!$C$2,$H64=Categories!$C$2),IF($G64=Categories!$C$2,$I64,-$I64),0))))</f>
        <v/>
      </c>
      <c r="L64" s="3" t="str">
        <f>IF(B64="","",SUM($L63+(IF(OR($G64=Categories!$C$3,$H64=Categories!$C$3),IF($G64=Categories!$C$3,$J64,-$J64),0))))</f>
        <v/>
      </c>
    </row>
    <row r="65" spans="9:12" x14ac:dyDescent="0.2">
      <c r="I65" s="15" t="str">
        <f>IF(B65="","",IF(C65="MXN",$B65,$B65*Categories!$B$3))</f>
        <v/>
      </c>
      <c r="J65" s="11" t="str">
        <f>IF(B65="","",IF(C65="USD", $B65,$B65/Categories!$B$3))</f>
        <v/>
      </c>
      <c r="K65" s="3" t="str">
        <f>IF(B65="","",SUM($K64+(IF(OR($G65=Categories!$C$2,$H65=Categories!$C$2),IF($G65=Categories!$C$2,$I65,-$I65),0))))</f>
        <v/>
      </c>
      <c r="L65" s="3" t="str">
        <f>IF(B65="","",SUM($L64+(IF(OR($G65=Categories!$C$3,$H65=Categories!$C$3),IF($G65=Categories!$C$3,$J65,-$J65),0))))</f>
        <v/>
      </c>
    </row>
    <row r="66" spans="9:12" x14ac:dyDescent="0.2">
      <c r="I66" s="15" t="str">
        <f>IF(B66="","",IF(C66="MXN",$B66,$B66*Categories!$B$3))</f>
        <v/>
      </c>
      <c r="J66" s="11" t="str">
        <f>IF(B66="","",IF(C66="USD", $B66,$B66/Categories!$B$3))</f>
        <v/>
      </c>
      <c r="K66" s="3" t="str">
        <f>IF(B66="","",SUM($K65+(IF(OR($G66=Categories!$C$2,$H66=Categories!$C$2),IF($G66=Categories!$C$2,$I66,-$I66),0))))</f>
        <v/>
      </c>
      <c r="L66" s="3" t="str">
        <f>IF(B66="","",SUM($L65+(IF(OR($G66=Categories!$C$3,$H66=Categories!$C$3),IF($G66=Categories!$C$3,$J66,-$J66),0))))</f>
        <v/>
      </c>
    </row>
    <row r="67" spans="9:12" x14ac:dyDescent="0.2">
      <c r="I67" s="15" t="str">
        <f>IF(B67="","",IF(C67="MXN",$B67,$B67*Categories!$B$3))</f>
        <v/>
      </c>
      <c r="J67" s="11" t="str">
        <f>IF(B67="","",IF(C67="USD", $B67,$B67/Categories!$B$3))</f>
        <v/>
      </c>
      <c r="K67" s="3" t="str">
        <f>IF(B67="","",SUM($K66+(IF(OR($G67=Categories!$C$2,$H67=Categories!$C$2),IF($G67=Categories!$C$2,$I67,-$I67),0))))</f>
        <v/>
      </c>
      <c r="L67" s="3" t="str">
        <f>IF(B67="","",SUM($L66+(IF(OR($G67=Categories!$C$3,$H67=Categories!$C$3),IF($G67=Categories!$C$3,$J67,-$J67),0))))</f>
        <v/>
      </c>
    </row>
    <row r="68" spans="9:12" x14ac:dyDescent="0.2">
      <c r="I68" s="15" t="str">
        <f>IF(B68="","",IF(C68="MXN",$B68,$B68*Categories!$B$3))</f>
        <v/>
      </c>
      <c r="J68" s="11" t="str">
        <f>IF(B68="","",IF(C68="USD", $B68,$B68/Categories!$B$3))</f>
        <v/>
      </c>
      <c r="K68" s="3" t="str">
        <f>IF(B68="","",SUM($K67+(IF(OR($G68=Categories!$C$2,$H68=Categories!$C$2),IF($G68=Categories!$C$2,$I68,-$I68),0))))</f>
        <v/>
      </c>
      <c r="L68" s="3" t="str">
        <f>IF(B68="","",SUM($L67+(IF(OR($G68=Categories!$C$3,$H68=Categories!$C$3),IF($G68=Categories!$C$3,$J68,-$J68),0))))</f>
        <v/>
      </c>
    </row>
    <row r="69" spans="9:12" x14ac:dyDescent="0.2">
      <c r="I69" s="15" t="str">
        <f>IF(B69="","",IF(C69="MXN",$B69,$B69*Categories!$B$3))</f>
        <v/>
      </c>
      <c r="J69" s="11" t="str">
        <f>IF(B69="","",IF(C69="USD", $B69,$B69/Categories!$B$3))</f>
        <v/>
      </c>
      <c r="K69" s="3" t="str">
        <f>IF(B69="","",SUM($K68+(IF(OR($G69=Categories!$C$2,$H69=Categories!$C$2),IF($G69=Categories!$C$2,$I69,-$I69),0))))</f>
        <v/>
      </c>
      <c r="L69" s="3" t="str">
        <f>IF(B69="","",SUM($L68+(IF(OR($G69=Categories!$C$3,$H69=Categories!$C$3),IF($G69=Categories!$C$3,$J69,-$J69),0))))</f>
        <v/>
      </c>
    </row>
    <row r="70" spans="9:12" x14ac:dyDescent="0.2">
      <c r="I70" s="15" t="str">
        <f>IF(B70="","",IF(C70="MXN",$B70,$B70*Categories!$B$3))</f>
        <v/>
      </c>
      <c r="J70" s="11" t="str">
        <f>IF(B70="","",IF(C70="USD", $B70,$B70/Categories!$B$3))</f>
        <v/>
      </c>
      <c r="K70" s="3" t="str">
        <f>IF(B70="","",SUM($K69+(IF(OR($G70=Categories!$C$2,$H70=Categories!$C$2),IF($G70=Categories!$C$2,$I70,-$I70),0))))</f>
        <v/>
      </c>
      <c r="L70" s="3" t="str">
        <f>IF(B70="","",SUM($L69+(IF(OR($G70=Categories!$C$3,$H70=Categories!$C$3),IF($G70=Categories!$C$3,$J70,-$J70),0))))</f>
        <v/>
      </c>
    </row>
    <row r="71" spans="9:12" x14ac:dyDescent="0.2">
      <c r="I71" s="15" t="str">
        <f>IF(B71="","",IF(C71="MXN",$B71,$B71*Categories!$B$3))</f>
        <v/>
      </c>
      <c r="J71" s="11" t="str">
        <f>IF(B71="","",IF(C71="USD", $B71,$B71/Categories!$B$3))</f>
        <v/>
      </c>
      <c r="K71" s="3" t="str">
        <f>IF(B71="","",SUM($K70+(IF(OR($G71=Categories!$C$2,$H71=Categories!$C$2),IF($G71=Categories!$C$2,$I71,-$I71),0))))</f>
        <v/>
      </c>
      <c r="L71" s="3" t="str">
        <f>IF(B71="","",SUM($L70+(IF(OR($G71=Categories!$C$3,$H71=Categories!$C$3),IF($G71=Categories!$C$3,$J71,-$J71),0))))</f>
        <v/>
      </c>
    </row>
    <row r="72" spans="9:12" x14ac:dyDescent="0.2">
      <c r="I72" s="15" t="str">
        <f>IF(B72="","",IF(C72="MXN",$B72,$B72*Categories!$B$3))</f>
        <v/>
      </c>
      <c r="J72" s="11" t="str">
        <f>IF(B72="","",IF(C72="USD", $B72,$B72/Categories!$B$3))</f>
        <v/>
      </c>
      <c r="K72" s="3" t="str">
        <f>IF(B72="","",SUM($K71+(IF(OR($G72=Categories!$C$2,$H72=Categories!$C$2),IF($G72=Categories!$C$2,$I72,-$I72),0))))</f>
        <v/>
      </c>
      <c r="L72" s="3" t="str">
        <f>IF(B72="","",SUM($L71+(IF(OR($G72=Categories!$C$3,$H72=Categories!$C$3),IF($G72=Categories!$C$3,$J72,-$J72),0))))</f>
        <v/>
      </c>
    </row>
    <row r="73" spans="9:12" x14ac:dyDescent="0.2">
      <c r="I73" s="15" t="str">
        <f>IF(B73="","",IF(C73="MXN",$B73,$B73*Categories!$B$3))</f>
        <v/>
      </c>
      <c r="J73" s="11" t="str">
        <f>IF(B73="","",IF(C73="USD", $B73,$B73/Categories!$B$3))</f>
        <v/>
      </c>
      <c r="K73" s="3" t="str">
        <f>IF(B73="","",SUM($K72+(IF(OR($G73=Categories!$C$2,$H73=Categories!$C$2),IF($G73=Categories!$C$2,$I73,-$I73),0))))</f>
        <v/>
      </c>
      <c r="L73" s="3" t="str">
        <f>IF(B73="","",SUM($L72+(IF(OR($G73=Categories!$C$3,$H73=Categories!$C$3),IF($G73=Categories!$C$3,$J73,-$J73),0))))</f>
        <v/>
      </c>
    </row>
    <row r="74" spans="9:12" x14ac:dyDescent="0.2">
      <c r="I74" s="15" t="str">
        <f>IF(B74="","",IF(C74="MXN",$B74,$B74*Categories!$B$3))</f>
        <v/>
      </c>
      <c r="J74" s="11" t="str">
        <f>IF(B74="","",IF(C74="USD", $B74,$B74/Categories!$B$3))</f>
        <v/>
      </c>
      <c r="K74" s="3" t="str">
        <f>IF(B74="","",SUM($K73+(IF(OR($G74=Categories!$C$2,$H74=Categories!$C$2),IF($G74=Categories!$C$2,$I74,-$I74),0))))</f>
        <v/>
      </c>
      <c r="L74" s="3" t="str">
        <f>IF(B74="","",SUM($L73+(IF(OR($G74=Categories!$C$3,$H74=Categories!$C$3),IF($G74=Categories!$C$3,$J74,-$J74),0))))</f>
        <v/>
      </c>
    </row>
    <row r="75" spans="9:12" x14ac:dyDescent="0.2">
      <c r="I75" s="15" t="str">
        <f>IF(B75="","",IF(C75="MXN",$B75,$B75*Categories!$B$3))</f>
        <v/>
      </c>
      <c r="J75" s="11" t="str">
        <f>IF(B75="","",IF(C75="USD", $B75,$B75/Categories!$B$3))</f>
        <v/>
      </c>
      <c r="K75" s="3" t="str">
        <f>IF(B75="","",SUM($K74+(IF(OR($G75=Categories!$C$2,$H75=Categories!$C$2),IF($G75=Categories!$C$2,$I75,-$I75),0))))</f>
        <v/>
      </c>
      <c r="L75" s="3" t="str">
        <f>IF(B75="","",SUM($L74+(IF(OR($G75=Categories!$C$3,$H75=Categories!$C$3),IF($G75=Categories!$C$3,$J75,-$J75),0))))</f>
        <v/>
      </c>
    </row>
    <row r="76" spans="9:12" x14ac:dyDescent="0.2">
      <c r="I76" s="15" t="str">
        <f>IF(B76="","",IF(C76="MXN",$B76,$B76*Categories!$B$3))</f>
        <v/>
      </c>
      <c r="J76" s="11" t="str">
        <f>IF(B76="","",IF(C76="USD", $B76,$B76/Categories!$B$3))</f>
        <v/>
      </c>
      <c r="K76" s="3" t="str">
        <f>IF(B76="","",SUM($K75+(IF(OR($G76=Categories!$C$2,$H76=Categories!$C$2),IF($G76=Categories!$C$2,$I76,-$I76),0))))</f>
        <v/>
      </c>
      <c r="L76" s="3" t="str">
        <f>IF(B76="","",SUM($L75+(IF(OR($G76=Categories!$C$3,$H76=Categories!$C$3),IF($G76=Categories!$C$3,$J76,-$J76),0))))</f>
        <v/>
      </c>
    </row>
    <row r="77" spans="9:12" x14ac:dyDescent="0.2">
      <c r="I77" s="15" t="str">
        <f>IF(B77="","",IF(C77="MXN",$B77,$B77*Categories!$B$3))</f>
        <v/>
      </c>
      <c r="J77" s="11" t="str">
        <f>IF(B77="","",IF(C77="USD", $B77,$B77/Categories!$B$3))</f>
        <v/>
      </c>
      <c r="K77" s="3" t="str">
        <f>IF(B77="","",SUM($K76+(IF(OR($G77=Categories!$C$2,$H77=Categories!$C$2),IF($G77=Categories!$C$2,$I77,-$I77),0))))</f>
        <v/>
      </c>
      <c r="L77" s="3" t="str">
        <f>IF(B77="","",SUM($L76+(IF(OR($G77=Categories!$C$3,$H77=Categories!$C$3),IF($G77=Categories!$C$3,$J77,-$J77),0))))</f>
        <v/>
      </c>
    </row>
    <row r="78" spans="9:12" x14ac:dyDescent="0.2">
      <c r="I78" s="15" t="str">
        <f>IF(B78="","",IF(C78="MXN",$B78,$B78*Categories!$B$3))</f>
        <v/>
      </c>
      <c r="J78" s="11" t="str">
        <f>IF(B78="","",IF(C78="USD", $B78,$B78/Categories!$B$3))</f>
        <v/>
      </c>
      <c r="K78" s="3" t="str">
        <f>IF(B78="","",SUM($K77+(IF(OR($G78=Categories!$C$2,$H78=Categories!$C$2),IF($G78=Categories!$C$2,$I78,-$I78),0))))</f>
        <v/>
      </c>
      <c r="L78" s="3" t="str">
        <f>IF(B78="","",SUM($L77+(IF(OR($G78=Categories!$C$3,$H78=Categories!$C$3),IF($G78=Categories!$C$3,$J78,-$J78),0))))</f>
        <v/>
      </c>
    </row>
  </sheetData>
  <conditionalFormatting sqref="D1:D1048576">
    <cfRule type="containsText" dxfId="0" priority="1" operator="containsText" text="No">
      <formula>NOT(ISERROR(SEARCH("No",D1)))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249378D-A657-6049-9DE2-EA7817D20F7F}">
          <x14:formula1>
            <xm:f>Categories!$A$2:$A$3</xm:f>
          </x14:formula1>
          <xm:sqref>C2:C1048576</xm:sqref>
        </x14:dataValidation>
        <x14:dataValidation type="list" allowBlank="1" showInputMessage="1" showErrorMessage="1" xr:uid="{3D1A12C6-B28A-664B-BF65-E9FAAF04F19B}">
          <x14:formula1>
            <xm:f>Categories!$F$2:$F$3</xm:f>
          </x14:formula1>
          <xm:sqref>D2:D1048576</xm:sqref>
        </x14:dataValidation>
        <x14:dataValidation type="list" allowBlank="1" showInputMessage="1" showErrorMessage="1" xr:uid="{8F6E08B7-77ED-BD46-BB12-E1EE56E95326}">
          <x14:formula1>
            <xm:f>Categories!$C$2:$C$17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F3A6-09CD-CA41-8CEF-3977B5FF23D4}">
  <dimension ref="A1:H32"/>
  <sheetViews>
    <sheetView workbookViewId="0">
      <selection sqref="A1:H20"/>
    </sheetView>
  </sheetViews>
  <sheetFormatPr baseColWidth="10" defaultRowHeight="16" x14ac:dyDescent="0.2"/>
  <cols>
    <col min="1" max="1" width="18" bestFit="1" customWidth="1"/>
    <col min="2" max="2" width="12.5" bestFit="1" customWidth="1"/>
    <col min="5" max="5" width="15.33203125" bestFit="1" customWidth="1"/>
  </cols>
  <sheetData>
    <row r="1" spans="1:8" s="16" customFormat="1" ht="25" thickBot="1" x14ac:dyDescent="0.35">
      <c r="A1" s="20" t="s">
        <v>2</v>
      </c>
      <c r="B1" s="21" t="s">
        <v>26</v>
      </c>
      <c r="C1" s="21" t="s">
        <v>6</v>
      </c>
      <c r="D1" s="22" t="s">
        <v>7</v>
      </c>
      <c r="E1" s="20" t="s">
        <v>2</v>
      </c>
      <c r="F1" s="21" t="s">
        <v>26</v>
      </c>
      <c r="G1" s="21" t="s">
        <v>6</v>
      </c>
      <c r="H1" s="22" t="s">
        <v>7</v>
      </c>
    </row>
    <row r="2" spans="1:8" ht="17" thickBot="1" x14ac:dyDescent="0.25">
      <c r="A2" s="27" t="s">
        <v>38</v>
      </c>
      <c r="B2" s="28"/>
      <c r="C2" s="28"/>
      <c r="D2" s="29"/>
      <c r="E2" s="27" t="s">
        <v>48</v>
      </c>
      <c r="F2" s="28"/>
      <c r="G2" s="28"/>
      <c r="H2" s="29"/>
    </row>
    <row r="3" spans="1:8" x14ac:dyDescent="0.2">
      <c r="A3" s="17" t="str">
        <f>Categories!$C$3</f>
        <v>CIFAP</v>
      </c>
      <c r="B3" s="37">
        <f>C3-D3</f>
        <v>17902.560000000001</v>
      </c>
      <c r="C3" s="12">
        <f>SUMIF(Log!$G:$G,'CIFAP Balance Sheet'!A3,Log!$J:$J)</f>
        <v>25000</v>
      </c>
      <c r="D3" s="18">
        <f>SUMIF(Log!$H:$H,'CIFAP Balance Sheet'!A3,Log!$J:$J)</f>
        <v>7097.44</v>
      </c>
      <c r="E3" s="24" t="str">
        <f>Categories!$C$9</f>
        <v>Stephen</v>
      </c>
      <c r="F3" s="37">
        <f>H3-G3</f>
        <v>5761.04</v>
      </c>
      <c r="G3" s="25">
        <f>SUMIF(Log!$G:$G,'CIFAP Balance Sheet'!E3,Log!$J:$J)</f>
        <v>3673.6899999999996</v>
      </c>
      <c r="H3" s="26">
        <f>SUMIF(Log!$H:$H,'CIFAP Balance Sheet'!E3,Log!$J:$J)</f>
        <v>9434.73</v>
      </c>
    </row>
    <row r="4" spans="1:8" x14ac:dyDescent="0.2">
      <c r="A4" s="17" t="str">
        <f>Categories!C15</f>
        <v>Per Diem</v>
      </c>
      <c r="B4" s="8">
        <f>C4-D4</f>
        <v>1020.89</v>
      </c>
      <c r="C4" s="12">
        <f>SUMIF(Log!$G:$G,'CIFAP Balance Sheet'!A4,Log!$J:$J)</f>
        <v>1423.75</v>
      </c>
      <c r="D4" s="18">
        <f>SUMIF(Log!$H:$H,'CIFAP Balance Sheet'!A4,Log!$J:$J)</f>
        <v>402.86</v>
      </c>
      <c r="E4" s="17"/>
      <c r="F4" s="8"/>
      <c r="G4" s="12"/>
      <c r="H4" s="18"/>
    </row>
    <row r="5" spans="1:8" x14ac:dyDescent="0.2">
      <c r="A5" s="17" t="str">
        <f>Categories!$C$2</f>
        <v>Cash</v>
      </c>
      <c r="B5" s="8">
        <f>C5-D5</f>
        <v>1326.8600000000001</v>
      </c>
      <c r="C5" s="12">
        <f>SUMIF(Log!$G:$G,'CIFAP Balance Sheet'!A5,Log!$J:$J)</f>
        <v>2402.86</v>
      </c>
      <c r="D5" s="18">
        <f>SUMIF(Log!$H:$H,'CIFAP Balance Sheet'!A5,Log!$J:$J)</f>
        <v>1076</v>
      </c>
      <c r="E5" s="17" t="str">
        <f>Categories!$C$10</f>
        <v>Grant</v>
      </c>
      <c r="F5" s="8">
        <f>H5-G5</f>
        <v>0</v>
      </c>
      <c r="G5" s="12">
        <f>SUMIF(Log!$G:$G,'CIFAP Balance Sheet'!E5,Log!$J:$J)</f>
        <v>0</v>
      </c>
      <c r="H5" s="18">
        <f>SUMIF(Log!$H:$H,'CIFAP Balance Sheet'!E5,Log!$J:$J)</f>
        <v>0</v>
      </c>
    </row>
    <row r="6" spans="1:8" x14ac:dyDescent="0.2">
      <c r="A6" s="17" t="str">
        <f>Categories!$C$11</f>
        <v>Accounts Receivable</v>
      </c>
      <c r="B6" s="38">
        <f>C6-D6</f>
        <v>4814</v>
      </c>
      <c r="C6" s="12">
        <f>SUMIF(Log!$G:$G,'CIFAP Balance Sheet'!A6,Log!$J:$J)</f>
        <v>5109</v>
      </c>
      <c r="D6" s="18">
        <f>SUMIF(Log!$H:$H,'CIFAP Balance Sheet'!A6,Log!$J:$J)</f>
        <v>295</v>
      </c>
      <c r="E6" s="17" t="str">
        <f>Categories!$C$12</f>
        <v>Accounts Payable</v>
      </c>
      <c r="F6" s="38">
        <f>H6-G6</f>
        <v>0</v>
      </c>
      <c r="G6" s="12">
        <f>SUMIF(Log!$G:$G,'CIFAP Balance Sheet'!E6,Log!$J:$J)</f>
        <v>0</v>
      </c>
      <c r="H6" s="18">
        <f>SUMIF(Log!$H:$H,'CIFAP Balance Sheet'!E6,Log!$J:$J)</f>
        <v>0</v>
      </c>
    </row>
    <row r="7" spans="1:8" ht="20" thickBot="1" x14ac:dyDescent="0.3">
      <c r="A7" s="31" t="s">
        <v>52</v>
      </c>
      <c r="B7" s="35">
        <f>SUM(B3:B6)</f>
        <v>25064.31</v>
      </c>
      <c r="C7" s="35"/>
      <c r="D7" s="36"/>
      <c r="E7" s="31" t="s">
        <v>50</v>
      </c>
      <c r="F7" s="35">
        <f>SUM(F3:F5)</f>
        <v>5761.04</v>
      </c>
      <c r="G7" s="35"/>
      <c r="H7" s="36"/>
    </row>
    <row r="8" spans="1:8" ht="17" thickBot="1" x14ac:dyDescent="0.25">
      <c r="A8" s="17"/>
      <c r="B8" s="12"/>
      <c r="C8" s="12"/>
      <c r="D8" s="18"/>
      <c r="E8" s="17"/>
      <c r="F8" s="12"/>
      <c r="G8" s="12"/>
      <c r="H8" s="18"/>
    </row>
    <row r="9" spans="1:8" ht="17" thickBot="1" x14ac:dyDescent="0.25">
      <c r="A9" s="27" t="s">
        <v>51</v>
      </c>
      <c r="B9" s="28"/>
      <c r="C9" s="28"/>
      <c r="D9" s="29"/>
      <c r="E9" s="17"/>
      <c r="F9" s="12"/>
      <c r="G9" s="12"/>
      <c r="H9" s="18"/>
    </row>
    <row r="10" spans="1:8" x14ac:dyDescent="0.2">
      <c r="A10" s="17" t="str">
        <f>Categories!C4</f>
        <v>Travel</v>
      </c>
      <c r="B10" s="37">
        <f>SUM(C10-D10)</f>
        <v>2083.9300000000003</v>
      </c>
      <c r="C10" s="12">
        <f>SUMIF(Log!G:G,'CIFAP Balance Sheet'!$A10,Log!J:J)</f>
        <v>2083.9300000000003</v>
      </c>
      <c r="D10" s="18">
        <f>SUMIF(Log!H:H,'CIFAP Balance Sheet'!$A10,Log!J:J)</f>
        <v>0</v>
      </c>
      <c r="E10" s="17"/>
      <c r="F10" s="12"/>
      <c r="G10" s="12"/>
      <c r="H10" s="18"/>
    </row>
    <row r="11" spans="1:8" x14ac:dyDescent="0.2">
      <c r="A11" s="17" t="str">
        <f>Categories!C14</f>
        <v>Lodging</v>
      </c>
      <c r="B11" s="8">
        <f t="shared" ref="B11:B12" si="0">SUM(C11-D11)</f>
        <v>143.44999999999999</v>
      </c>
      <c r="C11" s="12">
        <f>SUMIF(Log!G:G,'CIFAP Balance Sheet'!$A11,Log!J:J)</f>
        <v>143.44999999999999</v>
      </c>
      <c r="D11" s="18">
        <f>SUMIF(Log!H:H,'CIFAP Balance Sheet'!$A11,Log!J:J)</f>
        <v>0</v>
      </c>
      <c r="E11" s="17"/>
      <c r="F11" s="12"/>
      <c r="G11" s="12"/>
      <c r="H11" s="18"/>
    </row>
    <row r="12" spans="1:8" x14ac:dyDescent="0.2">
      <c r="A12" s="17" t="str">
        <f>Categories!C16</f>
        <v>Per Diem Exp.</v>
      </c>
      <c r="B12" s="8">
        <f t="shared" si="0"/>
        <v>253.83999999999997</v>
      </c>
      <c r="C12" s="12">
        <f>SUMIF(Log!G:G,'CIFAP Balance Sheet'!$A12,Log!J:J)</f>
        <v>253.83999999999997</v>
      </c>
      <c r="D12" s="18">
        <f>SUMIF(Log!H:H,'CIFAP Balance Sheet'!$A12,Log!J:J)</f>
        <v>0</v>
      </c>
      <c r="E12" s="17"/>
      <c r="F12" s="12"/>
      <c r="G12" s="12"/>
      <c r="H12" s="18"/>
    </row>
    <row r="13" spans="1:8" x14ac:dyDescent="0.2">
      <c r="A13" s="17" t="str">
        <f>Categories!C13</f>
        <v>March Trip</v>
      </c>
      <c r="B13" s="8">
        <f t="shared" ref="B13" si="1">SUM(C13-D13)</f>
        <v>2068.7199999999998</v>
      </c>
      <c r="C13" s="12">
        <f>SUMIF(Log!G:G,'CIFAP Balance Sheet'!$A13,Log!J:J)</f>
        <v>2068.7199999999998</v>
      </c>
      <c r="D13" s="18">
        <f>SUMIF(Log!H:H,'CIFAP Balance Sheet'!$A13,Log!J:J)</f>
        <v>0</v>
      </c>
      <c r="E13" s="17"/>
      <c r="F13" s="12"/>
      <c r="G13" s="12"/>
      <c r="H13" s="18"/>
    </row>
    <row r="14" spans="1:8" x14ac:dyDescent="0.2">
      <c r="A14" s="17" t="str">
        <f>Categories!C5</f>
        <v>Food</v>
      </c>
      <c r="B14" s="8">
        <f t="shared" ref="B14:B16" si="2">SUM(C14-D14)</f>
        <v>0</v>
      </c>
      <c r="C14" s="12">
        <f>SUMIF(Log!G:G,'CIFAP Balance Sheet'!$A14,Log!J:J)</f>
        <v>0</v>
      </c>
      <c r="D14" s="18">
        <f>SUMIF(Log!H:H,'CIFAP Balance Sheet'!$A14,Log!J:J)</f>
        <v>0</v>
      </c>
      <c r="E14" s="17"/>
      <c r="F14" s="12"/>
      <c r="G14" s="12"/>
      <c r="H14" s="18"/>
    </row>
    <row r="15" spans="1:8" x14ac:dyDescent="0.2">
      <c r="A15" s="17" t="str">
        <f>Categories!C6</f>
        <v>Enumerators</v>
      </c>
      <c r="B15" s="8">
        <f t="shared" si="2"/>
        <v>336</v>
      </c>
      <c r="C15" s="12">
        <f>SUMIF(Log!G:G,'CIFAP Balance Sheet'!$A15,Log!J:J)</f>
        <v>336</v>
      </c>
      <c r="D15" s="18">
        <f>SUMIF(Log!H:H,'CIFAP Balance Sheet'!$A15,Log!J:J)</f>
        <v>0</v>
      </c>
      <c r="E15" s="17"/>
      <c r="F15" s="12"/>
      <c r="G15" s="12"/>
      <c r="H15" s="18"/>
    </row>
    <row r="16" spans="1:8" ht="17" thickBot="1" x14ac:dyDescent="0.25">
      <c r="A16" s="17" t="str">
        <f>Categories!C7</f>
        <v>Supplies</v>
      </c>
      <c r="B16" s="38">
        <f t="shared" si="2"/>
        <v>810.79</v>
      </c>
      <c r="C16" s="12">
        <f>SUMIF(Log!G:G,'CIFAP Balance Sheet'!$A16,Log!J:J)</f>
        <v>810.79</v>
      </c>
      <c r="D16" s="18">
        <f>SUMIF(Log!H:H,'CIFAP Balance Sheet'!$A16,Log!J:J)</f>
        <v>0</v>
      </c>
      <c r="E16" s="17"/>
      <c r="F16" s="12"/>
      <c r="G16" s="12"/>
      <c r="H16" s="18"/>
    </row>
    <row r="17" spans="1:8" ht="20" thickBot="1" x14ac:dyDescent="0.3">
      <c r="A17" s="31" t="s">
        <v>42</v>
      </c>
      <c r="B17" s="35">
        <f>SUM(B10:B16)</f>
        <v>5696.7300000000005</v>
      </c>
      <c r="C17" s="35"/>
      <c r="D17" s="36"/>
      <c r="E17" s="27" t="s">
        <v>39</v>
      </c>
      <c r="F17" s="28"/>
      <c r="G17" s="28"/>
      <c r="H17" s="29"/>
    </row>
    <row r="18" spans="1:8" ht="20" thickBot="1" x14ac:dyDescent="0.3">
      <c r="A18" s="17"/>
      <c r="B18" s="12"/>
      <c r="C18" s="12"/>
      <c r="D18" s="18"/>
      <c r="E18" s="19" t="str">
        <f>Categories!$C$8</f>
        <v>Funding</v>
      </c>
      <c r="F18" s="39">
        <f>H18-G18</f>
        <v>25000</v>
      </c>
      <c r="G18" s="23">
        <f>SUMIF(Log!$G:$G,'CIFAP Balance Sheet'!E18,Log!$J:$J)</f>
        <v>0</v>
      </c>
      <c r="H18" s="30">
        <f>SUMIF(Log!$H:$H,'CIFAP Balance Sheet'!E18,Log!$J:$J)</f>
        <v>25000</v>
      </c>
    </row>
    <row r="19" spans="1:8" ht="17" thickBot="1" x14ac:dyDescent="0.25">
      <c r="A19" s="27" t="s">
        <v>56</v>
      </c>
      <c r="B19" s="28"/>
      <c r="C19" s="28"/>
      <c r="D19" s="29"/>
      <c r="E19" s="27" t="s">
        <v>49</v>
      </c>
      <c r="F19" s="28"/>
      <c r="G19" s="28"/>
      <c r="H19" s="29"/>
    </row>
    <row r="20" spans="1:8" ht="20" thickBot="1" x14ac:dyDescent="0.3">
      <c r="A20" s="32">
        <f>SUM(B7+B17)</f>
        <v>30761.040000000001</v>
      </c>
      <c r="B20" s="33"/>
      <c r="C20" s="33"/>
      <c r="D20" s="34"/>
      <c r="E20" s="32">
        <f>SUM(F7+F18)</f>
        <v>30761.040000000001</v>
      </c>
      <c r="F20" s="33"/>
      <c r="G20" s="33"/>
      <c r="H20" s="34"/>
    </row>
    <row r="26" spans="1:8" x14ac:dyDescent="0.2">
      <c r="D26" s="12"/>
    </row>
    <row r="31" spans="1:8" x14ac:dyDescent="0.2">
      <c r="E31" s="12"/>
    </row>
    <row r="32" spans="1:8" x14ac:dyDescent="0.2">
      <c r="D32" s="12"/>
    </row>
  </sheetData>
  <mergeCells count="11">
    <mergeCell ref="A20:D20"/>
    <mergeCell ref="E20:H20"/>
    <mergeCell ref="F7:H7"/>
    <mergeCell ref="B7:D7"/>
    <mergeCell ref="A9:D9"/>
    <mergeCell ref="B17:D17"/>
    <mergeCell ref="A2:D2"/>
    <mergeCell ref="E2:H2"/>
    <mergeCell ref="E17:H17"/>
    <mergeCell ref="A19:D19"/>
    <mergeCell ref="E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49-4C4C-924B-8FDF-D97A51BE5BE8}">
  <dimension ref="A1:F16"/>
  <sheetViews>
    <sheetView tabSelected="1" workbookViewId="0">
      <selection activeCell="D19" sqref="D19"/>
    </sheetView>
  </sheetViews>
  <sheetFormatPr baseColWidth="10" defaultRowHeight="16" x14ac:dyDescent="0.2"/>
  <cols>
    <col min="2" max="2" width="13.1640625" bestFit="1" customWidth="1"/>
    <col min="3" max="3" width="18" bestFit="1" customWidth="1"/>
    <col min="4" max="4" width="14" bestFit="1" customWidth="1"/>
    <col min="5" max="5" width="15.83203125" bestFit="1" customWidth="1"/>
  </cols>
  <sheetData>
    <row r="1" spans="1:6" x14ac:dyDescent="0.2">
      <c r="A1" t="s">
        <v>11</v>
      </c>
      <c r="B1" t="s">
        <v>23</v>
      </c>
      <c r="C1" t="s">
        <v>12</v>
      </c>
      <c r="D1" t="s">
        <v>13</v>
      </c>
      <c r="E1" t="s">
        <v>15</v>
      </c>
      <c r="F1" t="s">
        <v>32</v>
      </c>
    </row>
    <row r="2" spans="1:6" x14ac:dyDescent="0.2">
      <c r="A2" t="s">
        <v>4</v>
      </c>
      <c r="B2">
        <v>1</v>
      </c>
      <c r="C2" t="s">
        <v>27</v>
      </c>
      <c r="D2" t="s">
        <v>16</v>
      </c>
      <c r="E2" t="s">
        <v>20</v>
      </c>
      <c r="F2" t="s">
        <v>33</v>
      </c>
    </row>
    <row r="3" spans="1:6" x14ac:dyDescent="0.2">
      <c r="A3" t="s">
        <v>3</v>
      </c>
      <c r="B3" s="9">
        <v>20</v>
      </c>
      <c r="C3" t="s">
        <v>36</v>
      </c>
      <c r="D3" t="s">
        <v>71</v>
      </c>
      <c r="E3" t="s">
        <v>19</v>
      </c>
      <c r="F3" t="s">
        <v>34</v>
      </c>
    </row>
    <row r="4" spans="1:6" x14ac:dyDescent="0.2">
      <c r="C4" t="s">
        <v>14</v>
      </c>
      <c r="E4" t="s">
        <v>18</v>
      </c>
    </row>
    <row r="5" spans="1:6" x14ac:dyDescent="0.2">
      <c r="C5" t="s">
        <v>17</v>
      </c>
    </row>
    <row r="6" spans="1:6" x14ac:dyDescent="0.2">
      <c r="C6" t="s">
        <v>21</v>
      </c>
    </row>
    <row r="7" spans="1:6" x14ac:dyDescent="0.2">
      <c r="C7" t="s">
        <v>22</v>
      </c>
    </row>
    <row r="8" spans="1:6" x14ac:dyDescent="0.2">
      <c r="C8" t="s">
        <v>35</v>
      </c>
    </row>
    <row r="9" spans="1:6" x14ac:dyDescent="0.2">
      <c r="C9" t="s">
        <v>47</v>
      </c>
    </row>
    <row r="10" spans="1:6" x14ac:dyDescent="0.2">
      <c r="C10" t="s">
        <v>46</v>
      </c>
    </row>
    <row r="11" spans="1:6" x14ac:dyDescent="0.2">
      <c r="C11" t="s">
        <v>54</v>
      </c>
    </row>
    <row r="12" spans="1:6" x14ac:dyDescent="0.2">
      <c r="C12" t="s">
        <v>55</v>
      </c>
    </row>
    <row r="13" spans="1:6" x14ac:dyDescent="0.2">
      <c r="C13" t="s">
        <v>60</v>
      </c>
    </row>
    <row r="14" spans="1:6" x14ac:dyDescent="0.2">
      <c r="C14" t="s">
        <v>70</v>
      </c>
    </row>
    <row r="15" spans="1:6" x14ac:dyDescent="0.2">
      <c r="C15" t="s">
        <v>71</v>
      </c>
    </row>
    <row r="16" spans="1:6" x14ac:dyDescent="0.2">
      <c r="C1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E63F-5694-BB42-BA37-49440E5C6F05}">
  <dimension ref="A1:J5"/>
  <sheetViews>
    <sheetView workbookViewId="0">
      <selection activeCell="F5" sqref="F5"/>
    </sheetView>
  </sheetViews>
  <sheetFormatPr baseColWidth="10" defaultRowHeight="16" x14ac:dyDescent="0.2"/>
  <cols>
    <col min="2" max="2" width="29.5" style="2" customWidth="1"/>
    <col min="7" max="7" width="12.5" style="3" bestFit="1" customWidth="1"/>
    <col min="8" max="8" width="11.5" style="3" bestFit="1" customWidth="1"/>
    <col min="9" max="9" width="10.83203125" style="3"/>
    <col min="10" max="10" width="11.5" style="3" bestFit="1" customWidth="1"/>
  </cols>
  <sheetData>
    <row r="1" spans="1:10" ht="17" x14ac:dyDescent="0.2">
      <c r="A1" t="s">
        <v>0</v>
      </c>
      <c r="B1" s="2" t="s">
        <v>1</v>
      </c>
      <c r="C1" t="s">
        <v>2</v>
      </c>
      <c r="D1" t="s">
        <v>13</v>
      </c>
      <c r="E1" t="s">
        <v>11</v>
      </c>
      <c r="F1" t="s">
        <v>4</v>
      </c>
      <c r="G1" s="3" t="s">
        <v>3</v>
      </c>
      <c r="H1" s="3" t="s">
        <v>6</v>
      </c>
      <c r="I1" s="3" t="s">
        <v>7</v>
      </c>
      <c r="J1" s="3" t="s">
        <v>5</v>
      </c>
    </row>
    <row r="2" spans="1:10" ht="17" x14ac:dyDescent="0.2">
      <c r="A2" s="1">
        <v>44732</v>
      </c>
      <c r="B2" s="2" t="s">
        <v>10</v>
      </c>
      <c r="F2">
        <v>0</v>
      </c>
      <c r="G2" s="3">
        <f>F2/Categories!$B$3</f>
        <v>0</v>
      </c>
      <c r="H2" s="3">
        <v>0</v>
      </c>
      <c r="I2" s="3">
        <v>0</v>
      </c>
      <c r="J2" s="3">
        <v>0</v>
      </c>
    </row>
    <row r="3" spans="1:10" ht="17" x14ac:dyDescent="0.2">
      <c r="A3" s="1">
        <v>44732</v>
      </c>
      <c r="B3" s="2" t="s">
        <v>8</v>
      </c>
      <c r="C3" t="s">
        <v>9</v>
      </c>
      <c r="E3" t="s">
        <v>4</v>
      </c>
      <c r="F3">
        <v>40000</v>
      </c>
      <c r="G3" s="3">
        <f>F3/Categories!$B$3</f>
        <v>2000</v>
      </c>
      <c r="H3" s="3">
        <v>40000</v>
      </c>
      <c r="I3" s="3">
        <v>0</v>
      </c>
      <c r="J3" s="3">
        <f>J2+H3-I3</f>
        <v>40000</v>
      </c>
    </row>
    <row r="4" spans="1:10" ht="17" x14ac:dyDescent="0.2">
      <c r="A4" s="6">
        <v>44732</v>
      </c>
      <c r="B4" s="2" t="s">
        <v>28</v>
      </c>
      <c r="C4" t="s">
        <v>22</v>
      </c>
      <c r="E4" t="s">
        <v>4</v>
      </c>
      <c r="F4">
        <v>2000</v>
      </c>
      <c r="G4" s="3">
        <f>F4/Categories!$B$3</f>
        <v>100</v>
      </c>
      <c r="I4">
        <v>2000</v>
      </c>
      <c r="J4" s="3">
        <f>J3+H4-I4</f>
        <v>38000</v>
      </c>
    </row>
    <row r="5" spans="1:10" ht="17" x14ac:dyDescent="0.2">
      <c r="A5" s="7">
        <v>44732</v>
      </c>
      <c r="B5" s="2" t="s">
        <v>29</v>
      </c>
      <c r="C5" t="s">
        <v>14</v>
      </c>
      <c r="E5" t="s">
        <v>4</v>
      </c>
      <c r="F5">
        <v>5900</v>
      </c>
      <c r="G5" s="3">
        <f>F5/Categories!$B$3</f>
        <v>295</v>
      </c>
      <c r="I5" s="3">
        <v>5900</v>
      </c>
      <c r="J5" s="3">
        <f>J4+H5-I5</f>
        <v>32100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E29481-8D79-0849-8073-2DE71E55C2E5}">
          <x14:formula1>
            <xm:f>Categories!$A$2:$A$3</xm:f>
          </x14:formula1>
          <xm:sqref>E2:E4</xm:sqref>
        </x14:dataValidation>
        <x14:dataValidation type="list" allowBlank="1" showInputMessage="1" showErrorMessage="1" xr:uid="{255BED1F-1AEC-164E-996B-73A8000690E2}">
          <x14:formula1>
            <xm:f>Categories!$C$3:$C$16</xm:f>
          </x14:formula1>
          <xm:sqref>C2:D4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77EB-9503-714D-B833-CB283963E9E0}">
  <dimension ref="A1:I22"/>
  <sheetViews>
    <sheetView workbookViewId="0">
      <selection activeCell="G28" sqref="G28"/>
    </sheetView>
  </sheetViews>
  <sheetFormatPr baseColWidth="10" defaultRowHeight="16" x14ac:dyDescent="0.2"/>
  <cols>
    <col min="1" max="1" width="13.33203125" bestFit="1" customWidth="1"/>
    <col min="2" max="2" width="12.5" bestFit="1" customWidth="1"/>
    <col min="6" max="6" width="13.33203125" bestFit="1" customWidth="1"/>
  </cols>
  <sheetData>
    <row r="1" spans="1:9" x14ac:dyDescent="0.2">
      <c r="A1" s="14" t="s">
        <v>40</v>
      </c>
      <c r="B1" s="14"/>
      <c r="C1" s="14"/>
      <c r="D1" s="14"/>
      <c r="F1" s="14" t="s">
        <v>41</v>
      </c>
      <c r="G1" s="14"/>
      <c r="H1" s="14"/>
      <c r="I1" s="14"/>
    </row>
    <row r="2" spans="1:9" x14ac:dyDescent="0.2">
      <c r="A2" t="s">
        <v>2</v>
      </c>
      <c r="B2" t="s">
        <v>26</v>
      </c>
      <c r="C2" t="s">
        <v>6</v>
      </c>
      <c r="D2" t="s">
        <v>7</v>
      </c>
      <c r="F2" t="s">
        <v>2</v>
      </c>
      <c r="G2" t="s">
        <v>26</v>
      </c>
      <c r="H2" t="s">
        <v>6</v>
      </c>
      <c r="I2" t="s">
        <v>7</v>
      </c>
    </row>
    <row r="4" spans="1:9" x14ac:dyDescent="0.2">
      <c r="A4" t="str">
        <f>Categories!$C$3</f>
        <v>CIFAP</v>
      </c>
      <c r="B4">
        <f>C4-D4</f>
        <v>17902.560000000001</v>
      </c>
      <c r="C4">
        <f>SUMIF(Log!$G:$G,'Budget Summary (old)'!A4,Log!$J:$J)</f>
        <v>25000</v>
      </c>
      <c r="D4">
        <f>SUMIF(Log!$H:$H,'Budget Summary (old)'!A4,Log!$J:$J)</f>
        <v>7097.44</v>
      </c>
      <c r="F4" t="str">
        <f>Categories!C5</f>
        <v>Food</v>
      </c>
      <c r="G4">
        <f>SUM(H4-I4)</f>
        <v>0</v>
      </c>
      <c r="H4">
        <f>SUMIF(Log!G:G,'Budget Summary (old)'!$F4,Log!J:J)</f>
        <v>0</v>
      </c>
      <c r="I4">
        <f>SUMIF(Log!H:H,'Budget Summary (old)'!$F4,Log!J:J)</f>
        <v>0</v>
      </c>
    </row>
    <row r="5" spans="1:9" x14ac:dyDescent="0.2">
      <c r="F5" t="str">
        <f>Categories!C6</f>
        <v>Enumerators</v>
      </c>
      <c r="G5">
        <f t="shared" ref="G5:G7" si="0">SUM(H5-I5)</f>
        <v>336</v>
      </c>
      <c r="H5">
        <f>SUMIF(Log!G:G,'Budget Summary (old)'!$F5,Log!J:J)</f>
        <v>336</v>
      </c>
      <c r="I5">
        <f>SUMIF(Log!H:H,'Budget Summary (old)'!$F5,Log!J:J)</f>
        <v>0</v>
      </c>
    </row>
    <row r="6" spans="1:9" x14ac:dyDescent="0.2">
      <c r="F6" t="str">
        <f>Categories!C7</f>
        <v>Supplies</v>
      </c>
      <c r="G6">
        <f t="shared" si="0"/>
        <v>810.79</v>
      </c>
      <c r="H6">
        <f>SUMIF(Log!G:G,'Budget Summary (old)'!$F6,Log!J:J)</f>
        <v>810.79</v>
      </c>
      <c r="I6">
        <f>SUMIF(Log!H:H,'Budget Summary (old)'!$F6,Log!J:J)</f>
        <v>0</v>
      </c>
    </row>
    <row r="7" spans="1:9" x14ac:dyDescent="0.2">
      <c r="F7" t="str">
        <f>Categories!C8</f>
        <v>Funding</v>
      </c>
      <c r="G7">
        <f t="shared" si="0"/>
        <v>-25000</v>
      </c>
      <c r="H7">
        <f>SUMIF(Log!G:G,'Budget Summary (old)'!$F7,Log!J:J)</f>
        <v>0</v>
      </c>
      <c r="I7">
        <f>SUMIF(Log!H:H,'Budget Summary (old)'!$F7,Log!J:J)</f>
        <v>25000</v>
      </c>
    </row>
    <row r="8" spans="1:9" x14ac:dyDescent="0.2">
      <c r="F8" t="s">
        <v>42</v>
      </c>
      <c r="G8" s="14">
        <f>SUM(G4:G7)</f>
        <v>-23853.21</v>
      </c>
      <c r="H8" s="14"/>
      <c r="I8" s="14"/>
    </row>
    <row r="12" spans="1:9" x14ac:dyDescent="0.2">
      <c r="F12" s="14" t="s">
        <v>39</v>
      </c>
      <c r="G12" s="14"/>
      <c r="H12" s="14"/>
      <c r="I12" s="14"/>
    </row>
    <row r="13" spans="1:9" x14ac:dyDescent="0.2">
      <c r="F13" t="str">
        <f>Categories!$C$4</f>
        <v>Travel</v>
      </c>
      <c r="G13">
        <f>H13-I13</f>
        <v>2083.9300000000003</v>
      </c>
      <c r="H13">
        <f>SUMIF(Log!$G:$G,'Budget Summary (old)'!F13,Log!$J:$J)</f>
        <v>2083.9300000000003</v>
      </c>
      <c r="I13">
        <f>SUMIF(Log!$H:$H,'Budget Summary (old)'!F13,Log!$J:$J)</f>
        <v>0</v>
      </c>
    </row>
    <row r="14" spans="1:9" x14ac:dyDescent="0.2">
      <c r="A14" s="14" t="s">
        <v>44</v>
      </c>
      <c r="B14" s="14"/>
      <c r="C14" s="14"/>
      <c r="D14" s="14"/>
      <c r="F14" s="14" t="s">
        <v>43</v>
      </c>
      <c r="G14" s="14"/>
      <c r="H14" s="14"/>
      <c r="I14" s="14"/>
    </row>
    <row r="15" spans="1:9" x14ac:dyDescent="0.2">
      <c r="A15" s="14">
        <f>B4</f>
        <v>17902.560000000001</v>
      </c>
      <c r="B15" s="14"/>
      <c r="C15" s="14"/>
      <c r="D15" s="14"/>
      <c r="F15" s="14">
        <f>SUM(G8+G13)</f>
        <v>-21769.279999999999</v>
      </c>
      <c r="G15" s="14"/>
      <c r="H15" s="14"/>
      <c r="I15" s="14"/>
    </row>
    <row r="22" spans="5:7" x14ac:dyDescent="0.2">
      <c r="E22" t="s">
        <v>45</v>
      </c>
      <c r="G22">
        <v>500</v>
      </c>
    </row>
  </sheetData>
  <mergeCells count="8">
    <mergeCell ref="A1:D1"/>
    <mergeCell ref="F1:I1"/>
    <mergeCell ref="F12:I12"/>
    <mergeCell ref="G8:I8"/>
    <mergeCell ref="F14:I14"/>
    <mergeCell ref="F15:I15"/>
    <mergeCell ref="A14:D14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Balances</vt:lpstr>
      <vt:lpstr>Log</vt:lpstr>
      <vt:lpstr>CIFAP Balance Sheet</vt:lpstr>
      <vt:lpstr>Categories</vt:lpstr>
      <vt:lpstr>Log (old)</vt:lpstr>
      <vt:lpstr>Budget Summary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2022-06-20T18:59:59Z</dcterms:created>
  <dcterms:modified xsi:type="dcterms:W3CDTF">2022-06-24T22:46:40Z</dcterms:modified>
</cp:coreProperties>
</file>