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yoso.cho.TIRD\source\WheatFspm\WheatFspm\fspm-wheat\example\NEMA\Measured_Value\inputs\cnwheat\"/>
    </mc:Choice>
  </mc:AlternateContent>
  <bookViews>
    <workbookView xWindow="0" yWindow="0" windowWidth="28800" windowHeight="12210"/>
  </bookViews>
  <sheets>
    <sheet name="elements_inputs" sheetId="1" r:id="rId1"/>
  </sheets>
  <externalReferences>
    <externalReference r:id="rId2"/>
    <externalReference r:id="rId3"/>
  </externalReferences>
  <definedNames>
    <definedName name="_xlnm._FilterDatabase" localSheetId="0" hidden="1">elements_inputs!$D$1:$D$36</definedName>
  </definedNames>
  <calcPr calcId="162913"/>
</workbook>
</file>

<file path=xl/calcChain.xml><?xml version="1.0" encoding="utf-8"?>
<calcChain xmlns="http://schemas.openxmlformats.org/spreadsheetml/2006/main">
  <c r="Q48" i="1" l="1"/>
  <c r="H69" i="1" l="1"/>
  <c r="H41" i="1"/>
  <c r="H55" i="1" l="1"/>
  <c r="H27" i="1" l="1"/>
  <c r="C25" i="1"/>
  <c r="K4" i="1" l="1"/>
  <c r="N6" i="1"/>
  <c r="N9" i="1"/>
  <c r="N13" i="1"/>
  <c r="N17" i="1"/>
  <c r="N10" i="1"/>
  <c r="N7" i="1"/>
  <c r="N4" i="1"/>
  <c r="N14" i="1"/>
  <c r="N5" i="1" l="1"/>
  <c r="A33" i="1" l="1"/>
  <c r="N8" i="1"/>
  <c r="N11" i="1"/>
  <c r="N15" i="1"/>
  <c r="N16" i="1"/>
  <c r="A62" i="1"/>
  <c r="A59" i="1" s="1"/>
  <c r="A48" i="1" l="1"/>
  <c r="A76" i="1"/>
  <c r="J4" i="1" l="1"/>
  <c r="C59" i="1" l="1"/>
  <c r="F55" i="1" l="1"/>
  <c r="C55" i="1"/>
  <c r="K7" i="1" s="1"/>
  <c r="E57" i="1"/>
  <c r="K10" i="1" l="1"/>
  <c r="J7" i="1"/>
  <c r="K14" i="1" l="1"/>
  <c r="J10" i="1"/>
  <c r="J14" i="1" l="1"/>
  <c r="H57" i="1" s="1"/>
  <c r="A70" i="1" l="1"/>
  <c r="A73" i="1" s="1"/>
  <c r="C73" i="1" s="1"/>
  <c r="A42" i="1"/>
  <c r="A45" i="1" s="1"/>
  <c r="A27" i="1"/>
  <c r="E28" i="1" l="1"/>
  <c r="A56" i="1"/>
  <c r="N27" i="1" s="1"/>
  <c r="C45" i="1"/>
  <c r="E43" i="1"/>
  <c r="E71" i="1"/>
  <c r="F69" i="1"/>
  <c r="C75" i="1"/>
  <c r="H53" i="1"/>
  <c r="H59" i="1" s="1"/>
  <c r="H61" i="1" s="1"/>
  <c r="K9" i="1" l="1"/>
  <c r="J9" i="1" s="1"/>
  <c r="K17" i="1"/>
  <c r="J17" i="1" s="1"/>
  <c r="K13" i="1"/>
  <c r="J13" i="1" s="1"/>
  <c r="K6" i="1"/>
  <c r="J6" i="1" s="1"/>
  <c r="C47" i="1"/>
  <c r="K12" i="1" s="1"/>
  <c r="J12" i="1" s="1"/>
  <c r="F41" i="1"/>
  <c r="H14" i="1"/>
  <c r="I14" i="1" s="1"/>
  <c r="H4" i="1"/>
  <c r="I4" i="1" s="1"/>
  <c r="H7" i="1"/>
  <c r="I7" i="1" s="1"/>
  <c r="H10" i="1"/>
  <c r="I10" i="1" s="1"/>
  <c r="H24" i="1"/>
  <c r="H30" i="1" s="1"/>
  <c r="H39" i="1"/>
  <c r="H67" i="1"/>
  <c r="A53" i="1"/>
  <c r="F57" i="1" s="1"/>
  <c r="E59" i="1" s="1"/>
  <c r="H71" i="1" l="1"/>
  <c r="H73" i="1" s="1"/>
  <c r="H75" i="1" s="1"/>
  <c r="M10" i="1"/>
  <c r="M7" i="1"/>
  <c r="M14" i="1"/>
  <c r="M4" i="1"/>
  <c r="A24" i="1"/>
  <c r="E25" i="1" s="1"/>
  <c r="A39" i="1"/>
  <c r="A67" i="1"/>
  <c r="F71" i="1" s="1"/>
  <c r="E73" i="1" s="1"/>
  <c r="K16" i="1"/>
  <c r="J16" i="1" s="1"/>
  <c r="K11" i="1"/>
  <c r="J11" i="1" s="1"/>
  <c r="K5" i="1"/>
  <c r="J5" i="1" s="1"/>
  <c r="K15" i="1"/>
  <c r="J15" i="1" s="1"/>
  <c r="K8" i="1"/>
  <c r="J8" i="1" s="1"/>
  <c r="N39" i="1" l="1"/>
  <c r="P39" i="1" s="1"/>
  <c r="H43" i="1"/>
  <c r="H45" i="1" s="1"/>
  <c r="M17" i="1"/>
  <c r="M13" i="1"/>
  <c r="M6" i="1"/>
  <c r="M9" i="1"/>
  <c r="C39" i="1"/>
  <c r="F43" i="1" s="1"/>
  <c r="E45" i="1" s="1"/>
  <c r="M12" i="1" s="1"/>
  <c r="H17" i="1"/>
  <c r="I17" i="1" s="1"/>
  <c r="H13" i="1"/>
  <c r="I13" i="1" s="1"/>
  <c r="H6" i="1"/>
  <c r="I6" i="1" s="1"/>
  <c r="H9" i="1"/>
  <c r="I9" i="1" s="1"/>
  <c r="M11" i="1" l="1"/>
  <c r="M15" i="1"/>
  <c r="M8" i="1"/>
  <c r="M16" i="1"/>
  <c r="M5" i="1"/>
  <c r="N45" i="1"/>
  <c r="J45" i="1" s="1"/>
  <c r="H47" i="1" s="1"/>
  <c r="H12" i="1" s="1"/>
  <c r="I12" i="1" s="1"/>
  <c r="H5" i="1" l="1"/>
  <c r="I5" i="1" s="1"/>
  <c r="H11" i="1"/>
  <c r="I11" i="1" s="1"/>
  <c r="H8" i="1"/>
  <c r="I8" i="1" s="1"/>
  <c r="H16" i="1"/>
  <c r="I16" i="1" s="1"/>
  <c r="H15" i="1"/>
  <c r="I15" i="1" s="1"/>
</calcChain>
</file>

<file path=xl/sharedStrings.xml><?xml version="1.0" encoding="utf-8"?>
<sst xmlns="http://schemas.openxmlformats.org/spreadsheetml/2006/main" count="151" uniqueCount="71">
  <si>
    <t>plant</t>
  </si>
  <si>
    <t>axis</t>
  </si>
  <si>
    <t>metamer</t>
  </si>
  <si>
    <t>organ</t>
  </si>
  <si>
    <t>element</t>
  </si>
  <si>
    <t>nitrates</t>
  </si>
  <si>
    <t>starch</t>
  </si>
  <si>
    <t>amino_acids</t>
  </si>
  <si>
    <t>proteins</t>
  </si>
  <si>
    <t>Nstruct</t>
  </si>
  <si>
    <t>mstruct</t>
  </si>
  <si>
    <t>fructan</t>
  </si>
  <si>
    <t>sucrose</t>
  </si>
  <si>
    <t>green_area</t>
  </si>
  <si>
    <t>cytokinins</t>
  </si>
  <si>
    <t>triosesP</t>
  </si>
  <si>
    <t>Ag</t>
  </si>
  <si>
    <t>Tr</t>
  </si>
  <si>
    <t>Ts</t>
  </si>
  <si>
    <t>is_growing</t>
  </si>
  <si>
    <t>senesced_mstruct</t>
  </si>
  <si>
    <t>MS</t>
  </si>
  <si>
    <t>sheath</t>
  </si>
  <si>
    <t>StemElement</t>
  </si>
  <si>
    <t>internode</t>
  </si>
  <si>
    <t>blade</t>
  </si>
  <si>
    <t>LeafElement1</t>
  </si>
  <si>
    <t>HiddenElement</t>
  </si>
  <si>
    <t>peduncle</t>
  </si>
  <si>
    <t>ear</t>
  </si>
  <si>
    <t>1 culm dry mass</t>
    <phoneticPr fontId="18"/>
  </si>
  <si>
    <t>blade</t>
    <phoneticPr fontId="18"/>
  </si>
  <si>
    <t>total C (umol)</t>
    <phoneticPr fontId="18"/>
  </si>
  <si>
    <t>mstruct C (umol)</t>
    <phoneticPr fontId="18"/>
  </si>
  <si>
    <t>mstruct : dry mass</t>
    <phoneticPr fontId="18"/>
  </si>
  <si>
    <t>non-struct mass (g)</t>
    <phoneticPr fontId="18"/>
  </si>
  <si>
    <t>non-struct mass C (umol)</t>
    <phoneticPr fontId="18"/>
  </si>
  <si>
    <t>dry mass (g) : leaf area (m2)</t>
    <phoneticPr fontId="18"/>
  </si>
  <si>
    <t>dry mass modified by leaf area(g)</t>
    <phoneticPr fontId="18"/>
  </si>
  <si>
    <t>mstruct (g)</t>
    <phoneticPr fontId="18"/>
  </si>
  <si>
    <t>sucrose(umol):green area(m2)</t>
    <phoneticPr fontId="18"/>
  </si>
  <si>
    <t>total N (umol)</t>
    <phoneticPr fontId="18"/>
  </si>
  <si>
    <t>Nstruct:mstruct</t>
    <phoneticPr fontId="18"/>
  </si>
  <si>
    <t>non-struct mass N (umol)</t>
    <phoneticPr fontId="18"/>
  </si>
  <si>
    <t>struct mass N (umol)</t>
    <phoneticPr fontId="18"/>
  </si>
  <si>
    <t>total leaf area (m2)</t>
    <phoneticPr fontId="18"/>
  </si>
  <si>
    <t>a(g) bassal leaf mstruct</t>
    <phoneticPr fontId="18"/>
  </si>
  <si>
    <t>b(g) secondary bassal leaf mstruct</t>
    <phoneticPr fontId="18"/>
  </si>
  <si>
    <t>non-struct mass N (umol) : green area(m2)</t>
    <phoneticPr fontId="18"/>
  </si>
  <si>
    <t>sheath</t>
    <phoneticPr fontId="18"/>
  </si>
  <si>
    <t>total sheath area (m2)</t>
    <phoneticPr fontId="18"/>
  </si>
  <si>
    <t>dry mass modified by leaf(g)</t>
    <phoneticPr fontId="18"/>
  </si>
  <si>
    <t>mstruct(g):area(m2)</t>
    <phoneticPr fontId="18"/>
  </si>
  <si>
    <t>internode</t>
    <phoneticPr fontId="18"/>
  </si>
  <si>
    <t>ear</t>
    <phoneticPr fontId="18"/>
  </si>
  <si>
    <t>1 culm dry mass (g)</t>
    <phoneticPr fontId="18"/>
  </si>
  <si>
    <t>total C in whole plant (umol)</t>
    <phoneticPr fontId="18"/>
  </si>
  <si>
    <t>organ:phloem C ratio</t>
    <phoneticPr fontId="18"/>
  </si>
  <si>
    <t>C in phloem</t>
    <phoneticPr fontId="18"/>
  </si>
  <si>
    <t>non-pholem C (umol)</t>
    <phoneticPr fontId="18"/>
  </si>
  <si>
    <t>organ AA :phloem ratio</t>
    <phoneticPr fontId="18"/>
  </si>
  <si>
    <t>non-struct N in phloem (umol)</t>
    <phoneticPr fontId="18"/>
  </si>
  <si>
    <t>total non-struct N in whole plant (umol)</t>
    <phoneticPr fontId="18"/>
  </si>
  <si>
    <t>organ protein:phloem ratio</t>
    <phoneticPr fontId="18"/>
  </si>
  <si>
    <t>non-struct non phloem mass N (umol)</t>
    <phoneticPr fontId="18"/>
  </si>
  <si>
    <t>C in grain (umol)</t>
    <phoneticPr fontId="18"/>
  </si>
  <si>
    <t>C in ear (umol)</t>
    <phoneticPr fontId="18"/>
  </si>
  <si>
    <t>dry mass in grain (g)</t>
    <phoneticPr fontId="18"/>
  </si>
  <si>
    <t>struct mass N(umol)</t>
    <phoneticPr fontId="18"/>
  </si>
  <si>
    <t>non-struct N (umol) in grain</t>
    <phoneticPr fontId="18"/>
  </si>
  <si>
    <t>axis total dry mass (g)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</si>
</sst>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2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4" fillId="33" borderId="0" xfId="0" applyFont="1" applyFill="1">
      <alignment vertical="center"/>
    </xf>
    <xf numFmtId="0" fontId="19" fillId="33" borderId="0" xfId="0" applyFont="1" applyFill="1">
      <alignment vertical="center"/>
    </xf>
    <xf numFmtId="0" fontId="14" fillId="0" borderId="0" xfId="0" applyFont="1">
      <alignment vertical="center"/>
    </xf>
    <xf numFmtId="0" fontId="19" fillId="0" borderId="0" xfId="0" applyFont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19" fillId="0" borderId="13" xfId="0" applyFont="1" applyBorder="1">
      <alignment vertical="center"/>
    </xf>
    <xf numFmtId="0" fontId="14" fillId="0" borderId="0" xfId="0" applyFont="1" applyBorder="1">
      <alignment vertical="center"/>
    </xf>
    <xf numFmtId="0" fontId="14" fillId="0" borderId="11" xfId="0" applyFont="1" applyBorder="1">
      <alignment vertical="center"/>
    </xf>
    <xf numFmtId="0" fontId="0" fillId="0" borderId="0" xfId="0" applyFill="1" applyBorder="1">
      <alignment vertical="center"/>
    </xf>
    <xf numFmtId="0" fontId="20" fillId="0" borderId="16" xfId="0" applyFont="1" applyBorder="1">
      <alignment vertical="center"/>
    </xf>
    <xf numFmtId="0" fontId="20" fillId="0" borderId="0" xfId="0" applyFont="1" applyBorder="1">
      <alignment vertical="center"/>
    </xf>
    <xf numFmtId="0" fontId="19" fillId="0" borderId="10" xfId="0" applyFont="1" applyBorder="1">
      <alignment vertical="center"/>
    </xf>
    <xf numFmtId="0" fontId="14" fillId="0" borderId="13" xfId="0" applyFont="1" applyBorder="1">
      <alignment vertical="center"/>
    </xf>
    <xf numFmtId="0" fontId="14" fillId="33" borderId="13" xfId="0" applyFont="1" applyFill="1" applyBorder="1">
      <alignment vertical="center"/>
    </xf>
    <xf numFmtId="0" fontId="19" fillId="33" borderId="13" xfId="0" applyFont="1" applyFill="1" applyBorder="1">
      <alignment vertical="center"/>
    </xf>
    <xf numFmtId="176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1" fillId="0" borderId="13" xfId="0" applyFont="1" applyBorder="1">
      <alignment vertical="center"/>
    </xf>
    <xf numFmtId="0" fontId="22" fillId="0" borderId="13" xfId="0" applyFont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1419226</xdr:colOff>
      <xdr:row>79</xdr:row>
      <xdr:rowOff>1</xdr:rowOff>
    </xdr:from>
    <xdr:to>
      <xdr:col>11</xdr:col>
      <xdr:colOff>400050</xdr:colOff>
      <xdr:row>82</xdr:row>
      <xdr:rowOff>19050</xdr:rowOff>
    </xdr:to>
    <xdr:sp macro="" textlink="">
      <xdr:nvSpPr>
        <xdr:cNvPr id="2" name="テキスト ボックス 1"/>
        <xdr:cNvSpPr txBox="1"/>
      </xdr:nvSpPr>
      <xdr:spPr>
        <a:xfrm>
          <a:off x="6219826" y="18888076"/>
          <a:ext cx="5543549" cy="733424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/>
            <a:t>1.</a:t>
          </a:r>
          <a:r>
            <a:rPr kumimoji="1" lang="en-US" altLang="ja-JP" sz="1600" baseline="0"/>
            <a:t> </a:t>
          </a:r>
          <a:r>
            <a:rPr kumimoji="1" lang="ja-JP" altLang="en-US" sz="1600"/>
            <a:t>実測データでは葉身よりも葉鞘のほうが</a:t>
          </a:r>
          <a:r>
            <a:rPr kumimoji="1" lang="en-US" altLang="ja-JP" sz="1600"/>
            <a:t>C</a:t>
          </a:r>
          <a:r>
            <a:rPr kumimoji="1" lang="ja-JP" altLang="en-US" sz="1600"/>
            <a:t>がある</a:t>
          </a:r>
          <a:endParaRPr kumimoji="1" lang="en-US" altLang="ja-JP" sz="1600"/>
        </a:p>
        <a:p>
          <a:r>
            <a:rPr kumimoji="1" lang="en-US" altLang="ja-JP" sz="1600"/>
            <a:t>2. update the width data when program starts running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20849;&#26377;&#12489;&#12521;&#12452;&#12502;\&#31934;&#23494;&#36786;&#26989;&#12481;&#12540;&#12512;\temp\takeru.kano\&#29694;&#22320;&#35336;&#28204;&#38306;&#36899;\2023&#27178;&#30000;&#36786;&#22580;&#12487;&#12540;&#12479;&#38598;&#35336;\20230803_&#27178;&#30000;&#36786;&#22580;&#12487;&#12540;&#1247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20849;&#26377;&#12489;&#12521;&#12452;&#12502;\&#31934;&#23494;&#36786;&#26989;&#12481;&#12540;&#12512;\temp\takeru.kano\&#29694;&#22320;&#35336;&#28204;&#38306;&#36899;\2023&#27178;&#30000;&#36786;&#22580;_CN&#20998;&#26512;&#32080;&#2652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0803_生育調査"/>
      <sheetName val="0726_生育調査"/>
      <sheetName val="趙メモ"/>
    </sheetNames>
    <sheetDataSet>
      <sheetData sheetId="0"/>
      <sheetData sheetId="1"/>
      <sheetData sheetId="2"/>
      <sheetData sheetId="3">
        <row r="15">
          <cell r="P15">
            <v>2.9170000000000003E-3</v>
          </cell>
        </row>
        <row r="16">
          <cell r="P16">
            <v>3.2170000000000002E-3</v>
          </cell>
        </row>
        <row r="17">
          <cell r="P17">
            <v>2.4085000000000001E-3</v>
          </cell>
        </row>
        <row r="18">
          <cell r="P18">
            <v>1.8679999999999999E-3</v>
          </cell>
        </row>
        <row r="32">
          <cell r="F32">
            <v>2.400490943865E-3</v>
          </cell>
          <cell r="K32">
            <v>2.8714156821000006E-3</v>
          </cell>
        </row>
        <row r="33">
          <cell r="F33">
            <v>2.3800705916400002E-3</v>
          </cell>
          <cell r="K33">
            <v>3.1450484019150001E-3</v>
          </cell>
        </row>
        <row r="34">
          <cell r="F34">
            <v>2.1535617615750001E-3</v>
          </cell>
          <cell r="K34">
            <v>4.655840307300001E-3</v>
          </cell>
        </row>
        <row r="35">
          <cell r="F35">
            <v>8.9598222378000009E-4</v>
          </cell>
          <cell r="K35">
            <v>4.4406412107750003E-3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データ"/>
      <sheetName val="3回分比較"/>
      <sheetName val="Sheet1"/>
      <sheetName val="3回分増減率"/>
      <sheetName val="Sample Data CN ratio"/>
    </sheetNames>
    <sheetDataSet>
      <sheetData sheetId="0">
        <row r="8">
          <cell r="C8">
            <v>4.2480000000000002</v>
          </cell>
          <cell r="G8">
            <v>28.157160000000008</v>
          </cell>
          <cell r="J8">
            <v>1.52928</v>
          </cell>
        </row>
        <row r="9">
          <cell r="C9">
            <v>5.181</v>
          </cell>
          <cell r="G9">
            <v>30.75787</v>
          </cell>
          <cell r="J9">
            <v>0.44408571428571431</v>
          </cell>
        </row>
        <row r="10">
          <cell r="C10">
            <v>3.4950000000000001</v>
          </cell>
          <cell r="G10">
            <v>22.723325000000003</v>
          </cell>
          <cell r="J10">
            <v>0.37446428571428569</v>
          </cell>
        </row>
        <row r="11">
          <cell r="C11">
            <v>2.21</v>
          </cell>
          <cell r="G11">
            <v>15.212166666666665</v>
          </cell>
          <cell r="J11">
            <v>0.35044285714285717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7"/>
  <sheetViews>
    <sheetView tabSelected="1" workbookViewId="0">
      <pane xSplit="4" ySplit="1" topLeftCell="F35" activePane="bottomRight" state="frozen"/>
      <selection pane="topRight" activeCell="E1" sqref="E1"/>
      <selection pane="bottomLeft" activeCell="A2" sqref="A2"/>
      <selection pane="bottomRight" activeCell="Q48" sqref="Q48"/>
    </sheetView>
  </sheetViews>
  <sheetFormatPr defaultRowHeight="18.75" x14ac:dyDescent="0.4"/>
  <cols>
    <col min="1" max="1" width="14.625" customWidth="1"/>
    <col min="3" max="3" width="18.125" customWidth="1"/>
    <col min="4" max="4" width="13.375" customWidth="1"/>
    <col min="5" max="5" width="25.25" customWidth="1"/>
    <col min="7" max="7" width="8.25" customWidth="1"/>
    <col min="12" max="12" width="13.375" bestFit="1" customWidth="1"/>
    <col min="13" max="13" width="9.375" bestFit="1" customWidth="1"/>
    <col min="14" max="14" width="9.75" bestFit="1" customWidth="1"/>
  </cols>
  <sheetData>
    <row r="1" spans="1:2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4">
      <c r="A2">
        <v>1</v>
      </c>
      <c r="B2" t="s">
        <v>21</v>
      </c>
      <c r="C2">
        <v>8</v>
      </c>
      <c r="D2" t="s">
        <v>22</v>
      </c>
      <c r="E2" t="s">
        <v>23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 t="b">
        <v>0</v>
      </c>
      <c r="U2">
        <v>0</v>
      </c>
    </row>
    <row r="3" spans="1:21" x14ac:dyDescent="0.4">
      <c r="A3">
        <v>1</v>
      </c>
      <c r="B3" t="s">
        <v>21</v>
      </c>
      <c r="C3">
        <v>8</v>
      </c>
      <c r="D3" t="s">
        <v>24</v>
      </c>
      <c r="E3" t="s">
        <v>23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t="b">
        <v>0</v>
      </c>
      <c r="U3">
        <v>0</v>
      </c>
    </row>
    <row r="4" spans="1:21" x14ac:dyDescent="0.4">
      <c r="A4">
        <v>1</v>
      </c>
      <c r="B4" t="s">
        <v>21</v>
      </c>
      <c r="C4">
        <v>9</v>
      </c>
      <c r="D4" t="s">
        <v>25</v>
      </c>
      <c r="E4" t="s">
        <v>26</v>
      </c>
      <c r="F4">
        <v>0</v>
      </c>
      <c r="G4">
        <v>0</v>
      </c>
      <c r="H4">
        <f>($H$61*N4)/11</f>
        <v>6.6055610637861264</v>
      </c>
      <c r="I4">
        <f t="shared" ref="I4:I10" si="0">H4*10</f>
        <v>66.055610637861264</v>
      </c>
      <c r="J4">
        <f>K4*$H$55</f>
        <v>2.3999999999999998E-3</v>
      </c>
      <c r="K4">
        <f>C53</f>
        <v>0.08</v>
      </c>
      <c r="L4">
        <v>0</v>
      </c>
      <c r="M4">
        <f>$E$59*N4</f>
        <v>1600.2941845252403</v>
      </c>
      <c r="N4" s="3">
        <f>[1]趙メモ!$P$18</f>
        <v>1.8679999999999999E-3</v>
      </c>
      <c r="O4">
        <v>2.5</v>
      </c>
      <c r="P4">
        <v>0</v>
      </c>
      <c r="Q4">
        <v>0</v>
      </c>
      <c r="R4">
        <v>0</v>
      </c>
      <c r="S4">
        <v>18</v>
      </c>
      <c r="T4" t="b">
        <v>0</v>
      </c>
      <c r="U4">
        <v>0</v>
      </c>
    </row>
    <row r="5" spans="1:21" x14ac:dyDescent="0.4">
      <c r="A5">
        <v>1</v>
      </c>
      <c r="B5" t="s">
        <v>21</v>
      </c>
      <c r="C5">
        <v>9</v>
      </c>
      <c r="D5" t="s">
        <v>24</v>
      </c>
      <c r="E5" t="s">
        <v>27</v>
      </c>
      <c r="F5">
        <v>0</v>
      </c>
      <c r="G5">
        <v>0</v>
      </c>
      <c r="H5">
        <f>$H$47*N5/11</f>
        <v>0.81515491535827256</v>
      </c>
      <c r="I5">
        <f t="shared" si="0"/>
        <v>8.1515491535827262</v>
      </c>
      <c r="J5">
        <f>K5*$H$41</f>
        <v>3.9992537313432837E-4</v>
      </c>
      <c r="K5">
        <f>$C$47*N5</f>
        <v>3.9992537313432837E-2</v>
      </c>
      <c r="L5">
        <v>0</v>
      </c>
      <c r="M5">
        <f>$E$45*N5</f>
        <v>199.61820149253748</v>
      </c>
      <c r="N5" s="3">
        <f>[1]趙メモ!$F$35</f>
        <v>8.9598222378000009E-4</v>
      </c>
      <c r="O5">
        <v>0.1</v>
      </c>
      <c r="P5">
        <v>0</v>
      </c>
      <c r="Q5">
        <v>0</v>
      </c>
      <c r="R5">
        <v>0</v>
      </c>
      <c r="S5">
        <v>18</v>
      </c>
      <c r="T5" t="b">
        <v>0</v>
      </c>
      <c r="U5">
        <v>0</v>
      </c>
    </row>
    <row r="6" spans="1:21" x14ac:dyDescent="0.4">
      <c r="A6">
        <v>1</v>
      </c>
      <c r="B6" t="s">
        <v>21</v>
      </c>
      <c r="C6">
        <v>9</v>
      </c>
      <c r="D6" t="s">
        <v>22</v>
      </c>
      <c r="E6" t="s">
        <v>23</v>
      </c>
      <c r="F6">
        <v>0</v>
      </c>
      <c r="G6">
        <v>0</v>
      </c>
      <c r="H6">
        <f>N6*$H$75/11</f>
        <v>0.74139678893633654</v>
      </c>
      <c r="I6">
        <f t="shared" si="0"/>
        <v>7.4139678893633656</v>
      </c>
      <c r="J6">
        <f>K6*$H$69</f>
        <v>1.7126265824429386E-3</v>
      </c>
      <c r="K6">
        <f>$C$75*N6</f>
        <v>0.20551518989315262</v>
      </c>
      <c r="L6">
        <v>0</v>
      </c>
      <c r="M6">
        <f>$E$73*N6</f>
        <v>1502.0369434166209</v>
      </c>
      <c r="N6" s="3">
        <f>[1]趙メモ!$K$35</f>
        <v>4.4406412107750003E-3</v>
      </c>
      <c r="O6">
        <v>0.15</v>
      </c>
      <c r="P6">
        <v>0</v>
      </c>
      <c r="Q6">
        <v>0</v>
      </c>
      <c r="R6">
        <v>0</v>
      </c>
      <c r="S6">
        <v>18</v>
      </c>
      <c r="T6" t="b">
        <v>0</v>
      </c>
      <c r="U6">
        <v>0</v>
      </c>
    </row>
    <row r="7" spans="1:21" x14ac:dyDescent="0.4">
      <c r="A7">
        <v>1</v>
      </c>
      <c r="B7" t="s">
        <v>21</v>
      </c>
      <c r="C7">
        <v>10</v>
      </c>
      <c r="D7" t="s">
        <v>25</v>
      </c>
      <c r="E7" t="s">
        <v>26</v>
      </c>
      <c r="F7">
        <v>0</v>
      </c>
      <c r="G7">
        <v>0</v>
      </c>
      <c r="H7">
        <f>($H$61*N7)/11</f>
        <v>8.5168596478206027</v>
      </c>
      <c r="I7">
        <f t="shared" si="0"/>
        <v>85.168596478206027</v>
      </c>
      <c r="J7">
        <f>K7*$H$55</f>
        <v>2.1351689999999997E-3</v>
      </c>
      <c r="K7">
        <f>C55</f>
        <v>7.1172299999999994E-2</v>
      </c>
      <c r="L7">
        <v>0</v>
      </c>
      <c r="M7">
        <f>$E$59*N7</f>
        <v>2063.3343380241122</v>
      </c>
      <c r="N7" s="3">
        <f>[1]趙メモ!$P$17</f>
        <v>2.4085000000000001E-3</v>
      </c>
      <c r="O7">
        <v>3.5</v>
      </c>
      <c r="P7">
        <v>0</v>
      </c>
      <c r="Q7">
        <v>0</v>
      </c>
      <c r="R7">
        <v>0</v>
      </c>
      <c r="S7">
        <v>18</v>
      </c>
      <c r="T7" t="b">
        <v>0</v>
      </c>
      <c r="U7">
        <v>0</v>
      </c>
    </row>
    <row r="8" spans="1:21" x14ac:dyDescent="0.4">
      <c r="A8">
        <v>1</v>
      </c>
      <c r="B8" t="s">
        <v>21</v>
      </c>
      <c r="C8">
        <v>10</v>
      </c>
      <c r="D8" t="s">
        <v>24</v>
      </c>
      <c r="E8" t="s">
        <v>27</v>
      </c>
      <c r="F8">
        <v>0</v>
      </c>
      <c r="G8">
        <v>0</v>
      </c>
      <c r="H8">
        <f>$H$47*N8/11</f>
        <v>1.9592871475389053</v>
      </c>
      <c r="I8">
        <f t="shared" si="0"/>
        <v>19.592871475389053</v>
      </c>
      <c r="J8">
        <f>K8*$H$41</f>
        <v>9.6125120365912384E-4</v>
      </c>
      <c r="K8">
        <f>$C$47*N8</f>
        <v>9.6125120365912378E-2</v>
      </c>
      <c r="L8">
        <v>0</v>
      </c>
      <c r="M8">
        <f>$E$45*N8</f>
        <v>479.79760562108851</v>
      </c>
      <c r="N8" s="3">
        <f>[1]趙メモ!$F$34</f>
        <v>2.1535617615750001E-3</v>
      </c>
      <c r="O8">
        <v>0.1</v>
      </c>
      <c r="P8">
        <v>0</v>
      </c>
      <c r="Q8">
        <v>0</v>
      </c>
      <c r="R8">
        <v>0</v>
      </c>
      <c r="S8">
        <v>18</v>
      </c>
      <c r="T8" t="b">
        <v>0</v>
      </c>
      <c r="U8">
        <v>0</v>
      </c>
    </row>
    <row r="9" spans="1:21" x14ac:dyDescent="0.4">
      <c r="A9">
        <v>1</v>
      </c>
      <c r="B9" t="s">
        <v>21</v>
      </c>
      <c r="C9">
        <v>10</v>
      </c>
      <c r="D9" t="s">
        <v>22</v>
      </c>
      <c r="E9" t="s">
        <v>23</v>
      </c>
      <c r="F9">
        <v>0</v>
      </c>
      <c r="G9">
        <v>0</v>
      </c>
      <c r="H9">
        <f>N9*$H$75/11</f>
        <v>0.7773258162035025</v>
      </c>
      <c r="I9">
        <f t="shared" si="0"/>
        <v>7.7732581620350247</v>
      </c>
      <c r="J9">
        <f>K9*$H$69</f>
        <v>1.795622635430092E-3</v>
      </c>
      <c r="K9">
        <f>$C$75*N9</f>
        <v>0.21547471625161105</v>
      </c>
      <c r="L9">
        <v>0</v>
      </c>
      <c r="M9">
        <f>$E$73*N9</f>
        <v>1574.8275558142429</v>
      </c>
      <c r="N9" s="3">
        <f>[1]趙メモ!$K$34</f>
        <v>4.655840307300001E-3</v>
      </c>
      <c r="O9">
        <v>0.15</v>
      </c>
      <c r="P9">
        <v>0</v>
      </c>
      <c r="Q9">
        <v>0</v>
      </c>
      <c r="R9">
        <v>0</v>
      </c>
      <c r="S9">
        <v>18</v>
      </c>
      <c r="T9" t="b">
        <v>0</v>
      </c>
      <c r="U9">
        <v>0</v>
      </c>
    </row>
    <row r="10" spans="1:21" x14ac:dyDescent="0.4">
      <c r="A10">
        <v>1</v>
      </c>
      <c r="B10" t="s">
        <v>21</v>
      </c>
      <c r="C10">
        <v>11</v>
      </c>
      <c r="D10" t="s">
        <v>25</v>
      </c>
      <c r="E10" t="s">
        <v>26</v>
      </c>
      <c r="F10">
        <v>0</v>
      </c>
      <c r="G10">
        <v>0</v>
      </c>
      <c r="H10">
        <f>($H$61*N10)/11</f>
        <v>11.375851146787994</v>
      </c>
      <c r="I10">
        <f t="shared" si="0"/>
        <v>113.75851146787994</v>
      </c>
      <c r="J10">
        <f>K10*$H$55</f>
        <v>4.5351689999999995E-3</v>
      </c>
      <c r="K10">
        <f>K4+K7</f>
        <v>0.15117229999999998</v>
      </c>
      <c r="L10">
        <v>0</v>
      </c>
      <c r="M10">
        <f>$E$59*N10</f>
        <v>2755.9670190672905</v>
      </c>
      <c r="N10" s="3">
        <f>[1]趙メモ!$P$16</f>
        <v>3.2170000000000002E-3</v>
      </c>
      <c r="O10">
        <v>8</v>
      </c>
      <c r="P10">
        <v>0</v>
      </c>
      <c r="Q10">
        <v>0</v>
      </c>
      <c r="R10">
        <v>0</v>
      </c>
      <c r="S10">
        <v>18</v>
      </c>
      <c r="T10" t="b">
        <v>0</v>
      </c>
      <c r="U10">
        <v>0</v>
      </c>
    </row>
    <row r="11" spans="1:21" x14ac:dyDescent="0.4">
      <c r="A11">
        <v>1</v>
      </c>
      <c r="B11" t="s">
        <v>21</v>
      </c>
      <c r="C11">
        <v>11</v>
      </c>
      <c r="D11" t="s">
        <v>24</v>
      </c>
      <c r="E11" t="s">
        <v>27</v>
      </c>
      <c r="F11">
        <v>0</v>
      </c>
      <c r="G11">
        <v>0</v>
      </c>
      <c r="H11">
        <f>$H$47*N11/11</f>
        <v>2.1653624259306707</v>
      </c>
      <c r="I11">
        <f t="shared" ref="I11:I12" si="1">H11*10</f>
        <v>21.653624259306707</v>
      </c>
      <c r="J11">
        <f>K11*$H$41</f>
        <v>1.0623543572460281E-3</v>
      </c>
      <c r="K11">
        <f>$C$47*N11</f>
        <v>0.1062354357246028</v>
      </c>
      <c r="L11">
        <v>0</v>
      </c>
      <c r="M11">
        <f>$E$45*N11</f>
        <v>530.26209484833942</v>
      </c>
      <c r="N11" s="3">
        <f>[1]趙メモ!$F$33</f>
        <v>2.3800705916400002E-3</v>
      </c>
      <c r="O11">
        <v>0.15</v>
      </c>
      <c r="P11">
        <v>0</v>
      </c>
      <c r="Q11">
        <v>0</v>
      </c>
      <c r="R11">
        <v>0</v>
      </c>
      <c r="S11">
        <v>18</v>
      </c>
      <c r="T11" t="b">
        <v>0</v>
      </c>
      <c r="U11">
        <v>0</v>
      </c>
    </row>
    <row r="12" spans="1:21" x14ac:dyDescent="0.4">
      <c r="A12">
        <v>1</v>
      </c>
      <c r="B12" t="s">
        <v>21</v>
      </c>
      <c r="C12">
        <v>11</v>
      </c>
      <c r="D12" t="s">
        <v>24</v>
      </c>
      <c r="E12" t="s">
        <v>23</v>
      </c>
      <c r="F12">
        <v>0</v>
      </c>
      <c r="G12">
        <v>0</v>
      </c>
      <c r="H12">
        <f>$H$47*N12/11</f>
        <v>0</v>
      </c>
      <c r="I12">
        <f t="shared" si="1"/>
        <v>0</v>
      </c>
      <c r="J12">
        <f t="shared" ref="J12" si="2">K12*$H$41</f>
        <v>0</v>
      </c>
      <c r="K12">
        <f t="shared" ref="K12" si="3">$C$47*N12</f>
        <v>0</v>
      </c>
      <c r="L12">
        <v>0</v>
      </c>
      <c r="M12">
        <f t="shared" ref="M12" si="4">$E$45*N12</f>
        <v>0</v>
      </c>
      <c r="N12" s="3">
        <v>0</v>
      </c>
      <c r="O12">
        <v>0</v>
      </c>
      <c r="P12">
        <v>0</v>
      </c>
      <c r="Q12">
        <v>0</v>
      </c>
      <c r="R12">
        <v>0</v>
      </c>
      <c r="S12">
        <v>0</v>
      </c>
      <c r="T12" t="b">
        <v>0</v>
      </c>
      <c r="U12">
        <v>0</v>
      </c>
    </row>
    <row r="13" spans="1:21" x14ac:dyDescent="0.4">
      <c r="A13">
        <v>1</v>
      </c>
      <c r="B13" t="s">
        <v>21</v>
      </c>
      <c r="C13">
        <v>11</v>
      </c>
      <c r="D13" t="s">
        <v>22</v>
      </c>
      <c r="E13" t="s">
        <v>23</v>
      </c>
      <c r="F13">
        <v>0</v>
      </c>
      <c r="G13">
        <v>0</v>
      </c>
      <c r="H13">
        <f>N13*$H$75/11</f>
        <v>0.52508830944758855</v>
      </c>
      <c r="I13">
        <f>H13*10</f>
        <v>5.2508830944758857</v>
      </c>
      <c r="J13">
        <f>K13*$H$69</f>
        <v>1.2129539948239304E-3</v>
      </c>
      <c r="K13">
        <f>$C$75*N13</f>
        <v>0.14555447937887164</v>
      </c>
      <c r="L13">
        <v>0</v>
      </c>
      <c r="M13">
        <f>$E$73*N13</f>
        <v>1063.805577682617</v>
      </c>
      <c r="N13" s="3">
        <f>[1]趙メモ!$K$33</f>
        <v>3.1450484019150001E-3</v>
      </c>
      <c r="O13">
        <v>0.2</v>
      </c>
      <c r="P13">
        <v>0</v>
      </c>
      <c r="Q13">
        <v>0</v>
      </c>
      <c r="R13">
        <v>0</v>
      </c>
      <c r="S13">
        <v>18</v>
      </c>
      <c r="T13" t="b">
        <v>0</v>
      </c>
      <c r="U13">
        <v>0</v>
      </c>
    </row>
    <row r="14" spans="1:21" x14ac:dyDescent="0.4">
      <c r="A14">
        <v>1</v>
      </c>
      <c r="B14" t="s">
        <v>21</v>
      </c>
      <c r="C14">
        <v>12</v>
      </c>
      <c r="D14" t="s">
        <v>25</v>
      </c>
      <c r="E14" t="s">
        <v>26</v>
      </c>
      <c r="F14">
        <v>0</v>
      </c>
      <c r="G14">
        <v>0</v>
      </c>
      <c r="H14">
        <f>($H$61*N14)/11</f>
        <v>10.315000868878016</v>
      </c>
      <c r="I14">
        <f>H14*10</f>
        <v>103.15000868878016</v>
      </c>
      <c r="J14">
        <f>K14*$H$55</f>
        <v>6.6703379999999987E-3</v>
      </c>
      <c r="K14">
        <f>K10+K7</f>
        <v>0.22234459999999998</v>
      </c>
      <c r="L14">
        <v>0</v>
      </c>
      <c r="M14">
        <f>$E$59*N14</f>
        <v>2498.9604583833657</v>
      </c>
      <c r="N14" s="3">
        <f>[1]趙メモ!$P$15</f>
        <v>2.9170000000000003E-3</v>
      </c>
      <c r="O14">
        <v>15</v>
      </c>
      <c r="P14">
        <v>0</v>
      </c>
      <c r="Q14">
        <v>0</v>
      </c>
      <c r="R14">
        <v>0</v>
      </c>
      <c r="S14">
        <v>18</v>
      </c>
      <c r="T14" t="b">
        <v>0</v>
      </c>
      <c r="U14">
        <v>0</v>
      </c>
    </row>
    <row r="15" spans="1:21" x14ac:dyDescent="0.4">
      <c r="A15">
        <v>1</v>
      </c>
      <c r="B15" t="s">
        <v>21</v>
      </c>
      <c r="C15">
        <v>12</v>
      </c>
      <c r="D15" t="s">
        <v>24</v>
      </c>
      <c r="E15" t="s">
        <v>27</v>
      </c>
      <c r="F15">
        <v>0</v>
      </c>
      <c r="G15">
        <v>0</v>
      </c>
      <c r="H15">
        <f>$H$47*N15/11</f>
        <v>1.7471525128338179</v>
      </c>
      <c r="I15">
        <f t="shared" ref="I15:I16" si="5">H15*10</f>
        <v>17.471525128338179</v>
      </c>
      <c r="J15">
        <f t="shared" ref="J15:J16" si="6">K15*$H$41</f>
        <v>8.5717525276841607E-4</v>
      </c>
      <c r="K15">
        <f t="shared" ref="K15:K16" si="7">$C$47*N15</f>
        <v>8.5717525276841608E-2</v>
      </c>
      <c r="L15">
        <v>0</v>
      </c>
      <c r="M15">
        <f t="shared" ref="M15:M16" si="8">$E$45*N15</f>
        <v>427.84927843042885</v>
      </c>
      <c r="N15" s="3">
        <f>[1]趙メモ!$F$32*0.8</f>
        <v>1.9203927550920001E-3</v>
      </c>
      <c r="O15">
        <v>0.5</v>
      </c>
      <c r="P15">
        <v>0</v>
      </c>
      <c r="Q15">
        <v>0</v>
      </c>
      <c r="R15">
        <v>0</v>
      </c>
      <c r="S15">
        <v>18</v>
      </c>
      <c r="T15" t="b">
        <v>0</v>
      </c>
      <c r="U15">
        <v>0</v>
      </c>
    </row>
    <row r="16" spans="1:21" x14ac:dyDescent="0.4">
      <c r="A16">
        <v>1</v>
      </c>
      <c r="B16" t="s">
        <v>21</v>
      </c>
      <c r="C16">
        <v>12</v>
      </c>
      <c r="D16" t="s">
        <v>24</v>
      </c>
      <c r="E16" t="s">
        <v>23</v>
      </c>
      <c r="F16">
        <v>0</v>
      </c>
      <c r="G16">
        <v>0</v>
      </c>
      <c r="H16">
        <f>$H$47*N16/11</f>
        <v>0.43678812820845447</v>
      </c>
      <c r="I16">
        <f t="shared" si="5"/>
        <v>4.3678812820845447</v>
      </c>
      <c r="J16">
        <f t="shared" si="6"/>
        <v>2.1429381319210402E-4</v>
      </c>
      <c r="K16">
        <f t="shared" si="7"/>
        <v>2.1429381319210402E-2</v>
      </c>
      <c r="L16">
        <v>0</v>
      </c>
      <c r="M16">
        <f t="shared" si="8"/>
        <v>106.96231960760721</v>
      </c>
      <c r="N16" s="3">
        <f>[1]趙メモ!$F$32*0.2</f>
        <v>4.8009818877300004E-4</v>
      </c>
      <c r="O16">
        <v>0.5</v>
      </c>
      <c r="P16">
        <v>0</v>
      </c>
      <c r="Q16">
        <v>0</v>
      </c>
      <c r="R16">
        <v>0</v>
      </c>
      <c r="S16">
        <v>18</v>
      </c>
      <c r="T16" t="b">
        <v>0</v>
      </c>
      <c r="U16">
        <v>0</v>
      </c>
    </row>
    <row r="17" spans="1:21" x14ac:dyDescent="0.4">
      <c r="A17">
        <v>1</v>
      </c>
      <c r="B17" t="s">
        <v>21</v>
      </c>
      <c r="C17">
        <v>12</v>
      </c>
      <c r="D17" t="s">
        <v>22</v>
      </c>
      <c r="E17" t="s">
        <v>23</v>
      </c>
      <c r="F17">
        <v>0</v>
      </c>
      <c r="G17">
        <v>0</v>
      </c>
      <c r="H17">
        <f>N17*$H$75/11</f>
        <v>0.47940337112685644</v>
      </c>
      <c r="I17">
        <f>H17*10</f>
        <v>4.7940337112685647</v>
      </c>
      <c r="J17">
        <f>K17*$H$69</f>
        <v>1.1074217873030393E-3</v>
      </c>
      <c r="K17">
        <f>$C$75*N17</f>
        <v>0.13289061447636472</v>
      </c>
      <c r="L17">
        <v>0</v>
      </c>
      <c r="M17">
        <f>$E$73*N17</f>
        <v>971.2499230865169</v>
      </c>
      <c r="N17" s="3">
        <f>[1]趙メモ!$K$32</f>
        <v>2.8714156821000006E-3</v>
      </c>
      <c r="O17">
        <v>0.5</v>
      </c>
      <c r="P17">
        <v>0</v>
      </c>
      <c r="Q17">
        <v>0</v>
      </c>
      <c r="R17">
        <v>0</v>
      </c>
      <c r="S17">
        <v>18</v>
      </c>
      <c r="T17" t="b">
        <v>0</v>
      </c>
      <c r="U17">
        <v>0</v>
      </c>
    </row>
    <row r="18" spans="1:21" x14ac:dyDescent="0.4">
      <c r="A18">
        <v>1</v>
      </c>
      <c r="B18" t="s">
        <v>21</v>
      </c>
      <c r="C18">
        <v>13</v>
      </c>
      <c r="D18" t="s">
        <v>28</v>
      </c>
      <c r="E18" t="s">
        <v>27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0.7</v>
      </c>
      <c r="P18">
        <v>0</v>
      </c>
      <c r="Q18">
        <v>0</v>
      </c>
      <c r="R18">
        <v>0</v>
      </c>
      <c r="S18">
        <v>18</v>
      </c>
      <c r="T18" t="b">
        <v>0</v>
      </c>
      <c r="U18">
        <v>0</v>
      </c>
    </row>
    <row r="19" spans="1:21" x14ac:dyDescent="0.4">
      <c r="A19">
        <v>1</v>
      </c>
      <c r="B19" t="s">
        <v>21</v>
      </c>
      <c r="C19">
        <v>13</v>
      </c>
      <c r="D19" t="s">
        <v>28</v>
      </c>
      <c r="E19" t="s">
        <v>23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0.85</v>
      </c>
      <c r="P19">
        <v>0</v>
      </c>
      <c r="Q19">
        <v>0</v>
      </c>
      <c r="R19">
        <v>0</v>
      </c>
      <c r="S19">
        <v>18</v>
      </c>
      <c r="T19" t="b">
        <v>0</v>
      </c>
      <c r="U19">
        <v>0</v>
      </c>
    </row>
    <row r="20" spans="1:21" x14ac:dyDescent="0.4">
      <c r="A20">
        <v>1</v>
      </c>
      <c r="B20" t="s">
        <v>21</v>
      </c>
      <c r="C20">
        <v>14</v>
      </c>
      <c r="D20" t="s">
        <v>29</v>
      </c>
      <c r="E20" t="s">
        <v>23</v>
      </c>
      <c r="F20">
        <v>0</v>
      </c>
      <c r="G20">
        <v>0</v>
      </c>
      <c r="H20">
        <v>24</v>
      </c>
      <c r="I20">
        <v>243</v>
      </c>
      <c r="J20">
        <v>1.013E-3</v>
      </c>
      <c r="K20">
        <v>0.21</v>
      </c>
      <c r="L20">
        <v>0</v>
      </c>
      <c r="M20">
        <v>726</v>
      </c>
      <c r="N20" s="24">
        <v>1.5E-3</v>
      </c>
      <c r="O20">
        <v>15</v>
      </c>
      <c r="P20">
        <v>0</v>
      </c>
      <c r="Q20">
        <v>0</v>
      </c>
      <c r="R20">
        <v>0</v>
      </c>
      <c r="S20">
        <v>18</v>
      </c>
      <c r="T20" t="b">
        <v>0</v>
      </c>
      <c r="U20">
        <v>0</v>
      </c>
    </row>
    <row r="22" spans="1:21" ht="19.5" thickBot="1" x14ac:dyDescent="0.45">
      <c r="A22" s="18" t="s">
        <v>54</v>
      </c>
      <c r="C22" s="11"/>
      <c r="D22" s="11"/>
      <c r="E22" s="11"/>
      <c r="F22" s="11"/>
    </row>
    <row r="23" spans="1:21" x14ac:dyDescent="0.4">
      <c r="A23" s="19" t="s">
        <v>32</v>
      </c>
      <c r="B23" s="6"/>
      <c r="C23" s="5"/>
      <c r="G23" s="6"/>
      <c r="H23" s="15" t="s">
        <v>41</v>
      </c>
      <c r="I23" s="6"/>
      <c r="J23" s="6"/>
      <c r="K23" s="6"/>
      <c r="L23" s="7"/>
    </row>
    <row r="24" spans="1:21" x14ac:dyDescent="0.4">
      <c r="A24" s="20">
        <f>[2]CNデータ!$G$11*1000</f>
        <v>15212.166666666664</v>
      </c>
      <c r="B24" s="5"/>
      <c r="C24" s="5" t="s">
        <v>66</v>
      </c>
      <c r="E24" t="s">
        <v>65</v>
      </c>
      <c r="G24" s="5"/>
      <c r="H24" s="14">
        <f>[2]CNデータ!$J$11*1000</f>
        <v>350.44285714285718</v>
      </c>
      <c r="I24" s="5"/>
      <c r="J24" s="5"/>
      <c r="K24" s="5"/>
      <c r="L24" s="9"/>
    </row>
    <row r="25" spans="1:21" x14ac:dyDescent="0.4">
      <c r="A25" s="8"/>
      <c r="B25" s="5"/>
      <c r="C25" s="5">
        <f>H20*14/0.135*0.38/12+I20*14/0.151*0.38/12+M20+K20*0.44/12*1000000</f>
        <v>9218.2585234240851</v>
      </c>
      <c r="E25">
        <f>A24-C25</f>
        <v>5993.9081432425792</v>
      </c>
      <c r="F25" s="5"/>
      <c r="G25" s="5"/>
      <c r="H25" s="5"/>
      <c r="I25" s="5"/>
      <c r="J25" s="5"/>
      <c r="K25" s="5"/>
      <c r="L25" s="9"/>
    </row>
    <row r="26" spans="1:21" x14ac:dyDescent="0.4">
      <c r="A26" s="21" t="s">
        <v>55</v>
      </c>
      <c r="B26" s="5"/>
      <c r="C26" s="5"/>
      <c r="D26" s="5"/>
      <c r="F26" s="5"/>
      <c r="G26" s="5"/>
      <c r="H26" s="5" t="s">
        <v>68</v>
      </c>
      <c r="I26" s="5"/>
      <c r="J26" s="5"/>
      <c r="K26" s="5"/>
      <c r="L26" s="9"/>
      <c r="N26" s="3" t="s">
        <v>70</v>
      </c>
    </row>
    <row r="27" spans="1:21" x14ac:dyDescent="0.4">
      <c r="A27" s="22">
        <f>[2]CNデータ!$C$11/5</f>
        <v>0.442</v>
      </c>
      <c r="B27" s="5"/>
      <c r="C27" s="5"/>
      <c r="D27" s="5"/>
      <c r="E27" t="s">
        <v>67</v>
      </c>
      <c r="G27" s="5"/>
      <c r="H27" s="5">
        <f>J20/14*1000000</f>
        <v>72.357142857142861</v>
      </c>
      <c r="I27" s="5"/>
      <c r="J27" s="5"/>
      <c r="K27" s="5"/>
      <c r="L27" s="9"/>
      <c r="N27" s="4">
        <f>SUM(A27,A42,A56,A70)*0.8</f>
        <v>2.4214400000000005</v>
      </c>
    </row>
    <row r="28" spans="1:21" x14ac:dyDescent="0.4">
      <c r="A28" s="8"/>
      <c r="B28" s="5"/>
      <c r="C28" s="5"/>
      <c r="D28" s="5"/>
      <c r="E28">
        <f>A27-K20</f>
        <v>0.23200000000000001</v>
      </c>
      <c r="G28" s="5"/>
      <c r="H28" s="5"/>
      <c r="I28" s="5"/>
      <c r="J28" s="5"/>
      <c r="K28" s="5"/>
      <c r="L28" s="9"/>
    </row>
    <row r="29" spans="1:21" x14ac:dyDescent="0.4">
      <c r="A29" s="20"/>
      <c r="B29" s="5"/>
      <c r="D29" s="5"/>
      <c r="E29" s="5"/>
      <c r="F29" s="5"/>
      <c r="G29" s="5"/>
      <c r="H29" s="5" t="s">
        <v>69</v>
      </c>
      <c r="I29" s="5"/>
      <c r="J29" s="5"/>
      <c r="K29" s="5"/>
      <c r="L29" s="9"/>
    </row>
    <row r="30" spans="1:21" x14ac:dyDescent="0.4">
      <c r="A30" s="13"/>
      <c r="B30" s="5"/>
      <c r="H30">
        <f>H24-H20-I20</f>
        <v>83.442857142857179</v>
      </c>
      <c r="L30" s="9"/>
    </row>
    <row r="31" spans="1:21" x14ac:dyDescent="0.4">
      <c r="A31" s="8"/>
      <c r="B31" s="5"/>
      <c r="C31" s="5"/>
      <c r="D31" s="5"/>
      <c r="E31" s="5"/>
      <c r="F31" s="5"/>
      <c r="G31" s="5"/>
      <c r="H31" s="5"/>
      <c r="I31" s="5"/>
      <c r="J31" s="5"/>
      <c r="K31" s="5"/>
      <c r="L31" s="9"/>
    </row>
    <row r="32" spans="1:21" x14ac:dyDescent="0.4">
      <c r="A32" s="26" t="s">
        <v>45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9"/>
    </row>
    <row r="33" spans="1:17" x14ac:dyDescent="0.4">
      <c r="A33" s="27">
        <f>SUM(N20)</f>
        <v>1.5E-3</v>
      </c>
      <c r="B33" s="5"/>
      <c r="C33" s="14"/>
      <c r="D33" s="5"/>
      <c r="E33" s="5"/>
      <c r="F33" s="5"/>
      <c r="G33" s="5"/>
      <c r="H33" s="5"/>
      <c r="I33" s="5"/>
      <c r="J33" s="5"/>
      <c r="K33" s="5"/>
      <c r="L33" s="9"/>
    </row>
    <row r="34" spans="1:17" ht="19.5" thickBot="1" x14ac:dyDescent="0.45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2"/>
    </row>
    <row r="35" spans="1:17" x14ac:dyDescent="0.4">
      <c r="A35" s="3"/>
    </row>
    <row r="37" spans="1:17" ht="19.5" thickBot="1" x14ac:dyDescent="0.45">
      <c r="A37" s="18" t="s">
        <v>53</v>
      </c>
      <c r="C37" s="11"/>
      <c r="D37" s="11"/>
      <c r="E37" s="11"/>
      <c r="F37" s="11"/>
    </row>
    <row r="38" spans="1:17" x14ac:dyDescent="0.4">
      <c r="A38" s="19" t="s">
        <v>32</v>
      </c>
      <c r="B38" s="6"/>
      <c r="C38" s="5" t="s">
        <v>59</v>
      </c>
      <c r="G38" s="6"/>
      <c r="H38" s="15" t="s">
        <v>41</v>
      </c>
      <c r="I38" s="6"/>
      <c r="J38" s="6"/>
      <c r="K38" s="6"/>
      <c r="L38" s="7"/>
      <c r="N38" s="3" t="s">
        <v>56</v>
      </c>
      <c r="P38" t="s">
        <v>58</v>
      </c>
    </row>
    <row r="39" spans="1:17" x14ac:dyDescent="0.4">
      <c r="A39" s="20">
        <f>[2]CNデータ!$G$10*1000</f>
        <v>22723.325000000004</v>
      </c>
      <c r="B39" s="5"/>
      <c r="C39" s="5">
        <f>A39-P39</f>
        <v>14559.489500000003</v>
      </c>
      <c r="G39" s="5"/>
      <c r="H39" s="14">
        <f>[2]CNデータ!$J$10*1000</f>
        <v>374.46428571428567</v>
      </c>
      <c r="I39" s="5"/>
      <c r="J39" s="5"/>
      <c r="K39" s="5"/>
      <c r="L39" s="9"/>
      <c r="N39" s="4">
        <f>SUM(A39,A53,A67)</f>
        <v>81638.35500000001</v>
      </c>
      <c r="P39">
        <f>N39/10</f>
        <v>8163.835500000001</v>
      </c>
    </row>
    <row r="40" spans="1:17" x14ac:dyDescent="0.4">
      <c r="A40" s="8"/>
      <c r="B40" s="5"/>
      <c r="C40" s="5"/>
      <c r="F40" s="5" t="s">
        <v>33</v>
      </c>
      <c r="G40" s="5"/>
      <c r="H40" s="5" t="s">
        <v>42</v>
      </c>
      <c r="I40" s="5"/>
      <c r="J40" s="5"/>
      <c r="K40" s="5"/>
      <c r="L40" s="9"/>
    </row>
    <row r="41" spans="1:17" x14ac:dyDescent="0.4">
      <c r="A41" s="21" t="s">
        <v>30</v>
      </c>
      <c r="B41" s="5"/>
      <c r="C41" s="5"/>
      <c r="D41" s="5"/>
      <c r="F41" s="5">
        <f>C45*0.44/12*1000000</f>
        <v>12815.000000000002</v>
      </c>
      <c r="G41" s="5"/>
      <c r="H41" s="5">
        <f>1/100</f>
        <v>0.01</v>
      </c>
      <c r="I41" s="5"/>
      <c r="J41" s="5"/>
      <c r="K41" s="5"/>
      <c r="L41" s="9"/>
      <c r="N41" t="s">
        <v>57</v>
      </c>
    </row>
    <row r="42" spans="1:17" x14ac:dyDescent="0.4">
      <c r="A42" s="22">
        <f>[2]CNデータ!$C$10/5</f>
        <v>0.69900000000000007</v>
      </c>
      <c r="B42" s="5"/>
      <c r="C42" s="5" t="s">
        <v>34</v>
      </c>
      <c r="D42" s="5"/>
      <c r="E42" t="s">
        <v>35</v>
      </c>
      <c r="F42" t="s">
        <v>36</v>
      </c>
      <c r="G42" s="5"/>
      <c r="H42" s="16" t="s">
        <v>44</v>
      </c>
      <c r="I42" s="5"/>
      <c r="J42" s="5"/>
      <c r="K42" s="5"/>
      <c r="L42" s="9"/>
      <c r="N42" s="23">
        <v>9</v>
      </c>
    </row>
    <row r="43" spans="1:17" x14ac:dyDescent="0.4">
      <c r="A43" s="8"/>
      <c r="B43" s="5"/>
      <c r="C43" s="5">
        <v>0.45</v>
      </c>
      <c r="D43" s="5"/>
      <c r="E43">
        <f>A45-C45</f>
        <v>0.42716666666666669</v>
      </c>
      <c r="F43">
        <f>C39-F41</f>
        <v>1744.4895000000015</v>
      </c>
      <c r="G43" s="5"/>
      <c r="H43" s="5">
        <f>SUM(J5,J8,J11,J12,J15,J16)/14*1000000</f>
        <v>249.6428571428572</v>
      </c>
      <c r="I43" s="5"/>
      <c r="J43" s="5"/>
      <c r="K43" s="5"/>
      <c r="L43" s="9"/>
    </row>
    <row r="44" spans="1:17" x14ac:dyDescent="0.4">
      <c r="A44" s="20" t="s">
        <v>38</v>
      </c>
      <c r="B44" s="5"/>
      <c r="C44" t="s">
        <v>39</v>
      </c>
      <c r="D44" s="5"/>
      <c r="E44" s="5" t="s">
        <v>40</v>
      </c>
      <c r="F44" s="5"/>
      <c r="G44" s="5"/>
      <c r="H44" s="5" t="s">
        <v>43</v>
      </c>
      <c r="I44" s="5"/>
      <c r="J44" s="5" t="s">
        <v>64</v>
      </c>
      <c r="K44" s="5"/>
      <c r="L44" s="9"/>
      <c r="N44" s="24" t="s">
        <v>62</v>
      </c>
    </row>
    <row r="45" spans="1:17" x14ac:dyDescent="0.4">
      <c r="A45" s="13">
        <f>A42*5/4.5</f>
        <v>0.77666666666666673</v>
      </c>
      <c r="B45" s="5"/>
      <c r="C45">
        <f>A45*C43</f>
        <v>0.34950000000000003</v>
      </c>
      <c r="E45">
        <f>F43/A48</f>
        <v>222792.59140921509</v>
      </c>
      <c r="H45">
        <f>H39-H43</f>
        <v>124.82142857142847</v>
      </c>
      <c r="J45">
        <f>H45-Q48</f>
        <v>78.361196428571333</v>
      </c>
      <c r="L45" s="9"/>
      <c r="N45" s="25">
        <f>SUM(H45,H59,H73)</f>
        <v>557.52278571428565</v>
      </c>
    </row>
    <row r="46" spans="1:17" x14ac:dyDescent="0.4">
      <c r="A46" s="8"/>
      <c r="B46" s="5"/>
      <c r="C46" s="5" t="s">
        <v>52</v>
      </c>
      <c r="D46" s="5"/>
      <c r="E46" s="5"/>
      <c r="F46" s="5"/>
      <c r="G46" s="5"/>
      <c r="H46" s="5" t="s">
        <v>48</v>
      </c>
      <c r="I46" s="5"/>
      <c r="J46" s="5"/>
      <c r="K46" s="5"/>
      <c r="L46" s="9"/>
    </row>
    <row r="47" spans="1:17" x14ac:dyDescent="0.4">
      <c r="A47" s="20" t="s">
        <v>45</v>
      </c>
      <c r="B47" s="5"/>
      <c r="C47" s="5">
        <f>C45/A48</f>
        <v>44.635413797286034</v>
      </c>
      <c r="D47" s="5"/>
      <c r="E47" s="5"/>
      <c r="F47" s="5"/>
      <c r="G47" s="5"/>
      <c r="H47" s="5">
        <f>J45/A48</f>
        <v>10007.680767495547</v>
      </c>
      <c r="I47" s="5"/>
      <c r="J47" s="5"/>
      <c r="K47" s="5"/>
      <c r="L47" s="9"/>
      <c r="N47" t="s">
        <v>60</v>
      </c>
      <c r="Q47" t="s">
        <v>61</v>
      </c>
    </row>
    <row r="48" spans="1:17" x14ac:dyDescent="0.4">
      <c r="A48" s="20">
        <f>SUM(N5,N8,N11,N15,N16,N12)</f>
        <v>7.8301055208600014E-3</v>
      </c>
      <c r="B48" s="5"/>
      <c r="C48" s="14"/>
      <c r="D48" s="5"/>
      <c r="E48" s="5"/>
      <c r="F48" s="5"/>
      <c r="G48" s="5"/>
      <c r="H48" s="5"/>
      <c r="I48" s="5"/>
      <c r="J48" s="5"/>
      <c r="K48" s="5"/>
      <c r="L48" s="9"/>
      <c r="N48">
        <v>1</v>
      </c>
      <c r="Q48">
        <f>N45/(N48+N48+N51)</f>
        <v>46.460232142857137</v>
      </c>
    </row>
    <row r="49" spans="1:14" ht="19.5" thickBot="1" x14ac:dyDescent="0.45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2"/>
    </row>
    <row r="50" spans="1:14" x14ac:dyDescent="0.4">
      <c r="N50" t="s">
        <v>63</v>
      </c>
    </row>
    <row r="51" spans="1:14" ht="19.5" thickBot="1" x14ac:dyDescent="0.45">
      <c r="A51" s="17" t="s">
        <v>31</v>
      </c>
      <c r="C51" s="11"/>
      <c r="D51" s="11"/>
      <c r="E51" s="11"/>
      <c r="F51" s="11"/>
      <c r="N51" s="23">
        <v>10</v>
      </c>
    </row>
    <row r="52" spans="1:14" x14ac:dyDescent="0.4">
      <c r="A52" s="13" t="s">
        <v>32</v>
      </c>
      <c r="B52" s="6"/>
      <c r="C52" s="5" t="s">
        <v>46</v>
      </c>
      <c r="G52" s="6"/>
      <c r="H52" s="15" t="s">
        <v>41</v>
      </c>
      <c r="I52" s="6"/>
      <c r="J52" s="6"/>
      <c r="K52" s="6"/>
      <c r="L52" s="7"/>
    </row>
    <row r="53" spans="1:14" x14ac:dyDescent="0.4">
      <c r="A53" s="14">
        <f>[2]CNデータ!$G$8*1000</f>
        <v>28157.160000000007</v>
      </c>
      <c r="C53" s="5">
        <v>0.08</v>
      </c>
      <c r="G53" s="5"/>
      <c r="H53" s="14">
        <f>[2]CNデータ!$J$8*1000</f>
        <v>1529.28</v>
      </c>
      <c r="I53" s="5"/>
      <c r="J53" s="5"/>
      <c r="K53" s="5"/>
      <c r="L53" s="9"/>
    </row>
    <row r="54" spans="1:14" x14ac:dyDescent="0.4">
      <c r="A54" s="8"/>
      <c r="B54" s="5"/>
      <c r="C54" s="5" t="s">
        <v>47</v>
      </c>
      <c r="F54" s="5" t="s">
        <v>33</v>
      </c>
      <c r="G54" s="5"/>
      <c r="H54" s="5" t="s">
        <v>42</v>
      </c>
      <c r="I54" s="5"/>
      <c r="J54" s="5"/>
      <c r="K54" s="5"/>
      <c r="L54" s="9"/>
    </row>
    <row r="55" spans="1:14" x14ac:dyDescent="0.4">
      <c r="A55" s="1" t="s">
        <v>30</v>
      </c>
      <c r="B55" s="5"/>
      <c r="C55" s="5">
        <f>(C59-3*C53)/4</f>
        <v>7.1172299999999994E-2</v>
      </c>
      <c r="D55" s="5"/>
      <c r="F55" s="5">
        <f>C59*0.44/12*1000000</f>
        <v>19238.603999999999</v>
      </c>
      <c r="G55" s="5"/>
      <c r="H55" s="5">
        <f>3/100</f>
        <v>0.03</v>
      </c>
      <c r="I55" s="5"/>
      <c r="J55" s="5"/>
      <c r="K55" s="5"/>
      <c r="L55" s="9"/>
    </row>
    <row r="56" spans="1:14" x14ac:dyDescent="0.4">
      <c r="A56" s="2">
        <f>[2]CNデータ!$C$8/5</f>
        <v>0.84960000000000002</v>
      </c>
      <c r="B56" s="5"/>
      <c r="C56" s="5" t="s">
        <v>34</v>
      </c>
      <c r="D56" s="5"/>
      <c r="E56" t="s">
        <v>35</v>
      </c>
      <c r="F56" t="s">
        <v>36</v>
      </c>
      <c r="G56" s="5"/>
      <c r="H56" s="16" t="s">
        <v>44</v>
      </c>
      <c r="I56" s="5"/>
      <c r="J56" s="5"/>
      <c r="K56" s="5"/>
      <c r="L56" s="9"/>
    </row>
    <row r="57" spans="1:14" x14ac:dyDescent="0.4">
      <c r="B57" s="5"/>
      <c r="C57" s="5">
        <v>0.8</v>
      </c>
      <c r="D57" s="5"/>
      <c r="E57">
        <f>A59-C59</f>
        <v>0.13117230000000002</v>
      </c>
      <c r="F57">
        <f>A53-F55</f>
        <v>8918.5560000000078</v>
      </c>
      <c r="G57" s="5"/>
      <c r="H57" s="5">
        <f>SUM(J4,J7,J10,J14)/14*1000000</f>
        <v>1124.3339999999998</v>
      </c>
      <c r="I57" s="5"/>
      <c r="J57" s="5"/>
      <c r="K57" s="5"/>
      <c r="L57" s="9"/>
    </row>
    <row r="58" spans="1:14" x14ac:dyDescent="0.4">
      <c r="A58" s="3" t="s">
        <v>38</v>
      </c>
      <c r="B58" s="5"/>
      <c r="C58" t="s">
        <v>39</v>
      </c>
      <c r="D58" s="5"/>
      <c r="E58" s="5" t="s">
        <v>40</v>
      </c>
      <c r="F58" s="5"/>
      <c r="G58" s="5"/>
      <c r="H58" s="5" t="s">
        <v>43</v>
      </c>
      <c r="I58" s="5"/>
      <c r="J58" s="5"/>
      <c r="K58" s="5"/>
      <c r="L58" s="9"/>
    </row>
    <row r="59" spans="1:14" x14ac:dyDescent="0.4">
      <c r="A59" s="4">
        <f>A62*C62</f>
        <v>0.65586149999999999</v>
      </c>
      <c r="C59">
        <f>A59*C57</f>
        <v>0.52468919999999997</v>
      </c>
      <c r="E59">
        <f>F57/A62</f>
        <v>856688.53561308375</v>
      </c>
      <c r="H59">
        <f>H53-H57</f>
        <v>404.94600000000014</v>
      </c>
      <c r="L59" s="9"/>
    </row>
    <row r="60" spans="1:14" x14ac:dyDescent="0.4">
      <c r="A60" s="5"/>
      <c r="B60" s="5"/>
      <c r="C60" s="5"/>
      <c r="D60" s="5"/>
      <c r="E60" s="5"/>
      <c r="F60" s="5"/>
      <c r="G60" s="5"/>
      <c r="H60" s="5" t="s">
        <v>48</v>
      </c>
      <c r="I60" s="5"/>
      <c r="J60" s="5"/>
      <c r="K60" s="5"/>
      <c r="L60" s="9"/>
    </row>
    <row r="61" spans="1:14" x14ac:dyDescent="0.4">
      <c r="A61" s="14" t="s">
        <v>45</v>
      </c>
      <c r="B61" s="5"/>
      <c r="C61" s="3" t="s">
        <v>37</v>
      </c>
      <c r="D61" s="5"/>
      <c r="E61" s="5"/>
      <c r="F61" s="5"/>
      <c r="G61" s="5"/>
      <c r="H61" s="5">
        <f>H59/A62</f>
        <v>38897.843523365846</v>
      </c>
      <c r="I61" s="5"/>
      <c r="J61" s="5"/>
      <c r="K61" s="5"/>
      <c r="L61" s="9"/>
    </row>
    <row r="62" spans="1:14" x14ac:dyDescent="0.4">
      <c r="A62" s="14">
        <f>SUM(N4,N7,N10,N14)</f>
        <v>1.04105E-2</v>
      </c>
      <c r="B62" s="5"/>
      <c r="C62" s="3">
        <v>63</v>
      </c>
      <c r="D62" s="5"/>
      <c r="E62" s="5"/>
      <c r="F62" s="5"/>
      <c r="G62" s="5"/>
      <c r="H62" s="5"/>
      <c r="I62" s="5"/>
      <c r="J62" s="5"/>
      <c r="K62" s="5"/>
      <c r="L62" s="9"/>
    </row>
    <row r="63" spans="1:14" ht="19.5" thickBot="1" x14ac:dyDescent="0.4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2"/>
    </row>
    <row r="65" spans="1:12" ht="19.5" thickBot="1" x14ac:dyDescent="0.45">
      <c r="A65" s="17" t="s">
        <v>49</v>
      </c>
      <c r="C65" s="11"/>
      <c r="D65" s="11"/>
      <c r="E65" s="11"/>
      <c r="F65" s="11"/>
    </row>
    <row r="66" spans="1:12" x14ac:dyDescent="0.4">
      <c r="A66" s="13" t="s">
        <v>32</v>
      </c>
      <c r="B66" s="6"/>
      <c r="C66" s="5"/>
      <c r="G66" s="6"/>
      <c r="H66" s="15" t="s">
        <v>41</v>
      </c>
      <c r="I66" s="6"/>
      <c r="J66" s="6"/>
      <c r="K66" s="6"/>
      <c r="L66" s="7"/>
    </row>
    <row r="67" spans="1:12" x14ac:dyDescent="0.4">
      <c r="A67" s="14">
        <f>[2]CNデータ!$G$9*1000</f>
        <v>30757.87</v>
      </c>
      <c r="C67" s="5"/>
      <c r="G67" s="5"/>
      <c r="H67" s="14">
        <f>[2]CNデータ!$J$9*1000</f>
        <v>444.08571428571429</v>
      </c>
      <c r="I67" s="5"/>
      <c r="J67" s="5"/>
      <c r="K67" s="5"/>
      <c r="L67" s="9"/>
    </row>
    <row r="68" spans="1:12" x14ac:dyDescent="0.4">
      <c r="A68" s="8"/>
      <c r="B68" s="5"/>
      <c r="C68" s="5"/>
      <c r="F68" s="5" t="s">
        <v>33</v>
      </c>
      <c r="G68" s="5"/>
      <c r="H68" s="5" t="s">
        <v>42</v>
      </c>
      <c r="I68" s="5"/>
      <c r="J68" s="5"/>
      <c r="K68" s="5"/>
      <c r="L68" s="9"/>
    </row>
    <row r="69" spans="1:12" x14ac:dyDescent="0.4">
      <c r="A69" s="1" t="s">
        <v>30</v>
      </c>
      <c r="B69" s="5"/>
      <c r="C69" s="5"/>
      <c r="D69" s="5"/>
      <c r="F69" s="5">
        <f>C73*0.44/12*1000000</f>
        <v>25645.95</v>
      </c>
      <c r="G69" s="5"/>
      <c r="H69" s="5">
        <f>1/120</f>
        <v>8.3333333333333332E-3</v>
      </c>
      <c r="I69" s="5"/>
      <c r="J69" s="5"/>
      <c r="K69" s="5"/>
      <c r="L69" s="9"/>
    </row>
    <row r="70" spans="1:12" x14ac:dyDescent="0.4">
      <c r="A70" s="2">
        <f>[2]CNデータ!$C$9/5</f>
        <v>1.0362</v>
      </c>
      <c r="B70" s="5"/>
      <c r="C70" s="5" t="s">
        <v>34</v>
      </c>
      <c r="D70" s="5"/>
      <c r="E70" t="s">
        <v>35</v>
      </c>
      <c r="F70" t="s">
        <v>36</v>
      </c>
      <c r="G70" s="5"/>
      <c r="H70" s="16" t="s">
        <v>44</v>
      </c>
      <c r="I70" s="5"/>
      <c r="J70" s="5"/>
      <c r="K70" s="5"/>
      <c r="L70" s="9"/>
    </row>
    <row r="71" spans="1:12" x14ac:dyDescent="0.4">
      <c r="B71" s="5"/>
      <c r="C71" s="5">
        <v>0.75</v>
      </c>
      <c r="D71" s="5"/>
      <c r="E71">
        <f>A73-C73</f>
        <v>0.23314500000000005</v>
      </c>
      <c r="F71">
        <f>A67-F69</f>
        <v>5111.9199999999983</v>
      </c>
      <c r="G71" s="5"/>
      <c r="H71" s="5">
        <f>SUM(J6,J9,J13,J17)/14*1000000</f>
        <v>416.33035714285717</v>
      </c>
      <c r="I71" s="5"/>
      <c r="J71" s="5"/>
      <c r="K71" s="5"/>
      <c r="L71" s="9"/>
    </row>
    <row r="72" spans="1:12" x14ac:dyDescent="0.4">
      <c r="A72" s="3" t="s">
        <v>51</v>
      </c>
      <c r="B72" s="5"/>
      <c r="C72" t="s">
        <v>39</v>
      </c>
      <c r="D72" s="5"/>
      <c r="E72" s="5" t="s">
        <v>40</v>
      </c>
      <c r="F72" s="5"/>
      <c r="G72" s="5"/>
      <c r="H72" s="5" t="s">
        <v>43</v>
      </c>
      <c r="I72" s="5"/>
      <c r="J72" s="5"/>
      <c r="K72" s="5"/>
      <c r="L72" s="9"/>
    </row>
    <row r="73" spans="1:12" x14ac:dyDescent="0.4">
      <c r="A73" s="4">
        <f>A70/5*4.5</f>
        <v>0.93258000000000008</v>
      </c>
      <c r="C73">
        <f>A73*C71</f>
        <v>0.69943500000000003</v>
      </c>
      <c r="E73">
        <f>F71/A76</f>
        <v>338247.7602045401</v>
      </c>
      <c r="H73">
        <f>H67-H71</f>
        <v>27.755357142857122</v>
      </c>
      <c r="L73" s="9"/>
    </row>
    <row r="74" spans="1:12" x14ac:dyDescent="0.4">
      <c r="A74" s="5"/>
      <c r="B74" s="5"/>
      <c r="C74" s="5" t="s">
        <v>52</v>
      </c>
      <c r="D74" s="5"/>
      <c r="E74" s="5"/>
      <c r="F74" s="5"/>
      <c r="G74" s="5"/>
      <c r="H74" s="5" t="s">
        <v>48</v>
      </c>
      <c r="I74" s="5"/>
      <c r="J74" s="5"/>
      <c r="K74" s="5"/>
      <c r="L74" s="9"/>
    </row>
    <row r="75" spans="1:12" x14ac:dyDescent="0.4">
      <c r="A75" s="14" t="s">
        <v>50</v>
      </c>
      <c r="B75" s="5"/>
      <c r="C75" s="5">
        <f>C73/A76</f>
        <v>46.280521244202298</v>
      </c>
      <c r="D75" s="5"/>
      <c r="E75" s="5"/>
      <c r="F75" s="5"/>
      <c r="G75" s="5"/>
      <c r="H75" s="5">
        <f>H73/A76</f>
        <v>1836.5286208016771</v>
      </c>
      <c r="I75" s="5"/>
      <c r="J75" s="5"/>
      <c r="K75" s="5"/>
      <c r="L75" s="9"/>
    </row>
    <row r="76" spans="1:12" x14ac:dyDescent="0.4">
      <c r="A76" s="14">
        <f>SUM(N6,N9,N13,N17)</f>
        <v>1.5112945602090002E-2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9"/>
    </row>
    <row r="77" spans="1:12" ht="19.5" thickBot="1" x14ac:dyDescent="0.4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2"/>
    </row>
  </sheetData>
  <autoFilter ref="D1:D36"/>
  <phoneticPr fontId="18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elements_inputs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趙 翹楚</dc:creator>
  <cp:lastModifiedBy>趙 翹楚</cp:lastModifiedBy>
  <dcterms:created xsi:type="dcterms:W3CDTF">2023-10-12T04:35:23Z</dcterms:created>
  <dcterms:modified xsi:type="dcterms:W3CDTF">2023-10-18T06:24:25Z</dcterms:modified>
</cp:coreProperties>
</file>