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yoso.cho.TIRD\source\WheatFspm\WheatFspm\fspm-wheat\example\NEMA\Measured_Value\inputs\cnwheat\"/>
    </mc:Choice>
  </mc:AlternateContent>
  <bookViews>
    <workbookView xWindow="0" yWindow="0" windowWidth="28800" windowHeight="12210"/>
  </bookViews>
  <sheets>
    <sheet name="elements_inputs" sheetId="1" r:id="rId1"/>
  </sheets>
  <externalReferences>
    <externalReference r:id="rId2"/>
    <externalReference r:id="rId3"/>
  </externalReferences>
  <definedNames>
    <definedName name="_xlnm._FilterDatabase" localSheetId="0" hidden="1">elements_inputs!$D$1:$D$36</definedName>
  </definedNames>
  <calcPr calcId="162913"/>
</workbook>
</file>

<file path=xl/calcChain.xml><?xml version="1.0" encoding="utf-8"?>
<calcChain xmlns="http://schemas.openxmlformats.org/spreadsheetml/2006/main">
  <c r="V36" i="1" l="1"/>
  <c r="W36" i="1"/>
  <c r="N4" i="1" l="1"/>
  <c r="N7" i="1"/>
  <c r="N10" i="1"/>
  <c r="N14" i="1"/>
  <c r="AE68" i="1" l="1"/>
  <c r="X75" i="1" l="1"/>
  <c r="H55" i="1" l="1"/>
  <c r="H41" i="1"/>
  <c r="X72" i="1" l="1"/>
  <c r="A48" i="1" l="1"/>
  <c r="A62" i="1"/>
  <c r="Z72" i="1" l="1"/>
  <c r="AC68" i="1" l="1"/>
  <c r="Z68" i="1"/>
  <c r="AB70" i="1"/>
  <c r="A56" i="1" l="1"/>
  <c r="A59" i="1" s="1"/>
  <c r="AE66" i="1" l="1"/>
  <c r="X69" i="1"/>
  <c r="C59" i="1"/>
  <c r="E57" i="1" s="1"/>
  <c r="F55" i="1" l="1"/>
  <c r="C61" i="1"/>
  <c r="X66" i="1"/>
  <c r="AC70" i="1" s="1"/>
  <c r="AB72" i="1" s="1"/>
  <c r="K14" i="1" l="1"/>
  <c r="K10" i="1"/>
  <c r="H53" i="1"/>
  <c r="A53" i="1"/>
  <c r="F57" i="1" s="1"/>
  <c r="E59" i="1" s="1"/>
  <c r="A42" i="1"/>
  <c r="H39" i="1"/>
  <c r="K20" i="1"/>
  <c r="K4" i="1" l="1"/>
  <c r="K8" i="1"/>
  <c r="K5" i="1"/>
  <c r="A39" i="1"/>
  <c r="N39" i="1" s="1"/>
  <c r="C39" i="1" s="1"/>
  <c r="M7" i="1"/>
  <c r="K7" i="1"/>
  <c r="C45" i="1"/>
  <c r="A45" i="1"/>
  <c r="E43" i="1" s="1"/>
  <c r="N27" i="1"/>
  <c r="K6" i="1" l="1"/>
  <c r="K13" i="1"/>
  <c r="K17" i="1"/>
  <c r="K9" i="1"/>
  <c r="C47" i="1"/>
  <c r="F41" i="1"/>
  <c r="K16" i="1"/>
  <c r="K12" i="1"/>
  <c r="K11" i="1"/>
  <c r="K15" i="1"/>
  <c r="F43" i="1"/>
  <c r="E45" i="1" s="1"/>
  <c r="J7" i="1"/>
  <c r="M4" i="1"/>
  <c r="M14" i="1"/>
  <c r="J14" i="1"/>
  <c r="J10" i="1"/>
  <c r="M10" i="1"/>
  <c r="M20" i="1"/>
  <c r="J20" i="1"/>
  <c r="J8" i="1" l="1"/>
  <c r="J5" i="1"/>
  <c r="H7" i="1"/>
  <c r="I7" i="1" s="1"/>
  <c r="H4" i="1"/>
  <c r="I4" i="1" s="1"/>
  <c r="J4" i="1"/>
  <c r="AE70" i="1" s="1"/>
  <c r="AE72" i="1" s="1"/>
  <c r="AE74" i="1" s="1"/>
  <c r="H10" i="1"/>
  <c r="I10" i="1" s="1"/>
  <c r="H14" i="1"/>
  <c r="I14" i="1" s="1"/>
  <c r="H20" i="1"/>
  <c r="I20" i="1" s="1"/>
  <c r="H8" i="1" l="1"/>
  <c r="H5" i="1"/>
  <c r="I5" i="1" s="1"/>
  <c r="M13" i="1"/>
  <c r="M6" i="1"/>
  <c r="M17" i="1" s="1"/>
  <c r="M9" i="1"/>
  <c r="J6" i="1"/>
  <c r="J17" i="1"/>
  <c r="J9" i="1"/>
  <c r="J13" i="1"/>
  <c r="J16" i="1"/>
  <c r="J12" i="1"/>
  <c r="J11" i="1"/>
  <c r="H43" i="1" s="1"/>
  <c r="H45" i="1" s="1"/>
  <c r="J15" i="1"/>
  <c r="M5" i="1"/>
  <c r="M8" i="1"/>
  <c r="H57" i="1" l="1"/>
  <c r="H59" i="1" s="1"/>
  <c r="H61" i="1" s="1"/>
  <c r="M16" i="1"/>
  <c r="M12" i="1"/>
  <c r="M11" i="1"/>
  <c r="M15" i="1"/>
  <c r="H15" i="1"/>
  <c r="I15" i="1" s="1"/>
  <c r="H12" i="1"/>
  <c r="I12" i="1" s="1"/>
  <c r="H16" i="1"/>
  <c r="I16" i="1" s="1"/>
  <c r="H11" i="1"/>
  <c r="I11" i="1" s="1"/>
  <c r="I8" i="1"/>
  <c r="H17" i="1"/>
  <c r="I17" i="1" s="1"/>
  <c r="H13" i="1"/>
  <c r="I13" i="1" s="1"/>
  <c r="H6" i="1"/>
  <c r="I6" i="1" s="1"/>
  <c r="H9" i="1"/>
  <c r="I9" i="1" s="1"/>
  <c r="N45" i="1" l="1"/>
  <c r="Q48" i="1" s="1"/>
  <c r="J45" i="1" s="1"/>
  <c r="H47" i="1" s="1"/>
</calcChain>
</file>

<file path=xl/sharedStrings.xml><?xml version="1.0" encoding="utf-8"?>
<sst xmlns="http://schemas.openxmlformats.org/spreadsheetml/2006/main" count="145" uniqueCount="68">
  <si>
    <t>plant</t>
  </si>
  <si>
    <t>axis</t>
  </si>
  <si>
    <t>metamer</t>
  </si>
  <si>
    <t>organ</t>
  </si>
  <si>
    <t>element</t>
  </si>
  <si>
    <t>nitrates</t>
  </si>
  <si>
    <t>starch</t>
  </si>
  <si>
    <t>amino_acids</t>
  </si>
  <si>
    <t>proteins</t>
  </si>
  <si>
    <t>Nstruct</t>
  </si>
  <si>
    <t>mstruct</t>
  </si>
  <si>
    <t>fructan</t>
  </si>
  <si>
    <t>sucrose</t>
  </si>
  <si>
    <t>green_area</t>
  </si>
  <si>
    <t>cytokinins</t>
  </si>
  <si>
    <t>triosesP</t>
  </si>
  <si>
    <t>Ag</t>
  </si>
  <si>
    <t>Tr</t>
  </si>
  <si>
    <t>Ts</t>
  </si>
  <si>
    <t>is_growing</t>
  </si>
  <si>
    <t>senesced_mstruct</t>
  </si>
  <si>
    <t>MS</t>
  </si>
  <si>
    <t>sheath</t>
  </si>
  <si>
    <t>StemElement</t>
  </si>
  <si>
    <t>internode</t>
  </si>
  <si>
    <t>blade</t>
  </si>
  <si>
    <t>LeafElement1</t>
  </si>
  <si>
    <t>HiddenElement</t>
  </si>
  <si>
    <t>peduncle</t>
  </si>
  <si>
    <t>ear</t>
  </si>
  <si>
    <t>1 culm dry mass</t>
    <phoneticPr fontId="18"/>
  </si>
  <si>
    <t>blade</t>
    <phoneticPr fontId="18"/>
  </si>
  <si>
    <t>total C (umol)</t>
    <phoneticPr fontId="18"/>
  </si>
  <si>
    <t>mstruct C (umol)</t>
    <phoneticPr fontId="18"/>
  </si>
  <si>
    <t>mstruct : dry mass</t>
    <phoneticPr fontId="18"/>
  </si>
  <si>
    <t>non-struct mass (g)</t>
    <phoneticPr fontId="18"/>
  </si>
  <si>
    <t>non-struct mass C (umol)</t>
    <phoneticPr fontId="18"/>
  </si>
  <si>
    <t>dry mass (g) : leaf area (m2)</t>
    <phoneticPr fontId="18"/>
  </si>
  <si>
    <t>dry mass modified by leaf area(g)</t>
    <phoneticPr fontId="18"/>
  </si>
  <si>
    <t>mstruct (g)</t>
    <phoneticPr fontId="18"/>
  </si>
  <si>
    <t>sucrose(umol):green area(m2)</t>
    <phoneticPr fontId="18"/>
  </si>
  <si>
    <t>total N (umol)</t>
    <phoneticPr fontId="18"/>
  </si>
  <si>
    <t>Nstruct:mstruct</t>
    <phoneticPr fontId="18"/>
  </si>
  <si>
    <t>non-struct mass N (umol)</t>
    <phoneticPr fontId="18"/>
  </si>
  <si>
    <t>struct mass N (umol)</t>
    <phoneticPr fontId="18"/>
  </si>
  <si>
    <t>total leaf area (m2)</t>
    <phoneticPr fontId="18"/>
  </si>
  <si>
    <t>a(g) bassal leaf mstruct</t>
    <phoneticPr fontId="18"/>
  </si>
  <si>
    <t>b(g) secondary bassal leaf mstruct</t>
    <phoneticPr fontId="18"/>
  </si>
  <si>
    <t>non-struct mass N (umol) : green area(m2)</t>
    <phoneticPr fontId="18"/>
  </si>
  <si>
    <t>sheath</t>
    <phoneticPr fontId="18"/>
  </si>
  <si>
    <t>total sheath area (m2)</t>
    <phoneticPr fontId="18"/>
  </si>
  <si>
    <t>dry mass modified by leaf(g)</t>
    <phoneticPr fontId="18"/>
  </si>
  <si>
    <t>mstruct(g):area(m2)</t>
    <phoneticPr fontId="18"/>
  </si>
  <si>
    <t>internode</t>
    <phoneticPr fontId="18"/>
  </si>
  <si>
    <t>total C in whole plant (umol)</t>
    <phoneticPr fontId="18"/>
  </si>
  <si>
    <t>organ:phloem C ratio</t>
    <phoneticPr fontId="18"/>
  </si>
  <si>
    <t>C in phloem</t>
    <phoneticPr fontId="18"/>
  </si>
  <si>
    <t>non-pholem C (umol)</t>
    <phoneticPr fontId="18"/>
  </si>
  <si>
    <t>organ AA :phloem ratio</t>
    <phoneticPr fontId="18"/>
  </si>
  <si>
    <t>non-struct N in phloem (umol)</t>
    <phoneticPr fontId="18"/>
  </si>
  <si>
    <t>total non-struct N in whole plant (umol)</t>
    <phoneticPr fontId="18"/>
  </si>
  <si>
    <t>organ protein:phloem ratio</t>
    <phoneticPr fontId="18"/>
  </si>
  <si>
    <t>non-struct non phloem mass N (umol)</t>
    <phoneticPr fontId="18"/>
  </si>
  <si>
    <t>axis total dry mass (g)</t>
    <phoneticPr fontId="18"/>
  </si>
  <si>
    <t>original Nstruct:mstruct</t>
    <phoneticPr fontId="18"/>
  </si>
  <si>
    <t>original mstruct:dry mass</t>
    <phoneticPr fontId="18"/>
  </si>
  <si>
    <t xml:space="preserve">zhao note: refer to the given sample input data, the Nstruct:mstruct ratio is about 0.008, also considering N content in rice should typically higher than the wheat, the value 0.01 may be a proper value. </t>
    <phoneticPr fontId="18"/>
  </si>
  <si>
    <t>t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</si>
</sst>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4" fillId="33" borderId="0" xfId="0" applyFont="1" applyFill="1">
      <alignment vertical="center"/>
    </xf>
    <xf numFmtId="0" fontId="19" fillId="33" borderId="0" xfId="0" applyFont="1" applyFill="1">
      <alignment vertical="center"/>
    </xf>
    <xf numFmtId="0" fontId="14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19" fillId="0" borderId="13" xfId="0" applyFont="1" applyBorder="1">
      <alignment vertical="center"/>
    </xf>
    <xf numFmtId="0" fontId="14" fillId="0" borderId="0" xfId="0" applyFont="1" applyBorder="1">
      <alignment vertical="center"/>
    </xf>
    <xf numFmtId="0" fontId="14" fillId="0" borderId="11" xfId="0" applyFont="1" applyBorder="1">
      <alignment vertical="center"/>
    </xf>
    <xf numFmtId="0" fontId="0" fillId="0" borderId="0" xfId="0" applyFill="1" applyBorder="1">
      <alignment vertical="center"/>
    </xf>
    <xf numFmtId="0" fontId="20" fillId="0" borderId="16" xfId="0" applyFont="1" applyBorder="1">
      <alignment vertical="center"/>
    </xf>
    <xf numFmtId="0" fontId="20" fillId="0" borderId="0" xfId="0" applyFont="1" applyBorder="1">
      <alignment vertical="center"/>
    </xf>
    <xf numFmtId="0" fontId="19" fillId="0" borderId="10" xfId="0" applyFont="1" applyBorder="1">
      <alignment vertical="center"/>
    </xf>
    <xf numFmtId="0" fontId="14" fillId="0" borderId="13" xfId="0" applyFont="1" applyBorder="1">
      <alignment vertical="center"/>
    </xf>
    <xf numFmtId="0" fontId="14" fillId="33" borderId="13" xfId="0" applyFont="1" applyFill="1" applyBorder="1">
      <alignment vertical="center"/>
    </xf>
    <xf numFmtId="0" fontId="19" fillId="33" borderId="13" xfId="0" applyFont="1" applyFill="1" applyBorder="1">
      <alignment vertical="center"/>
    </xf>
    <xf numFmtId="176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1" fillId="0" borderId="13" xfId="0" applyFont="1" applyBorder="1">
      <alignment vertical="center"/>
    </xf>
    <xf numFmtId="0" fontId="22" fillId="0" borderId="13" xfId="0" applyFont="1" applyBorder="1">
      <alignment vertical="center"/>
    </xf>
    <xf numFmtId="0" fontId="0" fillId="34" borderId="0" xfId="0" applyFill="1">
      <alignment vertical="center"/>
    </xf>
    <xf numFmtId="0" fontId="14" fillId="34" borderId="0" xfId="0" applyFont="1" applyFill="1">
      <alignment vertical="center"/>
    </xf>
    <xf numFmtId="11" fontId="14" fillId="0" borderId="0" xfId="0" applyNumberFormat="1" applyFont="1" applyBorder="1">
      <alignment vertical="center"/>
    </xf>
    <xf numFmtId="11" fontId="14" fillId="0" borderId="13" xfId="0" applyNumberFormat="1" applyFont="1" applyBorder="1">
      <alignment vertical="center"/>
    </xf>
    <xf numFmtId="11" fontId="14" fillId="34" borderId="0" xfId="0" applyNumberFormat="1" applyFont="1" applyFill="1">
      <alignment vertical="center"/>
    </xf>
    <xf numFmtId="11" fontId="0" fillId="0" borderId="0" xfId="0" applyNumberFormat="1">
      <alignment vertical="center"/>
    </xf>
    <xf numFmtId="11" fontId="14" fillId="0" borderId="0" xfId="0" applyNumberFormat="1" applyFont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elements_inputs!$S$30:$X$30</c:f>
              <c:numCache>
                <c:formatCode>General</c:formatCode>
                <c:ptCount val="6"/>
                <c:pt idx="0">
                  <c:v>2.6849999999999999E-3</c:v>
                </c:pt>
                <c:pt idx="1">
                  <c:v>2.9581999999999981E-3</c:v>
                </c:pt>
                <c:pt idx="2">
                  <c:v>2.9004E-3</c:v>
                </c:pt>
                <c:pt idx="3">
                  <c:v>1.3575999999999998E-3</c:v>
                </c:pt>
                <c:pt idx="4">
                  <c:v>3.4460000000000003E-4</c:v>
                </c:pt>
                <c:pt idx="5">
                  <c:v>4.77999999999998E-5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1-48B2-89DB-AFBB4DBF06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elements_inputs!$S$31:$X$31</c:f>
              <c:numCache>
                <c:formatCode>General</c:formatCode>
                <c:ptCount val="6"/>
                <c:pt idx="0">
                  <c:v>3.1438E-3</c:v>
                </c:pt>
                <c:pt idx="1">
                  <c:v>2.9265999999999997E-3</c:v>
                </c:pt>
                <c:pt idx="2">
                  <c:v>1.9917999999999997E-3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1-48B2-89DB-AFBB4DBF06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elements_inputs!$S$32:$X$32</c:f>
              <c:numCache>
                <c:formatCode>General</c:formatCode>
                <c:ptCount val="6"/>
                <c:pt idx="0">
                  <c:v>2.7525999999999996E-3</c:v>
                </c:pt>
                <c:pt idx="1">
                  <c:v>2.0139999999999997E-3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61-48B2-89DB-AFBB4DBF06E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elements_inputs!$S$33:$X$33</c:f>
              <c:numCache>
                <c:formatCode>General</c:formatCode>
                <c:ptCount val="6"/>
                <c:pt idx="0">
                  <c:v>1.4895999999999998E-3</c:v>
                </c:pt>
                <c:pt idx="1">
                  <c:v>1.5459999999999998E-3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61-48B2-89DB-AFBB4DBF0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060143"/>
        <c:axId val="1691776703"/>
      </c:lineChart>
      <c:catAx>
        <c:axId val="1821060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1776703"/>
        <c:crosses val="autoZero"/>
        <c:auto val="1"/>
        <c:lblAlgn val="ctr"/>
        <c:lblOffset val="100"/>
        <c:noMultiLvlLbl val="0"/>
      </c:catAx>
      <c:valAx>
        <c:axId val="16917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106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1419226</xdr:colOff>
      <xdr:row>79</xdr:row>
      <xdr:rowOff>1</xdr:rowOff>
    </xdr:from>
    <xdr:to>
      <xdr:col>11</xdr:col>
      <xdr:colOff>400050</xdr:colOff>
      <xdr:row>82</xdr:row>
      <xdr:rowOff>19050</xdr:rowOff>
    </xdr:to>
    <xdr:sp macro="" textlink="">
      <xdr:nvSpPr>
        <xdr:cNvPr id="2" name="テキスト ボックス 1"/>
        <xdr:cNvSpPr txBox="1"/>
      </xdr:nvSpPr>
      <xdr:spPr>
        <a:xfrm>
          <a:off x="6219826" y="18888076"/>
          <a:ext cx="5543549" cy="733424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/>
            <a:t>1.</a:t>
          </a:r>
          <a:r>
            <a:rPr kumimoji="1" lang="en-US" altLang="ja-JP" sz="1600" baseline="0"/>
            <a:t> </a:t>
          </a:r>
          <a:r>
            <a:rPr kumimoji="1" lang="ja-JP" altLang="en-US" sz="1600"/>
            <a:t>実測データでは葉身よりも葉鞘のほうが</a:t>
          </a:r>
          <a:r>
            <a:rPr kumimoji="1" lang="en-US" altLang="ja-JP" sz="1600"/>
            <a:t>C</a:t>
          </a:r>
          <a:r>
            <a:rPr kumimoji="1" lang="ja-JP" altLang="en-US" sz="1600"/>
            <a:t>がある</a:t>
          </a:r>
          <a:endParaRPr kumimoji="1" lang="en-US" altLang="ja-JP" sz="1600"/>
        </a:p>
        <a:p>
          <a:r>
            <a:rPr kumimoji="1" lang="en-US" altLang="ja-JP" sz="1600"/>
            <a:t>2. update the width data when program starts running</a:t>
          </a:r>
        </a:p>
      </xdr:txBody>
    </xdr:sp>
    <xdr:clientData/>
  </xdr:twoCellAnchor>
  <xdr:twoCellAnchor>
    <xdr:from>
      <xdr:col>8</xdr:col>
      <xdr:colOff>247650</xdr:colOff>
      <xdr:row>26</xdr:row>
      <xdr:rowOff>171450</xdr:rowOff>
    </xdr:from>
    <xdr:to>
      <xdr:col>14</xdr:col>
      <xdr:colOff>238125</xdr:colOff>
      <xdr:row>38</xdr:row>
      <xdr:rowOff>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849;&#26377;&#12489;&#12521;&#12452;&#12502;\&#31934;&#23494;&#36786;&#26989;&#12481;&#12540;&#12512;\temp\takeru.kano\&#29694;&#22320;&#35336;&#28204;&#38306;&#36899;\2023-24&#20316;_&#23567;&#40614;\&#12463;&#12510;&#12480;&#27096;&#22275;&#22580;\&#20491;&#21029;&#12487;&#12540;&#12479;\&#36249;&#20837;&#2114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849;&#26377;&#12489;&#12521;&#12452;&#12502;\&#31934;&#23494;&#36786;&#26989;&#12481;&#12540;&#12512;\temp\takeru.kano\&#29694;&#22320;&#35336;&#28204;&#38306;&#36899;\2023&#27178;&#30000;&#36786;&#22580;_CN&#20998;&#26512;&#32080;&#265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40410_趙入力"/>
      <sheetName val="Sheet2"/>
    </sheetNames>
    <sheetDataSet>
      <sheetData sheetId="0">
        <row r="4">
          <cell r="AA4">
            <v>8.7360000000000007E-2</v>
          </cell>
        </row>
        <row r="5">
          <cell r="AA5">
            <v>0.12272000000000001</v>
          </cell>
        </row>
        <row r="6">
          <cell r="AA6">
            <v>0.11232</v>
          </cell>
        </row>
        <row r="7">
          <cell r="AA7">
            <v>5.6160000000000002E-2</v>
          </cell>
        </row>
        <row r="9">
          <cell r="Z9">
            <v>0.65780000000000005</v>
          </cell>
        </row>
        <row r="10">
          <cell r="AA10">
            <v>0.15344000000000002</v>
          </cell>
        </row>
        <row r="11">
          <cell r="AA11">
            <v>0.10204000000000001</v>
          </cell>
        </row>
        <row r="12">
          <cell r="AA12">
            <v>0.13156000000000001</v>
          </cell>
        </row>
        <row r="15">
          <cell r="AB15">
            <v>777.13999999999942</v>
          </cell>
          <cell r="AC15">
            <v>1.9219200000000002E-4</v>
          </cell>
          <cell r="AE15">
            <v>284.23199999999997</v>
          </cell>
        </row>
        <row r="16">
          <cell r="AB16">
            <v>1009.8833333333332</v>
          </cell>
          <cell r="AC16">
            <v>2.6998400000000002E-4</v>
          </cell>
          <cell r="AE16">
            <v>312.71685714285712</v>
          </cell>
        </row>
        <row r="17">
          <cell r="AB17">
            <v>788.57999999999993</v>
          </cell>
          <cell r="AC17">
            <v>2.47104E-4</v>
          </cell>
          <cell r="AE17">
            <v>296.24399999999991</v>
          </cell>
        </row>
        <row r="18">
          <cell r="AB18">
            <v>374.98500000000058</v>
          </cell>
          <cell r="AC18">
            <v>1.23552E-4</v>
          </cell>
          <cell r="AE18">
            <v>120.042</v>
          </cell>
        </row>
        <row r="19">
          <cell r="X19">
            <v>17916.523333333331</v>
          </cell>
          <cell r="Y19">
            <v>368.07285714285717</v>
          </cell>
        </row>
        <row r="20">
          <cell r="X20">
            <v>23280.638333333332</v>
          </cell>
          <cell r="Y20">
            <v>408.77571428571429</v>
          </cell>
        </row>
        <row r="21">
          <cell r="AB21">
            <v>1.5983333333324481</v>
          </cell>
          <cell r="AC21">
            <v>3.3756800000000006E-4</v>
          </cell>
          <cell r="AE21">
            <v>277.28800000000001</v>
          </cell>
        </row>
        <row r="22">
          <cell r="AB22">
            <v>996.29291666666631</v>
          </cell>
          <cell r="AC22">
            <v>2.89432E-4</v>
          </cell>
          <cell r="AE22">
            <v>81.520214285714289</v>
          </cell>
        </row>
        <row r="23">
          <cell r="AB23">
            <v>737.66416666666555</v>
          </cell>
          <cell r="AC23">
            <v>2.2448800000000001E-4</v>
          </cell>
          <cell r="AE23">
            <v>75.983357142857145</v>
          </cell>
        </row>
        <row r="35">
          <cell r="H35">
            <v>2.6849999999999999E-3</v>
          </cell>
        </row>
        <row r="36">
          <cell r="H36">
            <v>3.1438E-3</v>
          </cell>
        </row>
        <row r="37">
          <cell r="H37">
            <v>2.7525999999999996E-3</v>
          </cell>
        </row>
        <row r="38">
          <cell r="H38">
            <v>1.4895999999999998E-3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データ"/>
      <sheetName val="3回分比較"/>
      <sheetName val="Sheet1"/>
      <sheetName val="3回分増減率"/>
      <sheetName val="Sample Data CN ratio"/>
    </sheetNames>
    <sheetDataSet>
      <sheetData sheetId="0">
        <row r="8">
          <cell r="C8">
            <v>4.2480000000000002</v>
          </cell>
          <cell r="G8">
            <v>28.157160000000008</v>
          </cell>
          <cell r="J8">
            <v>1.52928</v>
          </cell>
        </row>
        <row r="9">
          <cell r="C9">
            <v>5.181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76"/>
  <sheetViews>
    <sheetView tabSelected="1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J4" sqref="J4"/>
    </sheetView>
  </sheetViews>
  <sheetFormatPr defaultRowHeight="18.75" x14ac:dyDescent="0.4"/>
  <cols>
    <col min="1" max="1" width="14.625" customWidth="1"/>
    <col min="3" max="3" width="10.875" customWidth="1"/>
    <col min="4" max="4" width="13.375" customWidth="1"/>
    <col min="5" max="5" width="25.25" customWidth="1"/>
    <col min="7" max="7" width="8.25" customWidth="1"/>
    <col min="8" max="10" width="9.5" bestFit="1" customWidth="1"/>
    <col min="12" max="12" width="7.25" customWidth="1"/>
    <col min="13" max="13" width="10.875" customWidth="1"/>
    <col min="14" max="14" width="14" customWidth="1"/>
    <col min="18" max="18" width="10.875" customWidth="1"/>
    <col min="19" max="19" width="8.5" customWidth="1"/>
    <col min="23" max="23" width="9" customWidth="1"/>
    <col min="24" max="24" width="12" customWidth="1"/>
  </cols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">
      <c r="A2">
        <v>1</v>
      </c>
      <c r="B2" t="s">
        <v>21</v>
      </c>
      <c r="C2">
        <v>8</v>
      </c>
      <c r="D2" t="s">
        <v>22</v>
      </c>
      <c r="E2" t="s">
        <v>23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b">
        <v>0</v>
      </c>
      <c r="U2">
        <v>0</v>
      </c>
    </row>
    <row r="3" spans="1:21" x14ac:dyDescent="0.4">
      <c r="A3">
        <v>1</v>
      </c>
      <c r="B3" t="s">
        <v>21</v>
      </c>
      <c r="C3">
        <v>8</v>
      </c>
      <c r="D3" t="s">
        <v>24</v>
      </c>
      <c r="E3" t="s">
        <v>23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t="b">
        <v>0</v>
      </c>
      <c r="U3">
        <v>0</v>
      </c>
    </row>
    <row r="4" spans="1:21" s="28" customFormat="1" x14ac:dyDescent="0.4">
      <c r="A4" s="28">
        <v>1</v>
      </c>
      <c r="B4" s="28" t="s">
        <v>21</v>
      </c>
      <c r="C4" s="28">
        <v>9</v>
      </c>
      <c r="D4" s="28" t="s">
        <v>25</v>
      </c>
      <c r="E4" s="28" t="s">
        <v>26</v>
      </c>
      <c r="F4" s="28">
        <v>0</v>
      </c>
      <c r="G4" s="28">
        <v>0</v>
      </c>
      <c r="H4" s="32">
        <f>'[1]20240410_趙入力'!$AE$18/11</f>
        <v>10.912909090909091</v>
      </c>
      <c r="I4" s="29">
        <f t="shared" ref="I4:I9" si="0">H4*10</f>
        <v>109.12909090909091</v>
      </c>
      <c r="J4" s="32">
        <f>'[1]20240410_趙入力'!$AC$18</f>
        <v>1.23552E-4</v>
      </c>
      <c r="K4" s="29">
        <f>'[1]20240410_趙入力'!$AA$7</f>
        <v>5.6160000000000002E-2</v>
      </c>
      <c r="L4" s="28">
        <v>0</v>
      </c>
      <c r="M4" s="32">
        <f>'[1]20240410_趙入力'!$AB$18</f>
        <v>374.98500000000058</v>
      </c>
      <c r="N4" s="32">
        <f>'[1]20240410_趙入力'!$H$38</f>
        <v>1.4895999999999998E-3</v>
      </c>
      <c r="O4" s="28">
        <v>2.5</v>
      </c>
      <c r="P4" s="28">
        <v>0</v>
      </c>
      <c r="Q4" s="28">
        <v>0</v>
      </c>
      <c r="R4" s="28">
        <v>0</v>
      </c>
      <c r="S4" s="28">
        <v>18</v>
      </c>
      <c r="T4" s="28" t="b">
        <v>0</v>
      </c>
      <c r="U4" s="28">
        <v>0</v>
      </c>
    </row>
    <row r="5" spans="1:21" x14ac:dyDescent="0.4">
      <c r="A5">
        <v>1</v>
      </c>
      <c r="B5" t="s">
        <v>21</v>
      </c>
      <c r="C5">
        <v>9</v>
      </c>
      <c r="D5" t="s">
        <v>24</v>
      </c>
      <c r="E5" t="s">
        <v>27</v>
      </c>
      <c r="F5">
        <v>0</v>
      </c>
      <c r="G5">
        <v>0</v>
      </c>
      <c r="H5" s="34">
        <f>'[1]20240410_趙入力'!$AE$22/11</f>
        <v>7.4109285714285713</v>
      </c>
      <c r="I5" s="3">
        <f t="shared" si="0"/>
        <v>74.109285714285718</v>
      </c>
      <c r="J5" s="34">
        <f>'[1]20240410_趙入力'!$AC$22</f>
        <v>2.89432E-4</v>
      </c>
      <c r="K5" s="34">
        <f>'[1]20240410_趙入力'!$AA$12</f>
        <v>0.13156000000000001</v>
      </c>
      <c r="L5">
        <v>0</v>
      </c>
      <c r="M5" s="34">
        <f>'[1]20240410_趙入力'!$AB$22</f>
        <v>996.29291666666631</v>
      </c>
      <c r="N5">
        <v>1E-4</v>
      </c>
      <c r="O5">
        <v>0.1</v>
      </c>
      <c r="P5">
        <v>0</v>
      </c>
      <c r="Q5">
        <v>0</v>
      </c>
      <c r="R5">
        <v>0</v>
      </c>
      <c r="S5">
        <v>18</v>
      </c>
      <c r="T5" t="b">
        <v>0</v>
      </c>
      <c r="U5">
        <v>0</v>
      </c>
    </row>
    <row r="6" spans="1:21" x14ac:dyDescent="0.4">
      <c r="A6">
        <v>1</v>
      </c>
      <c r="B6" t="s">
        <v>21</v>
      </c>
      <c r="C6">
        <v>9</v>
      </c>
      <c r="D6" t="s">
        <v>22</v>
      </c>
      <c r="E6" t="s">
        <v>23</v>
      </c>
      <c r="F6">
        <v>0</v>
      </c>
      <c r="G6">
        <v>0</v>
      </c>
      <c r="H6" s="34">
        <f>'[1]20240410_趙入力'!$AE$23/11</f>
        <v>6.9075779220779223</v>
      </c>
      <c r="I6" s="3">
        <f t="shared" si="0"/>
        <v>69.075779220779225</v>
      </c>
      <c r="J6" s="34">
        <f>'[1]20240410_趙入力'!$AC$23</f>
        <v>2.2448800000000001E-4</v>
      </c>
      <c r="K6" s="3">
        <f>'[1]20240410_趙入力'!$AA$11</f>
        <v>0.10204000000000001</v>
      </c>
      <c r="L6">
        <v>0</v>
      </c>
      <c r="M6" s="34">
        <f>'[1]20240410_趙入力'!$AB$23</f>
        <v>737.66416666666555</v>
      </c>
      <c r="N6">
        <v>2.0000000000000001E-4</v>
      </c>
      <c r="O6">
        <v>0.15</v>
      </c>
      <c r="P6">
        <v>0</v>
      </c>
      <c r="Q6">
        <v>0</v>
      </c>
      <c r="R6">
        <v>0</v>
      </c>
      <c r="S6">
        <v>18</v>
      </c>
      <c r="T6" t="b">
        <v>0</v>
      </c>
      <c r="U6">
        <v>0</v>
      </c>
    </row>
    <row r="7" spans="1:21" s="28" customFormat="1" x14ac:dyDescent="0.4">
      <c r="A7" s="28">
        <v>1</v>
      </c>
      <c r="B7" s="28" t="s">
        <v>21</v>
      </c>
      <c r="C7" s="28">
        <v>10</v>
      </c>
      <c r="D7" s="28" t="s">
        <v>25</v>
      </c>
      <c r="E7" s="28" t="s">
        <v>26</v>
      </c>
      <c r="F7" s="28">
        <v>0</v>
      </c>
      <c r="G7" s="28">
        <v>0</v>
      </c>
      <c r="H7" s="32">
        <f>'[1]20240410_趙入力'!$AE$17/11</f>
        <v>26.93127272727272</v>
      </c>
      <c r="I7" s="29">
        <f t="shared" si="0"/>
        <v>269.31272727272722</v>
      </c>
      <c r="J7" s="32">
        <f>'[1]20240410_趙入力'!$AC$17</f>
        <v>2.47104E-4</v>
      </c>
      <c r="K7" s="29">
        <f>'[1]20240410_趙入力'!$AA$6</f>
        <v>0.11232</v>
      </c>
      <c r="L7" s="28">
        <v>0</v>
      </c>
      <c r="M7" s="32">
        <f>'[1]20240410_趙入力'!$AB$17</f>
        <v>788.57999999999993</v>
      </c>
      <c r="N7" s="32">
        <f>'[1]20240410_趙入力'!$H$37</f>
        <v>2.7525999999999996E-3</v>
      </c>
      <c r="O7" s="28">
        <v>3.5</v>
      </c>
      <c r="P7" s="28">
        <v>0</v>
      </c>
      <c r="Q7" s="28">
        <v>0</v>
      </c>
      <c r="R7" s="28">
        <v>0</v>
      </c>
      <c r="S7" s="28">
        <v>18</v>
      </c>
      <c r="T7" s="28" t="b">
        <v>0</v>
      </c>
      <c r="U7" s="28">
        <v>0</v>
      </c>
    </row>
    <row r="8" spans="1:21" x14ac:dyDescent="0.4">
      <c r="A8">
        <v>1</v>
      </c>
      <c r="B8" t="s">
        <v>21</v>
      </c>
      <c r="C8">
        <v>10</v>
      </c>
      <c r="D8" t="s">
        <v>24</v>
      </c>
      <c r="E8" t="s">
        <v>27</v>
      </c>
      <c r="F8">
        <v>0</v>
      </c>
      <c r="G8">
        <v>0</v>
      </c>
      <c r="H8" s="34">
        <f>'[1]20240410_趙入力'!$AE$22/11</f>
        <v>7.4109285714285713</v>
      </c>
      <c r="I8" s="3">
        <f t="shared" si="0"/>
        <v>74.109285714285718</v>
      </c>
      <c r="J8" s="34">
        <f>'[1]20240410_趙入力'!$AC$22</f>
        <v>2.89432E-4</v>
      </c>
      <c r="K8" s="34">
        <f>'[1]20240410_趙入力'!$AA$12</f>
        <v>0.13156000000000001</v>
      </c>
      <c r="L8">
        <v>0</v>
      </c>
      <c r="M8" s="34">
        <f>'[1]20240410_趙入力'!$AB$22</f>
        <v>996.29291666666631</v>
      </c>
      <c r="N8">
        <v>2.5000000000000001E-4</v>
      </c>
      <c r="O8">
        <v>0.1</v>
      </c>
      <c r="P8">
        <v>0</v>
      </c>
      <c r="Q8">
        <v>0</v>
      </c>
      <c r="R8">
        <v>0</v>
      </c>
      <c r="S8">
        <v>18</v>
      </c>
      <c r="T8" t="b">
        <v>0</v>
      </c>
      <c r="U8">
        <v>0</v>
      </c>
    </row>
    <row r="9" spans="1:21" x14ac:dyDescent="0.4">
      <c r="A9">
        <v>1</v>
      </c>
      <c r="B9" t="s">
        <v>21</v>
      </c>
      <c r="C9">
        <v>10</v>
      </c>
      <c r="D9" t="s">
        <v>22</v>
      </c>
      <c r="E9" t="s">
        <v>23</v>
      </c>
      <c r="F9">
        <v>0</v>
      </c>
      <c r="G9">
        <v>0</v>
      </c>
      <c r="H9" s="34">
        <f>'[1]20240410_趙入力'!$AE$23/11</f>
        <v>6.9075779220779223</v>
      </c>
      <c r="I9" s="3">
        <f t="shared" si="0"/>
        <v>69.075779220779225</v>
      </c>
      <c r="J9" s="34">
        <f>'[1]20240410_趙入力'!$AC$23</f>
        <v>2.2448800000000001E-4</v>
      </c>
      <c r="K9" s="3">
        <f>'[1]20240410_趙入力'!$AA$11</f>
        <v>0.10204000000000001</v>
      </c>
      <c r="L9">
        <v>0</v>
      </c>
      <c r="M9" s="34">
        <f>'[1]20240410_趙入力'!$AB$23</f>
        <v>737.66416666666555</v>
      </c>
      <c r="N9">
        <v>4.0000000000000002E-4</v>
      </c>
      <c r="O9">
        <v>0.15</v>
      </c>
      <c r="P9">
        <v>0</v>
      </c>
      <c r="Q9">
        <v>0</v>
      </c>
      <c r="R9">
        <v>0</v>
      </c>
      <c r="S9">
        <v>18</v>
      </c>
      <c r="T9" t="b">
        <v>0</v>
      </c>
      <c r="U9">
        <v>0</v>
      </c>
    </row>
    <row r="10" spans="1:21" s="28" customFormat="1" x14ac:dyDescent="0.4">
      <c r="A10" s="28">
        <v>1</v>
      </c>
      <c r="B10" s="28" t="s">
        <v>21</v>
      </c>
      <c r="C10" s="28">
        <v>11</v>
      </c>
      <c r="D10" s="28" t="s">
        <v>25</v>
      </c>
      <c r="E10" s="28" t="s">
        <v>26</v>
      </c>
      <c r="F10" s="28">
        <v>0</v>
      </c>
      <c r="G10" s="28">
        <v>0</v>
      </c>
      <c r="H10" s="32">
        <f>'[1]20240410_趙入力'!$AE$16/11</f>
        <v>28.428805194805193</v>
      </c>
      <c r="I10" s="29">
        <f>H10*10</f>
        <v>284.28805194805193</v>
      </c>
      <c r="J10" s="32">
        <f>'[1]20240410_趙入力'!$AC$16</f>
        <v>2.6998400000000002E-4</v>
      </c>
      <c r="K10" s="29">
        <f>'[1]20240410_趙入力'!$AA$5</f>
        <v>0.12272000000000001</v>
      </c>
      <c r="L10" s="28">
        <v>0</v>
      </c>
      <c r="M10" s="32">
        <f>'[1]20240410_趙入力'!$AB$16</f>
        <v>1009.8833333333332</v>
      </c>
      <c r="N10" s="32">
        <f>'[1]20240410_趙入力'!$H$36</f>
        <v>3.1438E-3</v>
      </c>
      <c r="O10" s="28">
        <v>8</v>
      </c>
      <c r="P10" s="28">
        <v>0</v>
      </c>
      <c r="Q10" s="28">
        <v>0</v>
      </c>
      <c r="R10" s="28">
        <v>0</v>
      </c>
      <c r="S10" s="28">
        <v>18</v>
      </c>
      <c r="T10" s="28" t="b">
        <v>0</v>
      </c>
      <c r="U10" s="28">
        <v>0</v>
      </c>
    </row>
    <row r="11" spans="1:21" x14ac:dyDescent="0.4">
      <c r="A11">
        <v>1</v>
      </c>
      <c r="B11" t="s">
        <v>21</v>
      </c>
      <c r="C11">
        <v>11</v>
      </c>
      <c r="D11" t="s">
        <v>24</v>
      </c>
      <c r="E11" t="s">
        <v>27</v>
      </c>
      <c r="F11">
        <v>0</v>
      </c>
      <c r="G11">
        <v>0</v>
      </c>
      <c r="H11" s="34">
        <f>H8/2</f>
        <v>3.7054642857142857</v>
      </c>
      <c r="I11" s="3">
        <f t="shared" ref="I11:I12" si="1">H11*10</f>
        <v>37.054642857142859</v>
      </c>
      <c r="J11" s="34">
        <f>J8/2</f>
        <v>1.44716E-4</v>
      </c>
      <c r="K11" s="34">
        <f>K8/2</f>
        <v>6.5780000000000005E-2</v>
      </c>
      <c r="L11">
        <v>0</v>
      </c>
      <c r="M11" s="34">
        <f>$M$5/2</f>
        <v>498.14645833333316</v>
      </c>
      <c r="N11">
        <v>4.0000000000000002E-4</v>
      </c>
      <c r="O11">
        <v>0.15</v>
      </c>
      <c r="P11">
        <v>0</v>
      </c>
      <c r="Q11">
        <v>0</v>
      </c>
      <c r="R11">
        <v>0</v>
      </c>
      <c r="S11">
        <v>18</v>
      </c>
      <c r="T11" t="b">
        <v>0</v>
      </c>
      <c r="U11">
        <v>0</v>
      </c>
    </row>
    <row r="12" spans="1:21" ht="19.5" customHeight="1" x14ac:dyDescent="0.4">
      <c r="A12">
        <v>1</v>
      </c>
      <c r="B12" t="s">
        <v>21</v>
      </c>
      <c r="C12">
        <v>11</v>
      </c>
      <c r="D12" t="s">
        <v>24</v>
      </c>
      <c r="E12" t="s">
        <v>23</v>
      </c>
      <c r="F12">
        <v>0</v>
      </c>
      <c r="G12">
        <v>0</v>
      </c>
      <c r="H12" s="34">
        <f>H8/2</f>
        <v>3.7054642857142857</v>
      </c>
      <c r="I12" s="3">
        <f t="shared" si="1"/>
        <v>37.054642857142859</v>
      </c>
      <c r="J12" s="34">
        <f>J8/2</f>
        <v>1.44716E-4</v>
      </c>
      <c r="K12" s="34">
        <f>K8/2</f>
        <v>6.5780000000000005E-2</v>
      </c>
      <c r="L12">
        <v>0</v>
      </c>
      <c r="M12" s="34">
        <f>$M$5/2</f>
        <v>498.14645833333316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t="b">
        <v>0</v>
      </c>
      <c r="U12">
        <v>0</v>
      </c>
    </row>
    <row r="13" spans="1:21" x14ac:dyDescent="0.4">
      <c r="A13">
        <v>1</v>
      </c>
      <c r="B13" t="s">
        <v>21</v>
      </c>
      <c r="C13">
        <v>11</v>
      </c>
      <c r="D13" t="s">
        <v>22</v>
      </c>
      <c r="E13" t="s">
        <v>23</v>
      </c>
      <c r="F13">
        <v>0</v>
      </c>
      <c r="G13">
        <v>0</v>
      </c>
      <c r="H13" s="34">
        <f>'[1]20240410_趙入力'!$AE$23/11</f>
        <v>6.9075779220779223</v>
      </c>
      <c r="I13" s="3">
        <f>H13*10</f>
        <v>69.075779220779225</v>
      </c>
      <c r="J13" s="34">
        <f>'[1]20240410_趙入力'!$AC$23</f>
        <v>2.2448800000000001E-4</v>
      </c>
      <c r="K13" s="3">
        <f>'[1]20240410_趙入力'!$AA$11</f>
        <v>0.10204000000000001</v>
      </c>
      <c r="L13">
        <v>0</v>
      </c>
      <c r="M13" s="34">
        <f>'[1]20240410_趙入力'!$AB$23</f>
        <v>737.66416666666555</v>
      </c>
      <c r="N13">
        <v>5.0000000000000001E-4</v>
      </c>
      <c r="O13">
        <v>0.2</v>
      </c>
      <c r="P13">
        <v>0</v>
      </c>
      <c r="Q13">
        <v>0</v>
      </c>
      <c r="R13">
        <v>0</v>
      </c>
      <c r="S13">
        <v>18</v>
      </c>
      <c r="T13" t="b">
        <v>0</v>
      </c>
      <c r="U13">
        <v>0</v>
      </c>
    </row>
    <row r="14" spans="1:21" s="28" customFormat="1" x14ac:dyDescent="0.4">
      <c r="A14" s="28">
        <v>1</v>
      </c>
      <c r="B14" s="28" t="s">
        <v>21</v>
      </c>
      <c r="C14" s="28">
        <v>12</v>
      </c>
      <c r="D14" s="28" t="s">
        <v>25</v>
      </c>
      <c r="E14" s="28" t="s">
        <v>26</v>
      </c>
      <c r="F14" s="28">
        <v>0</v>
      </c>
      <c r="G14" s="28">
        <v>0</v>
      </c>
      <c r="H14" s="32">
        <f>'[1]20240410_趙入力'!$AE$15/11</f>
        <v>25.839272727272725</v>
      </c>
      <c r="I14" s="29">
        <f>H14*10</f>
        <v>258.39272727272726</v>
      </c>
      <c r="J14" s="32">
        <f>'[1]20240410_趙入力'!$AC$15</f>
        <v>1.9219200000000002E-4</v>
      </c>
      <c r="K14" s="29">
        <f>'[1]20240410_趙入力'!$AA$4</f>
        <v>8.7360000000000007E-2</v>
      </c>
      <c r="L14" s="28">
        <v>0</v>
      </c>
      <c r="M14" s="32">
        <f>'[1]20240410_趙入力'!$AB$15</f>
        <v>777.13999999999942</v>
      </c>
      <c r="N14" s="32">
        <f>'[1]20240410_趙入力'!$H$35</f>
        <v>2.6849999999999999E-3</v>
      </c>
      <c r="O14" s="28">
        <v>15</v>
      </c>
      <c r="P14" s="28">
        <v>0</v>
      </c>
      <c r="Q14" s="28">
        <v>0</v>
      </c>
      <c r="R14" s="28">
        <v>0</v>
      </c>
      <c r="S14" s="28">
        <v>18</v>
      </c>
      <c r="T14" s="28" t="b">
        <v>0</v>
      </c>
      <c r="U14" s="28">
        <v>0</v>
      </c>
    </row>
    <row r="15" spans="1:21" x14ac:dyDescent="0.4">
      <c r="A15">
        <v>1</v>
      </c>
      <c r="B15" t="s">
        <v>21</v>
      </c>
      <c r="C15">
        <v>12</v>
      </c>
      <c r="D15" t="s">
        <v>24</v>
      </c>
      <c r="E15" t="s">
        <v>27</v>
      </c>
      <c r="F15">
        <v>0</v>
      </c>
      <c r="G15">
        <v>0</v>
      </c>
      <c r="H15" s="34">
        <f>H8/2</f>
        <v>3.7054642857142857</v>
      </c>
      <c r="I15" s="3">
        <f t="shared" ref="I15:I16" si="2">H15*10</f>
        <v>37.054642857142859</v>
      </c>
      <c r="J15" s="34">
        <f>J8/2</f>
        <v>1.44716E-4</v>
      </c>
      <c r="K15" s="34">
        <f>K8/2</f>
        <v>6.5780000000000005E-2</v>
      </c>
      <c r="L15">
        <v>0</v>
      </c>
      <c r="M15" s="34">
        <f>$M$5/2</f>
        <v>498.14645833333316</v>
      </c>
      <c r="N15">
        <v>4.0000000000000002E-4</v>
      </c>
      <c r="O15">
        <v>0.5</v>
      </c>
      <c r="P15">
        <v>0</v>
      </c>
      <c r="Q15">
        <v>0</v>
      </c>
      <c r="R15">
        <v>0</v>
      </c>
      <c r="S15">
        <v>18</v>
      </c>
      <c r="T15" t="b">
        <v>0</v>
      </c>
      <c r="U15">
        <v>0</v>
      </c>
    </row>
    <row r="16" spans="1:21" x14ac:dyDescent="0.4">
      <c r="A16">
        <v>1</v>
      </c>
      <c r="B16" t="s">
        <v>21</v>
      </c>
      <c r="C16">
        <v>12</v>
      </c>
      <c r="D16" t="s">
        <v>24</v>
      </c>
      <c r="E16" t="s">
        <v>23</v>
      </c>
      <c r="F16">
        <v>0</v>
      </c>
      <c r="G16">
        <v>0</v>
      </c>
      <c r="H16" s="34">
        <f>H8/2</f>
        <v>3.7054642857142857</v>
      </c>
      <c r="I16" s="3">
        <f t="shared" si="2"/>
        <v>37.054642857142859</v>
      </c>
      <c r="J16" s="34">
        <f>J8/2</f>
        <v>1.44716E-4</v>
      </c>
      <c r="K16" s="34">
        <f>K8/2</f>
        <v>6.5780000000000005E-2</v>
      </c>
      <c r="L16">
        <v>0</v>
      </c>
      <c r="M16" s="34">
        <f>$M$5/2</f>
        <v>498.14645833333316</v>
      </c>
      <c r="N16">
        <v>8.0000000000000007E-5</v>
      </c>
      <c r="O16">
        <v>0.5</v>
      </c>
      <c r="P16">
        <v>0</v>
      </c>
      <c r="Q16">
        <v>0</v>
      </c>
      <c r="R16">
        <v>0</v>
      </c>
      <c r="S16">
        <v>18</v>
      </c>
      <c r="T16" t="b">
        <v>0</v>
      </c>
      <c r="U16">
        <v>0</v>
      </c>
    </row>
    <row r="17" spans="1:25" x14ac:dyDescent="0.4">
      <c r="A17">
        <v>1</v>
      </c>
      <c r="B17" t="s">
        <v>21</v>
      </c>
      <c r="C17">
        <v>12</v>
      </c>
      <c r="D17" t="s">
        <v>22</v>
      </c>
      <c r="E17" t="s">
        <v>23</v>
      </c>
      <c r="F17">
        <v>0</v>
      </c>
      <c r="G17">
        <v>0</v>
      </c>
      <c r="H17" s="34">
        <f>'[1]20240410_趙入力'!$AE$23/11</f>
        <v>6.9075779220779223</v>
      </c>
      <c r="I17" s="3">
        <f>H17*10</f>
        <v>69.075779220779225</v>
      </c>
      <c r="J17" s="34">
        <f>'[1]20240410_趙入力'!$AC$23</f>
        <v>2.2448800000000001E-4</v>
      </c>
      <c r="K17" s="3">
        <f>'[1]20240410_趙入力'!$AA$11</f>
        <v>0.10204000000000001</v>
      </c>
      <c r="L17">
        <v>0</v>
      </c>
      <c r="M17" s="34">
        <f>$M$6</f>
        <v>737.66416666666555</v>
      </c>
      <c r="N17">
        <v>5.9999999999999995E-4</v>
      </c>
      <c r="O17">
        <v>0.5</v>
      </c>
      <c r="P17">
        <v>0</v>
      </c>
      <c r="Q17">
        <v>0</v>
      </c>
      <c r="R17">
        <v>0</v>
      </c>
      <c r="S17">
        <v>18</v>
      </c>
      <c r="T17" t="b">
        <v>0</v>
      </c>
      <c r="U17">
        <v>0</v>
      </c>
    </row>
    <row r="18" spans="1:25" x14ac:dyDescent="0.4">
      <c r="A18">
        <v>1</v>
      </c>
      <c r="B18" t="s">
        <v>21</v>
      </c>
      <c r="C18">
        <v>13</v>
      </c>
      <c r="D18" t="s">
        <v>28</v>
      </c>
      <c r="E18" t="s">
        <v>27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33">
        <v>0</v>
      </c>
      <c r="N18">
        <v>0</v>
      </c>
      <c r="O18">
        <v>0.7</v>
      </c>
      <c r="P18">
        <v>0</v>
      </c>
      <c r="Q18">
        <v>0</v>
      </c>
      <c r="R18">
        <v>0</v>
      </c>
      <c r="S18">
        <v>18</v>
      </c>
      <c r="T18" t="b">
        <v>0</v>
      </c>
      <c r="U18">
        <v>0</v>
      </c>
    </row>
    <row r="19" spans="1:25" x14ac:dyDescent="0.4">
      <c r="A19">
        <v>1</v>
      </c>
      <c r="B19" t="s">
        <v>21</v>
      </c>
      <c r="C19">
        <v>13</v>
      </c>
      <c r="D19" t="s">
        <v>28</v>
      </c>
      <c r="E19" t="s">
        <v>23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0.85</v>
      </c>
      <c r="P19">
        <v>0</v>
      </c>
      <c r="Q19">
        <v>0</v>
      </c>
      <c r="R19">
        <v>0</v>
      </c>
      <c r="S19">
        <v>18</v>
      </c>
      <c r="T19" t="b">
        <v>0</v>
      </c>
      <c r="U19">
        <v>0</v>
      </c>
    </row>
    <row r="20" spans="1:25" x14ac:dyDescent="0.4">
      <c r="A20">
        <v>1</v>
      </c>
      <c r="B20" t="s">
        <v>21</v>
      </c>
      <c r="C20">
        <v>14</v>
      </c>
      <c r="D20" t="s">
        <v>29</v>
      </c>
      <c r="E20" t="s">
        <v>23</v>
      </c>
      <c r="F20">
        <v>0</v>
      </c>
      <c r="G20">
        <v>0</v>
      </c>
      <c r="H20" s="34">
        <f>'[1]20240410_趙入力'!$AE$21/11</f>
        <v>25.208000000000002</v>
      </c>
      <c r="I20" s="34">
        <f>H20*10</f>
        <v>252.08</v>
      </c>
      <c r="J20" s="34">
        <f>'[1]20240410_趙入力'!$AC$21</f>
        <v>3.3756800000000006E-4</v>
      </c>
      <c r="K20" s="34">
        <f>'[1]20240410_趙入力'!$AA$10</f>
        <v>0.15344000000000002</v>
      </c>
      <c r="L20">
        <v>0</v>
      </c>
      <c r="M20" s="34">
        <f>'[1]20240410_趙入力'!$AB$21</f>
        <v>1.5983333333324481</v>
      </c>
      <c r="N20" s="24">
        <v>1.5E-3</v>
      </c>
      <c r="O20">
        <v>15</v>
      </c>
      <c r="P20">
        <v>0</v>
      </c>
      <c r="Q20">
        <v>0</v>
      </c>
      <c r="R20">
        <v>0</v>
      </c>
      <c r="S20">
        <v>18</v>
      </c>
      <c r="T20" t="b">
        <v>0</v>
      </c>
      <c r="U20">
        <v>0</v>
      </c>
    </row>
    <row r="22" spans="1:25" ht="19.5" thickBot="1" x14ac:dyDescent="0.45">
      <c r="A22" s="18"/>
      <c r="C22" s="11"/>
      <c r="D22" s="11"/>
      <c r="E22" s="11"/>
      <c r="F22" s="11"/>
    </row>
    <row r="23" spans="1:25" x14ac:dyDescent="0.4">
      <c r="A23" s="19"/>
      <c r="B23" s="6"/>
      <c r="C23" s="5"/>
      <c r="G23" s="6"/>
      <c r="H23" s="15"/>
      <c r="I23" s="6"/>
      <c r="J23" s="6"/>
      <c r="K23" s="6"/>
      <c r="L23" s="7"/>
    </row>
    <row r="24" spans="1:25" x14ac:dyDescent="0.4">
      <c r="A24" s="31"/>
      <c r="B24" s="5"/>
      <c r="C24" s="5"/>
      <c r="G24" s="5"/>
      <c r="H24" s="30"/>
      <c r="I24" s="5"/>
      <c r="J24" s="5"/>
      <c r="K24" s="5"/>
      <c r="L24" s="9"/>
    </row>
    <row r="25" spans="1:25" x14ac:dyDescent="0.4">
      <c r="A25" s="8"/>
      <c r="B25" s="5"/>
      <c r="C25" s="5"/>
      <c r="F25" s="5"/>
      <c r="G25" s="5"/>
      <c r="H25" s="5"/>
      <c r="I25" s="5"/>
      <c r="J25" s="5"/>
      <c r="K25" s="5"/>
      <c r="L25" s="9"/>
    </row>
    <row r="26" spans="1:25" x14ac:dyDescent="0.4">
      <c r="A26" s="21"/>
      <c r="B26" s="5"/>
      <c r="C26" s="5"/>
      <c r="D26" s="5"/>
      <c r="F26" s="5"/>
      <c r="G26" s="5"/>
      <c r="H26" s="5"/>
      <c r="I26" s="5"/>
      <c r="J26" s="5"/>
      <c r="K26" s="5"/>
      <c r="L26" s="9"/>
      <c r="N26" s="3" t="s">
        <v>63</v>
      </c>
    </row>
    <row r="27" spans="1:25" x14ac:dyDescent="0.4">
      <c r="A27" s="22"/>
      <c r="B27" s="5"/>
      <c r="C27" s="5"/>
      <c r="D27" s="5"/>
      <c r="G27" s="5"/>
      <c r="H27" s="5"/>
      <c r="I27" s="5"/>
      <c r="J27" s="5"/>
      <c r="K27" s="5"/>
      <c r="L27" s="9"/>
      <c r="N27" s="4">
        <f>SUM(A27,A42,X69,A56)*0.8</f>
        <v>2.0348800000000002</v>
      </c>
    </row>
    <row r="28" spans="1:25" x14ac:dyDescent="0.4">
      <c r="A28" s="8"/>
      <c r="B28" s="5"/>
      <c r="C28" s="5"/>
      <c r="D28" s="5"/>
      <c r="G28" s="5"/>
      <c r="H28" s="5"/>
      <c r="I28" s="5"/>
      <c r="J28" s="5"/>
      <c r="K28" s="5"/>
      <c r="L28" s="9"/>
    </row>
    <row r="29" spans="1:25" ht="19.5" thickBot="1" x14ac:dyDescent="0.45">
      <c r="A29" s="20"/>
      <c r="B29" s="5"/>
      <c r="D29" s="5"/>
      <c r="E29" s="5"/>
      <c r="F29" s="5"/>
      <c r="G29" s="5"/>
      <c r="H29" s="5"/>
      <c r="I29" s="5"/>
      <c r="J29" s="5"/>
      <c r="K29" s="5"/>
      <c r="L29" s="9"/>
      <c r="R29" t="s">
        <v>67</v>
      </c>
      <c r="S29">
        <v>0</v>
      </c>
      <c r="T29">
        <v>120</v>
      </c>
      <c r="U29">
        <v>288</v>
      </c>
      <c r="V29">
        <v>480</v>
      </c>
      <c r="W29">
        <v>648</v>
      </c>
      <c r="X29">
        <v>816</v>
      </c>
    </row>
    <row r="30" spans="1:25" ht="19.5" thickBot="1" x14ac:dyDescent="0.45">
      <c r="A30" s="13"/>
      <c r="B30" s="5"/>
      <c r="L30" s="9"/>
      <c r="S30" s="35">
        <v>2.6849999999999999E-3</v>
      </c>
      <c r="T30" s="35">
        <v>2.9581999999999981E-3</v>
      </c>
      <c r="U30" s="35">
        <v>2.9004E-3</v>
      </c>
      <c r="V30" s="35">
        <v>1.3575999999999998E-3</v>
      </c>
      <c r="W30" s="35">
        <v>3.4460000000000003E-4</v>
      </c>
      <c r="X30" s="35">
        <v>4.77999999999998E-5</v>
      </c>
      <c r="Y30">
        <v>12</v>
      </c>
    </row>
    <row r="31" spans="1:25" ht="19.5" thickBot="1" x14ac:dyDescent="0.45">
      <c r="A31" s="8"/>
      <c r="B31" s="5"/>
      <c r="C31" s="5"/>
      <c r="D31" s="5"/>
      <c r="E31" s="5"/>
      <c r="F31" s="5"/>
      <c r="G31" s="5"/>
      <c r="H31" s="5"/>
      <c r="I31" s="5"/>
      <c r="J31" s="5"/>
      <c r="K31" s="5"/>
      <c r="L31" s="9"/>
      <c r="S31">
        <v>3.1438E-3</v>
      </c>
      <c r="T31" s="35">
        <v>2.9265999999999997E-3</v>
      </c>
      <c r="U31" s="35">
        <v>1.9917999999999997E-3</v>
      </c>
      <c r="V31">
        <v>0</v>
      </c>
      <c r="W31">
        <v>0</v>
      </c>
      <c r="X31">
        <v>0</v>
      </c>
      <c r="Y31">
        <v>11</v>
      </c>
    </row>
    <row r="32" spans="1:25" ht="19.5" thickBot="1" x14ac:dyDescent="0.45">
      <c r="A32" s="26"/>
      <c r="B32" s="5"/>
      <c r="C32" s="5"/>
      <c r="D32" s="5"/>
      <c r="E32" s="5"/>
      <c r="F32" s="5"/>
      <c r="G32" s="5"/>
      <c r="H32" s="5"/>
      <c r="I32" s="5"/>
      <c r="J32" s="5"/>
      <c r="K32" s="5"/>
      <c r="L32" s="9"/>
      <c r="S32">
        <v>2.7525999999999996E-3</v>
      </c>
      <c r="T32" s="35">
        <v>2.0139999999999997E-3</v>
      </c>
      <c r="U32">
        <v>0</v>
      </c>
      <c r="V32">
        <v>0</v>
      </c>
      <c r="W32">
        <v>0</v>
      </c>
      <c r="X32">
        <v>0</v>
      </c>
      <c r="Y32">
        <v>10</v>
      </c>
    </row>
    <row r="33" spans="1:25" x14ac:dyDescent="0.4">
      <c r="A33" s="27"/>
      <c r="B33" s="5"/>
      <c r="C33" s="14"/>
      <c r="D33" s="5"/>
      <c r="E33" s="5"/>
      <c r="F33" s="5"/>
      <c r="G33" s="5"/>
      <c r="H33" s="5"/>
      <c r="I33" s="5"/>
      <c r="J33" s="5"/>
      <c r="K33" s="5"/>
      <c r="L33" s="9"/>
      <c r="S33">
        <v>1.4895999999999998E-3</v>
      </c>
      <c r="T33" s="35">
        <v>1.5459999999999998E-3</v>
      </c>
      <c r="U33">
        <v>0</v>
      </c>
      <c r="V33">
        <v>0</v>
      </c>
      <c r="W33">
        <v>0</v>
      </c>
      <c r="X33">
        <v>0</v>
      </c>
      <c r="Y33">
        <v>9</v>
      </c>
    </row>
    <row r="34" spans="1:25" ht="19.5" thickBot="1" x14ac:dyDescent="0.4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2"/>
    </row>
    <row r="35" spans="1:25" x14ac:dyDescent="0.4">
      <c r="A35" s="3"/>
    </row>
    <row r="36" spans="1:25" x14ac:dyDescent="0.4">
      <c r="V36" s="36">
        <f>0.531/3</f>
        <v>0.17700000000000002</v>
      </c>
      <c r="W36" s="36">
        <f>1.354/3</f>
        <v>0.45133333333333336</v>
      </c>
    </row>
    <row r="37" spans="1:25" ht="19.5" thickBot="1" x14ac:dyDescent="0.45">
      <c r="A37" s="18" t="s">
        <v>53</v>
      </c>
      <c r="C37" s="11"/>
      <c r="D37" s="11"/>
      <c r="E37" s="11"/>
      <c r="F37" s="11"/>
    </row>
    <row r="38" spans="1:25" x14ac:dyDescent="0.4">
      <c r="A38" s="19" t="s">
        <v>32</v>
      </c>
      <c r="B38" s="6"/>
      <c r="C38" s="5" t="s">
        <v>57</v>
      </c>
      <c r="G38" s="6"/>
      <c r="H38" s="15" t="s">
        <v>41</v>
      </c>
      <c r="I38" s="6"/>
      <c r="J38" s="6"/>
      <c r="K38" s="6"/>
      <c r="L38" s="7"/>
      <c r="N38" s="3" t="s">
        <v>54</v>
      </c>
      <c r="P38" t="s">
        <v>56</v>
      </c>
    </row>
    <row r="39" spans="1:25" x14ac:dyDescent="0.4">
      <c r="A39" s="31">
        <f>'[1]20240410_趙入力'!$X$20</f>
        <v>23280.638333333332</v>
      </c>
      <c r="B39" s="5"/>
      <c r="C39" s="5">
        <f>A39-P39</f>
        <v>22449.638333333332</v>
      </c>
      <c r="G39" s="5"/>
      <c r="H39" s="30">
        <f>'[1]20240410_趙入力'!$Y$20</f>
        <v>408.77571428571429</v>
      </c>
      <c r="I39" s="5"/>
      <c r="J39" s="5"/>
      <c r="K39" s="5"/>
      <c r="L39" s="9"/>
      <c r="N39" s="4">
        <f>SUM(A39,X66,A53)</f>
        <v>69354.32166666667</v>
      </c>
      <c r="P39">
        <v>831</v>
      </c>
    </row>
    <row r="40" spans="1:25" x14ac:dyDescent="0.4">
      <c r="A40" s="8"/>
      <c r="B40" s="5"/>
      <c r="C40" s="5"/>
      <c r="F40" s="5" t="s">
        <v>33</v>
      </c>
      <c r="G40" s="5"/>
      <c r="H40" s="5" t="s">
        <v>42</v>
      </c>
      <c r="I40" s="5"/>
      <c r="J40" s="5"/>
      <c r="K40" s="5"/>
      <c r="L40" s="9"/>
    </row>
    <row r="41" spans="1:25" x14ac:dyDescent="0.4">
      <c r="A41" s="21" t="s">
        <v>30</v>
      </c>
      <c r="B41" s="5"/>
      <c r="C41" s="5"/>
      <c r="D41" s="5"/>
      <c r="F41" s="5">
        <f>C45*0.44/12*1000000</f>
        <v>10853.7</v>
      </c>
      <c r="G41" s="5"/>
      <c r="H41" s="5">
        <f>1/100</f>
        <v>0.01</v>
      </c>
      <c r="I41" s="5"/>
      <c r="J41" s="5"/>
      <c r="K41" s="5"/>
      <c r="L41" s="9"/>
      <c r="N41" t="s">
        <v>55</v>
      </c>
    </row>
    <row r="42" spans="1:25" x14ac:dyDescent="0.4">
      <c r="A42" s="22">
        <f>'[1]20240410_趙入力'!$Z$9</f>
        <v>0.65780000000000005</v>
      </c>
      <c r="B42" s="5"/>
      <c r="C42" s="5" t="s">
        <v>34</v>
      </c>
      <c r="D42" s="5"/>
      <c r="E42" t="s">
        <v>35</v>
      </c>
      <c r="F42" t="s">
        <v>36</v>
      </c>
      <c r="G42" s="5"/>
      <c r="H42" s="16" t="s">
        <v>44</v>
      </c>
      <c r="I42" s="5"/>
      <c r="J42" s="5"/>
      <c r="K42" s="5"/>
      <c r="L42" s="9"/>
      <c r="N42" s="23">
        <v>9</v>
      </c>
    </row>
    <row r="43" spans="1:25" x14ac:dyDescent="0.4">
      <c r="A43" s="8"/>
      <c r="B43" s="5"/>
      <c r="C43" s="5">
        <v>0.45</v>
      </c>
      <c r="D43" s="5"/>
      <c r="E43">
        <f>A45-C45</f>
        <v>0.43487888888888887</v>
      </c>
      <c r="F43">
        <f>C39-F41</f>
        <v>11595.938333333332</v>
      </c>
      <c r="G43" s="5"/>
      <c r="H43" s="5">
        <f>SUM(J5,J8,J11,J12,J15,J16)/14*1000000</f>
        <v>82.694857142857146</v>
      </c>
      <c r="I43" s="5"/>
      <c r="J43" s="5"/>
      <c r="K43" s="5"/>
      <c r="L43" s="9"/>
    </row>
    <row r="44" spans="1:25" x14ac:dyDescent="0.4">
      <c r="A44" s="20" t="s">
        <v>38</v>
      </c>
      <c r="B44" s="5"/>
      <c r="C44" t="s">
        <v>39</v>
      </c>
      <c r="D44" s="5"/>
      <c r="E44" s="5" t="s">
        <v>40</v>
      </c>
      <c r="F44" s="5"/>
      <c r="G44" s="5"/>
      <c r="H44" s="5" t="s">
        <v>43</v>
      </c>
      <c r="I44" s="5"/>
      <c r="J44" s="5" t="s">
        <v>62</v>
      </c>
      <c r="K44" s="5"/>
      <c r="L44" s="9"/>
      <c r="N44" s="24" t="s">
        <v>60</v>
      </c>
    </row>
    <row r="45" spans="1:25" x14ac:dyDescent="0.4">
      <c r="A45" s="13">
        <f>A42*5/4.5</f>
        <v>0.73088888888888892</v>
      </c>
      <c r="B45" s="5"/>
      <c r="C45">
        <f>A42*C43</f>
        <v>0.29601000000000005</v>
      </c>
      <c r="E45">
        <f>F43/A48</f>
        <v>9427592.1409214083</v>
      </c>
      <c r="H45">
        <f>H39-H43</f>
        <v>326.08085714285716</v>
      </c>
      <c r="J45">
        <f>H45-Q48</f>
        <v>151.09700000000001</v>
      </c>
      <c r="L45" s="9"/>
      <c r="N45" s="25">
        <f>SUM(H45,AE72,H59)</f>
        <v>2099.8062857142859</v>
      </c>
    </row>
    <row r="46" spans="1:25" x14ac:dyDescent="0.4">
      <c r="A46" s="8"/>
      <c r="B46" s="5"/>
      <c r="C46" s="5" t="s">
        <v>52</v>
      </c>
      <c r="D46" s="5"/>
      <c r="E46" s="5"/>
      <c r="F46" s="5"/>
      <c r="G46" s="5"/>
      <c r="H46" s="5" t="s">
        <v>48</v>
      </c>
      <c r="I46" s="5"/>
      <c r="J46" s="5"/>
      <c r="K46" s="5"/>
      <c r="L46" s="9"/>
    </row>
    <row r="47" spans="1:25" x14ac:dyDescent="0.4">
      <c r="A47" s="20" t="s">
        <v>45</v>
      </c>
      <c r="B47" s="5"/>
      <c r="C47" s="5">
        <f>C45/A48</f>
        <v>240.65853658536591</v>
      </c>
      <c r="D47" s="5"/>
      <c r="E47" s="5"/>
      <c r="F47" s="5"/>
      <c r="G47" s="5"/>
      <c r="H47" s="5">
        <f>J45/A48</f>
        <v>122843.08943089432</v>
      </c>
      <c r="I47" s="5"/>
      <c r="J47" s="5"/>
      <c r="K47" s="5"/>
      <c r="L47" s="9"/>
      <c r="N47" t="s">
        <v>58</v>
      </c>
      <c r="Q47" t="s">
        <v>59</v>
      </c>
    </row>
    <row r="48" spans="1:25" x14ac:dyDescent="0.4">
      <c r="A48" s="20">
        <f>SUM(N5,N8,N11,N15,N16,N12)</f>
        <v>1.23E-3</v>
      </c>
      <c r="B48" s="5"/>
      <c r="C48" s="14"/>
      <c r="D48" s="5"/>
      <c r="E48" s="5"/>
      <c r="F48" s="5"/>
      <c r="G48" s="5"/>
      <c r="H48" s="5"/>
      <c r="I48" s="5"/>
      <c r="J48" s="5"/>
      <c r="K48" s="5"/>
      <c r="L48" s="9"/>
      <c r="N48">
        <v>1</v>
      </c>
      <c r="Q48">
        <f>N45/(N48+N48+N51)</f>
        <v>174.98385714285715</v>
      </c>
    </row>
    <row r="49" spans="1:29" ht="19.5" thickBot="1" x14ac:dyDescent="0.4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2"/>
    </row>
    <row r="50" spans="1:29" x14ac:dyDescent="0.4">
      <c r="N50" t="s">
        <v>61</v>
      </c>
    </row>
    <row r="51" spans="1:29" ht="19.5" thickBot="1" x14ac:dyDescent="0.45">
      <c r="A51" s="17" t="s">
        <v>49</v>
      </c>
      <c r="C51" s="11"/>
      <c r="D51" s="11"/>
      <c r="E51" s="11"/>
      <c r="F51" s="11"/>
      <c r="N51" s="23">
        <v>10</v>
      </c>
    </row>
    <row r="52" spans="1:29" x14ac:dyDescent="0.4">
      <c r="A52" s="13" t="s">
        <v>32</v>
      </c>
      <c r="B52" s="6"/>
      <c r="C52" s="5"/>
      <c r="G52" s="6"/>
      <c r="H52" s="15" t="s">
        <v>41</v>
      </c>
      <c r="I52" s="6"/>
      <c r="J52" s="6"/>
      <c r="K52" s="6"/>
      <c r="L52" s="7"/>
    </row>
    <row r="53" spans="1:29" x14ac:dyDescent="0.4">
      <c r="A53" s="30">
        <f>'[1]20240410_趙入力'!$X$19</f>
        <v>17916.523333333331</v>
      </c>
      <c r="C53" s="5"/>
      <c r="G53" s="5"/>
      <c r="H53" s="30">
        <f>'[1]20240410_趙入力'!$Y$19</f>
        <v>368.07285714285717</v>
      </c>
      <c r="I53" s="5"/>
      <c r="J53" s="5"/>
      <c r="K53" s="5"/>
      <c r="L53" s="9"/>
    </row>
    <row r="54" spans="1:29" x14ac:dyDescent="0.4">
      <c r="A54" s="8"/>
      <c r="B54" s="5"/>
      <c r="C54" s="5"/>
      <c r="F54" s="5" t="s">
        <v>33</v>
      </c>
      <c r="G54" s="5"/>
      <c r="H54" s="5" t="s">
        <v>42</v>
      </c>
      <c r="I54" s="5"/>
      <c r="J54" s="5"/>
      <c r="K54" s="5"/>
      <c r="L54" s="9"/>
      <c r="N54" t="s">
        <v>64</v>
      </c>
    </row>
    <row r="55" spans="1:29" x14ac:dyDescent="0.4">
      <c r="A55" s="1" t="s">
        <v>30</v>
      </c>
      <c r="B55" s="5"/>
      <c r="C55" s="5"/>
      <c r="D55" s="5"/>
      <c r="F55" s="5">
        <f>C59*0.44/12*1000000</f>
        <v>27355.680000000004</v>
      </c>
      <c r="G55" s="5"/>
      <c r="H55" s="5">
        <f>1/120</f>
        <v>8.3333333333333332E-3</v>
      </c>
      <c r="I55" s="5"/>
      <c r="J55" s="5"/>
      <c r="K55" s="5"/>
      <c r="L55" s="9"/>
      <c r="N55">
        <v>0.03</v>
      </c>
      <c r="O55" s="3" t="s">
        <v>66</v>
      </c>
    </row>
    <row r="56" spans="1:29" x14ac:dyDescent="0.4">
      <c r="A56" s="2">
        <f>[2]CNデータ!$C$9/5</f>
        <v>1.0362</v>
      </c>
      <c r="B56" s="5"/>
      <c r="C56" s="5" t="s">
        <v>34</v>
      </c>
      <c r="D56" s="5"/>
      <c r="E56" t="s">
        <v>35</v>
      </c>
      <c r="F56" t="s">
        <v>36</v>
      </c>
      <c r="G56" s="5"/>
      <c r="H56" s="16" t="s">
        <v>44</v>
      </c>
      <c r="I56" s="5"/>
      <c r="J56" s="5"/>
      <c r="K56" s="5"/>
      <c r="L56" s="9"/>
    </row>
    <row r="57" spans="1:29" x14ac:dyDescent="0.4">
      <c r="B57" s="5"/>
      <c r="C57" s="5">
        <v>0.8</v>
      </c>
      <c r="D57" s="5"/>
      <c r="E57">
        <f>A59-C59</f>
        <v>0.18651600000000002</v>
      </c>
      <c r="F57">
        <f>A53-F55</f>
        <v>-9439.1566666666731</v>
      </c>
      <c r="G57" s="5"/>
      <c r="H57" s="5">
        <f>SUM(J6,J9,J13,J17)/14*1000000</f>
        <v>64.139428571428581</v>
      </c>
      <c r="I57" s="5"/>
      <c r="J57" s="5"/>
      <c r="K57" s="5"/>
      <c r="L57" s="9"/>
      <c r="N57" t="s">
        <v>65</v>
      </c>
    </row>
    <row r="58" spans="1:29" x14ac:dyDescent="0.4">
      <c r="A58" s="3" t="s">
        <v>51</v>
      </c>
      <c r="B58" s="5"/>
      <c r="C58" t="s">
        <v>39</v>
      </c>
      <c r="D58" s="5"/>
      <c r="E58" s="5" t="s">
        <v>40</v>
      </c>
      <c r="F58" s="5"/>
      <c r="G58" s="5"/>
      <c r="H58" s="5" t="s">
        <v>43</v>
      </c>
      <c r="I58" s="5"/>
      <c r="J58" s="5"/>
      <c r="K58" s="5"/>
      <c r="L58" s="9"/>
      <c r="N58">
        <v>0.8</v>
      </c>
    </row>
    <row r="59" spans="1:29" x14ac:dyDescent="0.4">
      <c r="A59" s="4">
        <f>A56/5*4.5</f>
        <v>0.93258000000000008</v>
      </c>
      <c r="C59">
        <f>A59*C57</f>
        <v>0.74606400000000006</v>
      </c>
      <c r="E59">
        <f>F57/A62</f>
        <v>-5552445.0980392192</v>
      </c>
      <c r="H59">
        <f>H53-H57</f>
        <v>303.93342857142858</v>
      </c>
      <c r="L59" s="9"/>
    </row>
    <row r="60" spans="1:29" x14ac:dyDescent="0.4">
      <c r="A60" s="5"/>
      <c r="B60" s="5"/>
      <c r="C60" s="5" t="s">
        <v>52</v>
      </c>
      <c r="D60" s="5"/>
      <c r="E60" s="5"/>
      <c r="F60" s="5"/>
      <c r="G60" s="5"/>
      <c r="H60" s="5" t="s">
        <v>48</v>
      </c>
      <c r="I60" s="5"/>
      <c r="J60" s="5"/>
      <c r="K60" s="5"/>
      <c r="L60" s="9"/>
    </row>
    <row r="61" spans="1:29" x14ac:dyDescent="0.4">
      <c r="A61" s="14" t="s">
        <v>50</v>
      </c>
      <c r="B61" s="5"/>
      <c r="C61" s="5">
        <f>C59/A62</f>
        <v>438.86117647058825</v>
      </c>
      <c r="D61" s="5"/>
      <c r="E61" s="5"/>
      <c r="F61" s="5"/>
      <c r="G61" s="5"/>
      <c r="H61" s="5">
        <f>H59/A62</f>
        <v>178784.36974789915</v>
      </c>
      <c r="I61" s="5"/>
      <c r="J61" s="5"/>
      <c r="K61" s="5"/>
      <c r="L61" s="9"/>
    </row>
    <row r="62" spans="1:29" x14ac:dyDescent="0.4">
      <c r="A62" s="14">
        <f>SUM(N6,N9,N13,N17)</f>
        <v>1.7000000000000001E-3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9"/>
    </row>
    <row r="63" spans="1:29" ht="19.5" thickBot="1" x14ac:dyDescent="0.4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2"/>
    </row>
    <row r="64" spans="1:29" ht="19.5" thickBot="1" x14ac:dyDescent="0.45">
      <c r="X64" s="17" t="s">
        <v>31</v>
      </c>
      <c r="Z64" s="11"/>
      <c r="AA64" s="11"/>
      <c r="AB64" s="11"/>
      <c r="AC64" s="11"/>
    </row>
    <row r="65" spans="24:35" x14ac:dyDescent="0.4">
      <c r="X65" s="13" t="s">
        <v>32</v>
      </c>
      <c r="Y65" s="6"/>
      <c r="Z65" s="5" t="s">
        <v>46</v>
      </c>
      <c r="AD65" s="6"/>
      <c r="AE65" s="15" t="s">
        <v>41</v>
      </c>
      <c r="AF65" s="6"/>
      <c r="AG65" s="6"/>
      <c r="AH65" s="6"/>
      <c r="AI65" s="7"/>
    </row>
    <row r="66" spans="24:35" x14ac:dyDescent="0.4">
      <c r="X66" s="14">
        <f>[2]CNデータ!$G$8*1000</f>
        <v>28157.160000000007</v>
      </c>
      <c r="Z66" s="5">
        <v>0.08</v>
      </c>
      <c r="AD66" s="5"/>
      <c r="AE66" s="14">
        <f>[2]CNデータ!$J$8*1000</f>
        <v>1529.28</v>
      </c>
      <c r="AF66" s="5"/>
      <c r="AG66" s="5"/>
      <c r="AH66" s="5"/>
      <c r="AI66" s="9"/>
    </row>
    <row r="67" spans="24:35" x14ac:dyDescent="0.4">
      <c r="X67" s="8"/>
      <c r="Y67" s="5"/>
      <c r="Z67" s="5" t="s">
        <v>47</v>
      </c>
      <c r="AC67" s="5" t="s">
        <v>33</v>
      </c>
      <c r="AD67" s="5"/>
      <c r="AE67" s="5" t="s">
        <v>42</v>
      </c>
      <c r="AF67" s="5"/>
      <c r="AG67" s="5"/>
      <c r="AH67" s="5"/>
      <c r="AI67" s="9"/>
    </row>
    <row r="68" spans="24:35" x14ac:dyDescent="0.4">
      <c r="X68" s="1" t="s">
        <v>30</v>
      </c>
      <c r="Y68" s="5"/>
      <c r="Z68" s="5">
        <f>(Z72-3*Z66)/4</f>
        <v>6.6894599999999999E-2</v>
      </c>
      <c r="AA68" s="5"/>
      <c r="AC68" s="5">
        <f>Z72*0.44/12*1000000</f>
        <v>18611.208000000002</v>
      </c>
      <c r="AD68" s="5"/>
      <c r="AE68" s="5">
        <f>3/100</f>
        <v>0.03</v>
      </c>
      <c r="AF68" s="5"/>
      <c r="AG68" s="5"/>
      <c r="AH68" s="5"/>
      <c r="AI68" s="9"/>
    </row>
    <row r="69" spans="24:35" x14ac:dyDescent="0.4">
      <c r="X69" s="2">
        <f>[2]CNデータ!$C$8/5</f>
        <v>0.84960000000000002</v>
      </c>
      <c r="Y69" s="5"/>
      <c r="Z69" s="5" t="s">
        <v>34</v>
      </c>
      <c r="AA69" s="5"/>
      <c r="AB69" t="s">
        <v>35</v>
      </c>
      <c r="AC69" t="s">
        <v>36</v>
      </c>
      <c r="AD69" s="5"/>
      <c r="AE69" s="16" t="s">
        <v>44</v>
      </c>
      <c r="AF69" s="5"/>
      <c r="AG69" s="5"/>
      <c r="AH69" s="5"/>
      <c r="AI69" s="9"/>
    </row>
    <row r="70" spans="24:35" x14ac:dyDescent="0.4">
      <c r="Y70" s="5"/>
      <c r="Z70" s="5">
        <v>0.8</v>
      </c>
      <c r="AA70" s="5"/>
      <c r="AB70">
        <f>X72-Z72</f>
        <v>0.12689459999999997</v>
      </c>
      <c r="AC70">
        <f>X66-AC68</f>
        <v>9545.9520000000048</v>
      </c>
      <c r="AD70" s="5"/>
      <c r="AE70" s="5">
        <f>SUM(J4,J7,J10,J14)/14*1000000</f>
        <v>59.488000000000007</v>
      </c>
      <c r="AF70" s="5"/>
      <c r="AG70" s="5"/>
      <c r="AH70" s="5"/>
      <c r="AI70" s="9"/>
    </row>
    <row r="71" spans="24:35" x14ac:dyDescent="0.4">
      <c r="X71" s="3" t="s">
        <v>38</v>
      </c>
      <c r="Y71" s="5"/>
      <c r="Z71" t="s">
        <v>39</v>
      </c>
      <c r="AA71" s="5"/>
      <c r="AB71" s="5" t="s">
        <v>40</v>
      </c>
      <c r="AC71" s="5"/>
      <c r="AD71" s="5"/>
      <c r="AE71" s="5" t="s">
        <v>43</v>
      </c>
      <c r="AF71" s="5"/>
      <c r="AG71" s="5"/>
      <c r="AH71" s="5"/>
      <c r="AI71" s="9"/>
    </row>
    <row r="72" spans="24:35" x14ac:dyDescent="0.4">
      <c r="X72" s="4">
        <f>X75*Z75</f>
        <v>0.63447299999999995</v>
      </c>
      <c r="Z72">
        <f>X72*Z70</f>
        <v>0.50757839999999999</v>
      </c>
      <c r="AB72">
        <f>AC70/X75</f>
        <v>947865.35597259505</v>
      </c>
      <c r="AE72">
        <f>AE66-AE70</f>
        <v>1469.7919999999999</v>
      </c>
      <c r="AI72" s="9"/>
    </row>
    <row r="73" spans="24:35" x14ac:dyDescent="0.4">
      <c r="X73" s="5"/>
      <c r="Y73" s="5"/>
      <c r="Z73" s="5"/>
      <c r="AA73" s="5"/>
      <c r="AB73" s="5"/>
      <c r="AC73" s="5"/>
      <c r="AD73" s="5"/>
      <c r="AE73" s="5" t="s">
        <v>48</v>
      </c>
      <c r="AF73" s="5"/>
      <c r="AG73" s="5"/>
      <c r="AH73" s="5"/>
      <c r="AI73" s="9"/>
    </row>
    <row r="74" spans="24:35" x14ac:dyDescent="0.4">
      <c r="X74" s="14" t="s">
        <v>45</v>
      </c>
      <c r="Y74" s="5"/>
      <c r="Z74" s="3" t="s">
        <v>37</v>
      </c>
      <c r="AA74" s="5"/>
      <c r="AB74" s="5"/>
      <c r="AC74" s="5"/>
      <c r="AD74" s="5"/>
      <c r="AE74" s="5">
        <f>AE72/X75</f>
        <v>145943.00466686525</v>
      </c>
      <c r="AF74" s="5"/>
      <c r="AG74" s="5"/>
      <c r="AH74" s="5"/>
      <c r="AI74" s="9"/>
    </row>
    <row r="75" spans="24:35" x14ac:dyDescent="0.4">
      <c r="X75" s="14">
        <f>SUM(N4,N7,N10,N14)</f>
        <v>1.0071E-2</v>
      </c>
      <c r="Y75" s="5"/>
      <c r="Z75" s="3">
        <v>63</v>
      </c>
      <c r="AA75" s="5"/>
      <c r="AB75" s="5"/>
      <c r="AC75" s="5"/>
      <c r="AD75" s="5"/>
      <c r="AE75" s="5"/>
      <c r="AF75" s="5"/>
      <c r="AG75" s="5"/>
      <c r="AH75" s="5"/>
      <c r="AI75" s="9"/>
    </row>
    <row r="76" spans="24:35" ht="19.5" thickBot="1" x14ac:dyDescent="0.45"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2"/>
    </row>
  </sheetData>
  <autoFilter ref="D1:D36"/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elements_inputs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趙 翹楚</dc:creator>
  <cp:lastModifiedBy>趙 翹楚</cp:lastModifiedBy>
  <dcterms:created xsi:type="dcterms:W3CDTF">2023-10-12T04:35:23Z</dcterms:created>
  <dcterms:modified xsi:type="dcterms:W3CDTF">2024-05-16T09:29:09Z</dcterms:modified>
</cp:coreProperties>
</file>