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oso.cho.TIRD\source\WheatFspm\WheatFspm\fspm-wheat\example\NEMA\NEMA_H3\inputs\"/>
    </mc:Choice>
  </mc:AlternateContent>
  <bookViews>
    <workbookView xWindow="0" yWindow="0" windowWidth="20490" windowHeight="7320"/>
  </bookViews>
  <sheets>
    <sheet name="INPUTS" sheetId="15" r:id="rId1"/>
    <sheet name="Soil" sheetId="18" r:id="rId2"/>
    <sheet name="Barillot2016b_inputs" sheetId="6" r:id="rId3"/>
    <sheet name="Bertheloot2011b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5" i="15" l="1"/>
  <c r="AB16" i="15" l="1"/>
  <c r="AE15" i="15"/>
  <c r="E45" i="15"/>
  <c r="H45" i="15" l="1"/>
  <c r="P47" i="15" l="1" a="1"/>
  <c r="P47" i="15" s="1"/>
  <c r="F46" i="15"/>
  <c r="D1" i="19" l="1"/>
  <c r="E25" i="6"/>
  <c r="C2" i="18" l="1"/>
  <c r="F4" i="18" l="1"/>
  <c r="F3" i="18" l="1"/>
  <c r="AW6" i="15" l="1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AA16" i="15" l="1"/>
  <c r="AA30" i="15"/>
  <c r="AA31" i="15"/>
  <c r="AA32" i="15"/>
  <c r="AA33" i="15"/>
  <c r="AA15" i="15"/>
  <c r="AR15" i="15"/>
  <c r="T45" i="15"/>
  <c r="J45" i="15"/>
  <c r="G45" i="15"/>
  <c r="F45" i="15"/>
  <c r="AW38" i="15"/>
  <c r="AX36" i="15"/>
  <c r="AT16" i="15"/>
  <c r="BD12" i="15"/>
  <c r="BB12" i="15"/>
  <c r="AY12" i="15"/>
  <c r="BD11" i="15"/>
  <c r="BB11" i="15"/>
  <c r="AY11" i="15"/>
  <c r="BD10" i="15"/>
  <c r="BB10" i="15"/>
  <c r="AY10" i="15"/>
  <c r="BD9" i="15"/>
  <c r="BB9" i="15"/>
  <c r="AY9" i="15"/>
  <c r="BD8" i="15"/>
  <c r="BB8" i="15"/>
  <c r="AY8" i="15"/>
  <c r="BD7" i="15"/>
  <c r="BB7" i="15"/>
  <c r="AY7" i="15"/>
  <c r="BD6" i="15"/>
  <c r="BB6" i="15"/>
  <c r="BD5" i="15"/>
  <c r="BB5" i="15"/>
  <c r="E2" i="15"/>
  <c r="W16" i="15" l="1"/>
  <c r="X16" i="15" s="1"/>
  <c r="W33" i="15"/>
  <c r="X33" i="15" s="1"/>
  <c r="AT6" i="15"/>
  <c r="AT9" i="15"/>
  <c r="AT7" i="15"/>
  <c r="AT8" i="15"/>
  <c r="AT10" i="15"/>
  <c r="AT11" i="15"/>
  <c r="AT12" i="15"/>
  <c r="AT5" i="15"/>
  <c r="W15" i="15"/>
  <c r="X15" i="15" s="1"/>
  <c r="W31" i="15"/>
  <c r="X31" i="15" s="1"/>
  <c r="AT15" i="15"/>
  <c r="AY5" i="15"/>
  <c r="AZ5" i="15"/>
  <c r="W30" i="15"/>
  <c r="X30" i="15" s="1"/>
  <c r="W32" i="15"/>
  <c r="AD31" i="15" l="1"/>
  <c r="AE31" i="15" s="1"/>
  <c r="AD33" i="15"/>
  <c r="AE33" i="15" s="1"/>
  <c r="BA5" i="15"/>
  <c r="AD16" i="15"/>
  <c r="AE16" i="15" s="1"/>
  <c r="AU5" i="15"/>
  <c r="AU9" i="15"/>
  <c r="AU12" i="15"/>
  <c r="AU7" i="15"/>
  <c r="AU11" i="15"/>
  <c r="AY6" i="15"/>
  <c r="AZ6" i="15"/>
  <c r="X32" i="15"/>
  <c r="AD15" i="15" l="1"/>
  <c r="BA6" i="15"/>
  <c r="AQ9" i="15"/>
  <c r="AR9" i="15" s="1"/>
  <c r="AQ11" i="15"/>
  <c r="AR11" i="15" s="1"/>
  <c r="AU8" i="15"/>
  <c r="AU6" i="15"/>
  <c r="AC15" i="15" s="1"/>
  <c r="AQ12" i="15"/>
  <c r="AR12" i="15" s="1"/>
  <c r="AQ7" i="15"/>
  <c r="AR7" i="15" s="1"/>
  <c r="AU10" i="15"/>
  <c r="AZ7" i="15"/>
  <c r="BA7" i="15" s="1"/>
  <c r="AD30" i="15"/>
  <c r="AE30" i="15" s="1"/>
  <c r="AC32" i="15"/>
  <c r="AD32" i="15" l="1"/>
  <c r="AE32" i="15" s="1"/>
  <c r="AQ10" i="15"/>
  <c r="AR10" i="15" s="1"/>
  <c r="AQ5" i="15"/>
  <c r="AR5" i="15" s="1"/>
  <c r="AQ6" i="15"/>
  <c r="AR6" i="15" s="1"/>
  <c r="AC33" i="15"/>
  <c r="AC16" i="15"/>
  <c r="AC31" i="15"/>
  <c r="AC30" i="15"/>
  <c r="AQ8" i="15"/>
  <c r="AR8" i="15" s="1"/>
  <c r="AZ8" i="15"/>
  <c r="BA8" i="15" s="1"/>
  <c r="Y36" i="15" l="1"/>
  <c r="AZ9" i="15"/>
  <c r="BA9" i="15" s="1"/>
  <c r="K41" i="15" l="1"/>
  <c r="E41" i="15" s="1"/>
  <c r="P51" i="15"/>
  <c r="P46" i="15"/>
  <c r="E46" i="15"/>
  <c r="P56" i="15"/>
  <c r="AZ10" i="15"/>
  <c r="BA10" i="15" s="1"/>
  <c r="L41" i="15" l="1"/>
  <c r="M41" i="15"/>
  <c r="P44" i="15"/>
  <c r="F41" i="15"/>
  <c r="N42" i="15"/>
  <c r="P53" i="15" s="1"/>
  <c r="G41" i="15"/>
  <c r="AZ11" i="15"/>
  <c r="BA11" i="15" s="1"/>
  <c r="P48" i="15" l="1"/>
  <c r="P52" i="15" s="1"/>
  <c r="P54" i="15"/>
  <c r="AZ12" i="15"/>
  <c r="BA12" i="15" s="1"/>
  <c r="P49" i="15" l="1"/>
  <c r="P57" i="15" s="1"/>
  <c r="P58" i="15"/>
  <c r="I17" i="6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<sst xmlns="http://schemas.openxmlformats.org/spreadsheetml/2006/main" count="313" uniqueCount="179">
  <si>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</si>
  <si>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</si>
  <si>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</si>
  <si>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</si>
  <si>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</si>
  <si>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</si>
  <si>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</si>
  <si>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</si>
  <si>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</si>
  <si>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</si>
  <si>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</si>
  <si>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</si>
  <si>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</si>
  <si>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</si>
  <si>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</si>
  <si>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</si>
  <si>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</si>
  <si>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</si>
  <si>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</si>
  <si>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</si>
  <si>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</si>
  <si>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</si>
  <si>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</si>
  <si>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</si>
  <si>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</si>
  <si>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</si>
  <si>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</si>
  <si>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</si>
  <si>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</si>
  <si>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</si>
  <si>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</si>
  <si>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</si>
  <si>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</si>
  <si>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</si>
  <si>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</si>
  <si>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</si>
  <si>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</si>
  <si>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</si>
  <si>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</si>
  <si>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</si>
  <si>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</si>
  <si>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</si>
  <si>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</si>
  <si>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</si>
  <si>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</si>
  <si>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</si>
  <si>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</si>
  <si>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</si>
  <si>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</si>
  <si>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</si>
  <si>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</si>
  <si>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</si>
  <si>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</si>
  <si>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</si>
  <si>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</si>
  <si>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</si>
  <si>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</si>
  <si>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</si>
  <si>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</si>
  <si>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</si>
  <si>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</si>
  <si>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</si>
  <si>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</si>
  <si>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</si>
  <si>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</si>
  <si>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</si>
  <si>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</si>
  <si>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</si>
  <si>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</si>
  <si>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</si>
  <si>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</si>
  <si>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</si>
  <si>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</si>
  <si>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</si>
  <si>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</si>
  <si>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</si>
  <si>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</si>
  <si>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</si>
  <si>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</si>
  <si>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</si>
  <si>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</si>
  <si>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</si>
  <si>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</si>
  <si>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</si>
  <si>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</si>
  <si>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</si>
  <si>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</si>
  <si>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</si>
  <si>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</si>
  <si>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</si>
  <si>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</si>
  <si>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</si>
  <si>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</si>
  <si>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</si>
  <si>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</si>
  <si>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</si>
  <si>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</si>
  <si>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</si>
  <si>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</si>
  <si>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</si>
  <si>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</si>
  <si>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</si>
  <si>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</si>
  <si>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</si>
  <si>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</si>
  <si>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</si>
  <si>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</si>
  <si>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</si>
  <si>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</si>
  <si>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</si>
  <si>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</si>
  <si>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</si>
  <si>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</si>
  <si>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</si>
  <si>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</si>
  <si>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</si>
  <si>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</si>
  <si>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</si>
  <si>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</si>
  <si>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</si>
  <si>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</si>
  <si>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</si>
  <si>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</si>
  <si>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</si>
  <si>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</si>
  <si>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</si>
  <si>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</si>
  <si>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</si>
  <si>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</si>
  <si>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</si>
  <si>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</si>
  <si>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</si>
  <si>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</si>
  <si>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</si>
  <si>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</si>
  <si>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</si>
  <si>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</si>
  <si>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</si>
  <si>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</si>
  <si>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</si>
  <si>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</si>
  <si>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</si>
  <si>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</si>
  <si>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</si>
  <si>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</si>
  <si>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</si>
  <si>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</si>
  <si>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</si>
  <si>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</si>
  <si>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</si>
  <si>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</si>
  <si>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</si>
  <si>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</si>
  <si>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</si>
  <si>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</si>
  <si>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</si>
  <si>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</si>
  <si>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</si>
  <si>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</si>
  <si>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</si>
  <si>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</si>
  <si>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</si>
  <si>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</si>
  <si>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</si>
  <si>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</si>
  <si>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</si>
  <si>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</si>
  <si>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</si>
  <si>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</si>
  <si>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</si>
  <si>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</si>
  <si>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</si>
  <si>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</si>
  <si>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</si>
  <si>
    <t>internode</t>
  </si>
  <si>
    <t>peduncle</t>
  </si>
  <si>
    <t>ear</t>
  </si>
  <si>
    <t>grain</t>
  </si>
  <si>
    <t>% DM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</si>
</sst>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E+00"/>
    <numFmt numFmtId="177" formatCode="0.000"/>
    <numFmt numFmtId="178" formatCode="0.0"/>
    <numFmt numFmtId="179" formatCode="0.00000"/>
  </numFmts>
  <fonts count="24" x14ac:knownFonts="1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rgb="FFFF0000"/>
      <name val="游ゴシック"/>
      <family val="2"/>
      <scheme val="minor"/>
    </font>
    <font>
      <b/>
      <sz val="11"/>
      <color theme="0" tint="-0.499984740745262"/>
      <name val="游ゴシック"/>
      <family val="2"/>
      <scheme val="minor"/>
    </font>
    <font>
      <sz val="11"/>
      <color theme="0" tint="-0.499984740745262"/>
      <name val="游ゴシック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游ゴシック"/>
      <family val="2"/>
      <scheme val="minor"/>
    </font>
    <font>
      <b/>
      <sz val="11"/>
      <color theme="2" tint="-0.249977111117893"/>
      <name val="游ゴシック"/>
      <family val="2"/>
      <scheme val="minor"/>
    </font>
    <font>
      <b/>
      <i/>
      <sz val="11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0" tint="-0.34998626667073579"/>
      <name val="游ゴシック"/>
      <family val="2"/>
      <scheme val="minor"/>
    </font>
    <font>
      <sz val="11"/>
      <color theme="0" tint="-0.34998626667073579"/>
      <name val="游ゴシック"/>
      <family val="2"/>
      <scheme val="minor"/>
    </font>
    <font>
      <sz val="9"/>
      <color theme="1"/>
      <name val="游ゴシック"/>
      <family val="2"/>
      <scheme val="minor"/>
    </font>
    <font>
      <b/>
      <sz val="11"/>
      <name val="游ゴシック"/>
      <family val="2"/>
      <scheme val="minor"/>
    </font>
    <font>
      <sz val="11"/>
      <name val="游ゴシック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游ゴシック"/>
      <family val="2"/>
      <scheme val="minor"/>
    </font>
    <font>
      <sz val="10"/>
      <color theme="0" tint="-0.34998626667073579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98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NumberFormat="1"/>
    <xf numFmtId="176" fontId="0" fillId="0" borderId="0" xfId="0" applyNumberFormat="1"/>
    <xf numFmtId="0" fontId="0" fillId="0" borderId="0" xfId="0" applyBorder="1"/>
    <xf numFmtId="0" fontId="14" fillId="0" borderId="0" xfId="0" applyFont="1"/>
    <xf numFmtId="11" fontId="14" fillId="0" borderId="0" xfId="0" applyNumberFormat="1" applyFont="1"/>
    <xf numFmtId="0" fontId="15" fillId="0" borderId="0" xfId="0" applyFont="1"/>
    <xf numFmtId="11" fontId="15" fillId="0" borderId="0" xfId="0" applyNumberFormat="1" applyFont="1"/>
    <xf numFmtId="9" fontId="14" fillId="0" borderId="0" xfId="1" applyFont="1"/>
    <xf numFmtId="0" fontId="14" fillId="0" borderId="2" xfId="0" applyFont="1" applyBorder="1"/>
    <xf numFmtId="0" fontId="17" fillId="0" borderId="1" xfId="0" applyFont="1" applyBorder="1"/>
    <xf numFmtId="0" fontId="18" fillId="0" borderId="0" xfId="0" applyFont="1"/>
    <xf numFmtId="11" fontId="18" fillId="0" borderId="0" xfId="0" applyNumberFormat="1" applyFont="1"/>
    <xf numFmtId="0" fontId="14" fillId="0" borderId="0" xfId="0" applyFont="1" applyBorder="1"/>
    <xf numFmtId="0" fontId="15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5" fillId="0" borderId="0" xfId="1" applyFont="1"/>
    <xf numFmtId="1" fontId="15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14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14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78" fontId="14" fillId="0" borderId="4" xfId="0" applyNumberFormat="1" applyFont="1" applyBorder="1"/>
    <xf numFmtId="2" fontId="14" fillId="0" borderId="0" xfId="0" applyNumberFormat="1" applyFont="1"/>
    <xf numFmtId="0" fontId="15" fillId="0" borderId="2" xfId="0" applyFont="1" applyBorder="1"/>
    <xf numFmtId="177" fontId="15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4" fillId="0" borderId="7" xfId="0" applyFont="1" applyBorder="1"/>
    <xf numFmtId="0" fontId="0" fillId="0" borderId="20" xfId="0" applyBorder="1"/>
    <xf numFmtId="0" fontId="1" fillId="0" borderId="8" xfId="0" applyFont="1" applyBorder="1"/>
    <xf numFmtId="1" fontId="15" fillId="0" borderId="0" xfId="0" applyNumberFormat="1" applyFont="1" applyBorder="1" applyAlignment="1">
      <alignment horizontal="center"/>
    </xf>
    <xf numFmtId="178" fontId="15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5" fillId="0" borderId="3" xfId="0" applyNumberFormat="1" applyFont="1" applyBorder="1"/>
    <xf numFmtId="1" fontId="15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178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0" fillId="0" borderId="0" xfId="0" applyFont="1" applyBorder="1"/>
    <xf numFmtId="0" fontId="2" fillId="0" borderId="1" xfId="0" applyFont="1" applyBorder="1" applyAlignment="1">
      <alignment horizontal="right"/>
    </xf>
    <xf numFmtId="0" fontId="22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11" fontId="2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1" fillId="0" borderId="0" xfId="0" applyFont="1" applyBorder="1"/>
    <xf numFmtId="1" fontId="15" fillId="0" borderId="0" xfId="0" applyNumberFormat="1" applyFont="1" applyBorder="1"/>
    <xf numFmtId="0" fontId="1" fillId="0" borderId="0" xfId="0" applyFont="1" applyBorder="1" applyAlignment="1">
      <alignment horizontal="center"/>
    </xf>
    <xf numFmtId="179" fontId="0" fillId="0" borderId="0" xfId="0" applyNumberFormat="1"/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58"/>
  <sheetViews>
    <sheetView tabSelected="1" topLeftCell="H7" workbookViewId="0">
      <selection activeCell="M35" sqref="M35"/>
    </sheetView>
  </sheetViews>
  <sheetFormatPr defaultColWidth="11" defaultRowHeight="18.75" x14ac:dyDescent="0.4"/>
  <cols>
    <col min="4" max="4" width="22.125" customWidth="1"/>
    <col min="5" max="5" width="16.625" bestFit="1" customWidth="1"/>
    <col min="23" max="23" width="14.75" bestFit="1" customWidth="1"/>
    <col min="24" max="24" width="12.875" customWidth="1"/>
    <col min="35" max="35" width="17.875" bestFit="1" customWidth="1"/>
    <col min="36" max="36" width="21.75" bestFit="1" customWidth="1"/>
    <col min="46" max="46" width="12" bestFit="1" customWidth="1"/>
    <col min="47" max="48" width="12" customWidth="1"/>
  </cols>
  <sheetData>
    <row r="1" spans="1:56" x14ac:dyDescent="0.4">
      <c r="A1" s="48" t="s">
        <v>111</v>
      </c>
      <c r="B1" s="49" t="s">
        <v>112</v>
      </c>
      <c r="C1" s="50"/>
      <c r="E1" s="54" t="s">
        <v>135</v>
      </c>
      <c r="W1" s="86" t="s">
        <v>165</v>
      </c>
      <c r="X1" s="87" t="s">
        <v>166</v>
      </c>
    </row>
    <row r="2" spans="1:56" s="29" customFormat="1" ht="19.5" thickBot="1" x14ac:dyDescent="0.45">
      <c r="A2" s="51" t="s">
        <v>111</v>
      </c>
      <c r="B2" s="52" t="s">
        <v>113</v>
      </c>
      <c r="C2" s="53"/>
      <c r="E2" s="55">
        <f xml:space="preserve"> 76.1/12*24*3600</f>
        <v>547920</v>
      </c>
      <c r="W2" s="88">
        <v>9.9999999999999995E-7</v>
      </c>
      <c r="X2" s="88">
        <v>9.9999999999999995E-7</v>
      </c>
    </row>
    <row r="4" spans="1:56" s="2" customFormat="1" ht="15" customHeight="1" x14ac:dyDescent="0.35">
      <c r="A4" s="95" t="s">
        <v>69</v>
      </c>
      <c r="B4" s="5" t="s">
        <v>0</v>
      </c>
      <c r="C4" s="5" t="s">
        <v>1</v>
      </c>
      <c r="D4" s="5" t="s">
        <v>2</v>
      </c>
      <c r="E4" s="5" t="s">
        <v>121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6" t="s">
        <v>8</v>
      </c>
      <c r="L4" s="36" t="s">
        <v>9</v>
      </c>
      <c r="M4" s="36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164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42</v>
      </c>
      <c r="AO4" s="5" t="s">
        <v>172</v>
      </c>
      <c r="AP4" s="90" t="s">
        <v>173</v>
      </c>
      <c r="AQ4" s="12" t="s">
        <v>76</v>
      </c>
      <c r="AR4" s="12" t="s">
        <v>122</v>
      </c>
      <c r="AS4" s="12" t="s">
        <v>106</v>
      </c>
      <c r="AT4" s="12" t="s">
        <v>22</v>
      </c>
      <c r="AU4" s="12" t="s">
        <v>24</v>
      </c>
      <c r="AV4" s="12" t="s">
        <v>156</v>
      </c>
      <c r="AW4" s="84" t="s">
        <v>157</v>
      </c>
      <c r="AX4" s="6" t="s">
        <v>62</v>
      </c>
      <c r="AY4" s="6" t="s">
        <v>52</v>
      </c>
      <c r="AZ4" s="6" t="s">
        <v>53</v>
      </c>
      <c r="BA4" s="6" t="s">
        <v>54</v>
      </c>
      <c r="BB4" s="6" t="s">
        <v>55</v>
      </c>
      <c r="BC4" s="6"/>
      <c r="BD4" s="6" t="s">
        <v>60</v>
      </c>
    </row>
    <row r="5" spans="1:56" x14ac:dyDescent="0.4">
      <c r="A5" s="95"/>
      <c r="K5" s="37"/>
      <c r="L5" s="37"/>
      <c r="M5" s="37"/>
      <c r="W5" s="1"/>
      <c r="AE5" s="1"/>
      <c r="AF5" s="1"/>
      <c r="AG5" s="24"/>
      <c r="AH5" s="28"/>
      <c r="AI5" s="1"/>
      <c r="AJ5" s="1"/>
      <c r="AK5" s="1"/>
      <c r="AL5" s="1"/>
      <c r="AO5" s="1"/>
      <c r="AP5" s="1"/>
      <c r="AQ5" s="57">
        <f>AK5+AE5*$E$45+AF5*$F$45+AH5*$J$45</f>
        <v>0</v>
      </c>
      <c r="AR5" s="58" t="e">
        <f>(1-AK5/AQ5)*100</f>
        <v>#DIV/0!</v>
      </c>
      <c r="AS5" s="13">
        <v>4.5999999999999996</v>
      </c>
      <c r="AT5" s="13">
        <f t="shared" ref="AT5:AT12" si="0">(($AS5/100)*(1+($AR$15+$AW5)*$E$45)-$Y$16)/(((1+1/$X$36)*(14*10^(-6)))-(($J$45/$X$36+$F$45)*$AS5/100))</f>
        <v>493.49156696102204</v>
      </c>
      <c r="AU5" s="13">
        <f t="shared" ref="AU5:AU12" si="1">$AT5/$X$36</f>
        <v>4934.91566961022</v>
      </c>
      <c r="AV5" s="13">
        <v>10</v>
      </c>
      <c r="AW5" s="70">
        <f t="shared" ref="AW5:AW12" si="2">$AV5/100/(1-$X$47)*$X$46*10^6/$X$44</f>
        <v>4411.7647058823532</v>
      </c>
      <c r="AX5" s="7">
        <v>851425</v>
      </c>
      <c r="AY5" s="8">
        <f>$T$41+$T$42*$T$44*(J5)^$T$43</f>
        <v>2.6499999999999999E-8</v>
      </c>
      <c r="AZ5" s="7">
        <f t="shared" ref="AZ5:AZ12" si="3">J5*Z5</f>
        <v>0</v>
      </c>
      <c r="BA5" s="8">
        <f>((AZ5-AY5)/($T$45-AX5))*(F5-$T$45)+AZ5</f>
        <v>4.7015798686094885E-8</v>
      </c>
      <c r="BB5" s="8">
        <f t="shared" ref="BB5:BB12" si="4">$T$41+$T$42*$T$44*(L5)^$T$43</f>
        <v>2.6499999999999999E-8</v>
      </c>
      <c r="BC5" s="7"/>
      <c r="BD5" s="7">
        <f t="shared" ref="BD5:BD12" si="5">$AY$33*$AX$35*$AX$37*(M5)^$AX$34</f>
        <v>0</v>
      </c>
    </row>
    <row r="6" spans="1:56" x14ac:dyDescent="0.4">
      <c r="A6" s="95"/>
      <c r="K6" s="37"/>
      <c r="L6" s="37"/>
      <c r="M6" s="37"/>
      <c r="W6" s="1"/>
      <c r="AE6" s="1"/>
      <c r="AF6" s="1"/>
      <c r="AG6" s="24"/>
      <c r="AH6" s="28"/>
      <c r="AI6" s="1"/>
      <c r="AJ6" s="1"/>
      <c r="AO6" s="1"/>
      <c r="AP6" s="1"/>
      <c r="AQ6" s="57">
        <f t="shared" ref="AQ6:AQ12" si="6">AK6+AE6*$E$45+AF6*$F$45+AH6*$J$45</f>
        <v>0</v>
      </c>
      <c r="AR6" s="58" t="e">
        <f>(1-AK6/AQ6)*100</f>
        <v>#DIV/0!</v>
      </c>
      <c r="AS6" s="13">
        <v>6.5</v>
      </c>
      <c r="AT6" s="13">
        <f t="shared" si="0"/>
        <v>830.97245766546928</v>
      </c>
      <c r="AU6" s="13">
        <f t="shared" si="1"/>
        <v>8309.724576654693</v>
      </c>
      <c r="AV6" s="13">
        <v>5</v>
      </c>
      <c r="AW6" s="70">
        <f t="shared" si="2"/>
        <v>2205.8823529411766</v>
      </c>
      <c r="AX6" s="7">
        <v>818263</v>
      </c>
      <c r="AY6" s="8">
        <f>$T$41+$T$42*$T$44*(J6)^$T$43</f>
        <v>2.6499999999999999E-8</v>
      </c>
      <c r="AZ6" s="7">
        <f t="shared" si="3"/>
        <v>0</v>
      </c>
      <c r="BA6" s="8">
        <f>((AZ6-AY6)/($T$45-AX6))*(F6-$T$45)+AZ6</f>
        <v>4.5639607498033874E-8</v>
      </c>
      <c r="BB6" s="8">
        <f t="shared" si="4"/>
        <v>2.6499999999999999E-8</v>
      </c>
      <c r="BC6" s="7"/>
      <c r="BD6" s="7">
        <f t="shared" si="5"/>
        <v>0</v>
      </c>
    </row>
    <row r="7" spans="1:56" x14ac:dyDescent="0.4">
      <c r="A7" s="95"/>
      <c r="K7" s="37"/>
      <c r="L7" s="37"/>
      <c r="M7" s="37"/>
      <c r="W7" s="1"/>
      <c r="AE7" s="1"/>
      <c r="AF7" s="1"/>
      <c r="AG7" s="24"/>
      <c r="AH7" s="28"/>
      <c r="AI7" s="1"/>
      <c r="AJ7" s="1"/>
      <c r="AO7" s="1"/>
      <c r="AQ7" s="57">
        <f t="shared" si="6"/>
        <v>0</v>
      </c>
      <c r="AR7" s="58" t="e">
        <f t="shared" ref="AR7:AR12" si="7">(1-AK7/AQ7)*100</f>
        <v>#DIV/0!</v>
      </c>
      <c r="AS7" s="13">
        <v>9.5</v>
      </c>
      <c r="AT7" s="13">
        <f t="shared" si="0"/>
        <v>1818.7478935719314</v>
      </c>
      <c r="AU7" s="13">
        <f t="shared" si="1"/>
        <v>18187.478935719311</v>
      </c>
      <c r="AV7" s="13">
        <v>0</v>
      </c>
      <c r="AW7" s="70">
        <f t="shared" si="2"/>
        <v>0</v>
      </c>
      <c r="AX7" s="7"/>
      <c r="AY7" s="8">
        <f t="shared" ref="AY7:AY12" si="8">$T$41+$T$42*$T$44*(T7*$T$46)^$T$43</f>
        <v>2.6499999999999999E-8</v>
      </c>
      <c r="AZ7" s="7">
        <f t="shared" si="3"/>
        <v>0</v>
      </c>
      <c r="BA7" s="8">
        <f t="shared" ref="BA7:BA12" si="9">AY7+((AZ7-AY7)/$T$45)*F7</f>
        <v>2.6499999999999999E-8</v>
      </c>
      <c r="BB7" s="8">
        <f t="shared" si="4"/>
        <v>2.6499999999999999E-8</v>
      </c>
      <c r="BC7" s="7"/>
      <c r="BD7" s="7">
        <f t="shared" si="5"/>
        <v>0</v>
      </c>
    </row>
    <row r="8" spans="1:56" x14ac:dyDescent="0.4">
      <c r="A8" s="95"/>
      <c r="K8" s="37"/>
      <c r="L8" s="37"/>
      <c r="M8" s="37"/>
      <c r="W8" s="1"/>
      <c r="AE8" s="1"/>
      <c r="AF8" s="1"/>
      <c r="AG8" s="24"/>
      <c r="AH8" s="28"/>
      <c r="AI8" s="1"/>
      <c r="AJ8" s="1"/>
      <c r="AO8" s="1"/>
      <c r="AQ8" s="57">
        <f t="shared" si="6"/>
        <v>0</v>
      </c>
      <c r="AR8" s="58" t="e">
        <f t="shared" si="7"/>
        <v>#DIV/0!</v>
      </c>
      <c r="AS8" s="13">
        <v>9.5</v>
      </c>
      <c r="AT8" s="13">
        <f t="shared" si="0"/>
        <v>1818.7478935719314</v>
      </c>
      <c r="AU8" s="13">
        <f t="shared" si="1"/>
        <v>18187.478935719311</v>
      </c>
      <c r="AV8" s="13">
        <v>0</v>
      </c>
      <c r="AW8" s="70">
        <f t="shared" si="2"/>
        <v>0</v>
      </c>
      <c r="AX8" s="7"/>
      <c r="AY8" s="8">
        <f t="shared" si="8"/>
        <v>2.6499999999999999E-8</v>
      </c>
      <c r="AZ8" s="7">
        <f t="shared" si="3"/>
        <v>0</v>
      </c>
      <c r="BA8" s="8">
        <f t="shared" si="9"/>
        <v>2.6499999999999999E-8</v>
      </c>
      <c r="BB8" s="8">
        <f t="shared" si="4"/>
        <v>2.6499999999999999E-8</v>
      </c>
      <c r="BC8" s="7"/>
      <c r="BD8" s="7">
        <f t="shared" si="5"/>
        <v>0</v>
      </c>
    </row>
    <row r="9" spans="1:56" x14ac:dyDescent="0.4">
      <c r="A9" s="95"/>
      <c r="K9" s="37"/>
      <c r="L9" s="37"/>
      <c r="M9" s="37"/>
      <c r="W9" s="1"/>
      <c r="AE9" s="1"/>
      <c r="AF9" s="1"/>
      <c r="AG9" s="24"/>
      <c r="AH9" s="28"/>
      <c r="AI9" s="1"/>
      <c r="AJ9" s="1"/>
      <c r="AO9" s="1"/>
      <c r="AQ9" s="57">
        <f t="shared" si="6"/>
        <v>0</v>
      </c>
      <c r="AR9" s="58" t="e">
        <f t="shared" si="7"/>
        <v>#DIV/0!</v>
      </c>
      <c r="AS9" s="13">
        <v>9.5</v>
      </c>
      <c r="AT9" s="13">
        <f t="shared" si="0"/>
        <v>1818.7478935719314</v>
      </c>
      <c r="AU9" s="13">
        <f t="shared" si="1"/>
        <v>18187.478935719311</v>
      </c>
      <c r="AV9" s="13">
        <v>0</v>
      </c>
      <c r="AW9" s="70">
        <f t="shared" si="2"/>
        <v>0</v>
      </c>
      <c r="AX9" s="7"/>
      <c r="AY9" s="8">
        <f t="shared" si="8"/>
        <v>2.6499999999999999E-8</v>
      </c>
      <c r="AZ9" s="7">
        <f t="shared" si="3"/>
        <v>0</v>
      </c>
      <c r="BA9" s="8">
        <f t="shared" si="9"/>
        <v>2.6499999999999999E-8</v>
      </c>
      <c r="BB9" s="8">
        <f t="shared" si="4"/>
        <v>2.6499999999999999E-8</v>
      </c>
      <c r="BC9" s="7"/>
      <c r="BD9" s="7">
        <f t="shared" si="5"/>
        <v>0</v>
      </c>
    </row>
    <row r="10" spans="1:56" x14ac:dyDescent="0.4">
      <c r="A10" s="95"/>
      <c r="K10" s="37"/>
      <c r="L10" s="37"/>
      <c r="M10" s="37"/>
      <c r="W10" s="1"/>
      <c r="AE10" s="1"/>
      <c r="AF10" s="1"/>
      <c r="AG10" s="24"/>
      <c r="AH10" s="28"/>
      <c r="AI10" s="1"/>
      <c r="AJ10" s="1"/>
      <c r="AO10" s="1"/>
      <c r="AQ10" s="57">
        <f t="shared" si="6"/>
        <v>0</v>
      </c>
      <c r="AR10" s="58" t="e">
        <f t="shared" si="7"/>
        <v>#DIV/0!</v>
      </c>
      <c r="AS10" s="13">
        <v>9.5</v>
      </c>
      <c r="AT10" s="13">
        <f t="shared" si="0"/>
        <v>1818.7478935719314</v>
      </c>
      <c r="AU10" s="13">
        <f t="shared" si="1"/>
        <v>18187.478935719311</v>
      </c>
      <c r="AV10" s="13">
        <v>0</v>
      </c>
      <c r="AW10" s="70">
        <f t="shared" si="2"/>
        <v>0</v>
      </c>
      <c r="AX10" s="7"/>
      <c r="AY10" s="8">
        <f t="shared" si="8"/>
        <v>2.6499999999999999E-8</v>
      </c>
      <c r="AZ10" s="7">
        <f t="shared" si="3"/>
        <v>0</v>
      </c>
      <c r="BA10" s="8">
        <f t="shared" si="9"/>
        <v>2.6499999999999999E-8</v>
      </c>
      <c r="BB10" s="8">
        <f t="shared" si="4"/>
        <v>2.6499999999999999E-8</v>
      </c>
      <c r="BC10" s="7"/>
      <c r="BD10" s="7">
        <f t="shared" si="5"/>
        <v>0</v>
      </c>
    </row>
    <row r="11" spans="1:56" x14ac:dyDescent="0.4">
      <c r="A11" s="95"/>
      <c r="K11" s="37"/>
      <c r="L11" s="38"/>
      <c r="M11" s="37"/>
      <c r="W11" s="1"/>
      <c r="AE11" s="1"/>
      <c r="AF11" s="1"/>
      <c r="AG11" s="24"/>
      <c r="AH11" s="28"/>
      <c r="AI11" s="1"/>
      <c r="AJ11" s="1"/>
      <c r="AO11" s="1"/>
      <c r="AQ11" s="57">
        <f t="shared" si="6"/>
        <v>0</v>
      </c>
      <c r="AR11" s="58" t="e">
        <f t="shared" si="7"/>
        <v>#DIV/0!</v>
      </c>
      <c r="AS11" s="13">
        <v>9.5</v>
      </c>
      <c r="AT11" s="13">
        <f t="shared" si="0"/>
        <v>1818.7478935719314</v>
      </c>
      <c r="AU11" s="13">
        <f t="shared" si="1"/>
        <v>18187.478935719311</v>
      </c>
      <c r="AV11" s="13">
        <v>0</v>
      </c>
      <c r="AW11" s="70">
        <f t="shared" si="2"/>
        <v>0</v>
      </c>
      <c r="AX11" s="7"/>
      <c r="AY11" s="8">
        <f t="shared" si="8"/>
        <v>2.6499999999999999E-8</v>
      </c>
      <c r="AZ11" s="7">
        <f t="shared" si="3"/>
        <v>0</v>
      </c>
      <c r="BA11" s="8">
        <f t="shared" si="9"/>
        <v>2.6499999999999999E-8</v>
      </c>
      <c r="BB11" s="8">
        <f t="shared" si="4"/>
        <v>2.6499999999999999E-8</v>
      </c>
      <c r="BC11" s="7"/>
      <c r="BD11" s="7">
        <f t="shared" si="5"/>
        <v>0</v>
      </c>
    </row>
    <row r="12" spans="1:56" x14ac:dyDescent="0.4">
      <c r="A12" s="95"/>
      <c r="K12" s="37"/>
      <c r="L12" s="38"/>
      <c r="M12" s="37"/>
      <c r="W12" s="1"/>
      <c r="AE12" s="1"/>
      <c r="AF12" s="1"/>
      <c r="AG12" s="24"/>
      <c r="AH12" s="28"/>
      <c r="AI12" s="1"/>
      <c r="AJ12" s="1"/>
      <c r="AO12" s="1"/>
      <c r="AQ12" s="60">
        <f t="shared" si="6"/>
        <v>0</v>
      </c>
      <c r="AR12" s="59" t="e">
        <f t="shared" si="7"/>
        <v>#DIV/0!</v>
      </c>
      <c r="AS12" s="14">
        <v>9.5</v>
      </c>
      <c r="AT12" s="13">
        <f t="shared" si="0"/>
        <v>1818.7478935719314</v>
      </c>
      <c r="AU12" s="14">
        <f t="shared" si="1"/>
        <v>18187.478935719311</v>
      </c>
      <c r="AV12" s="14">
        <v>0</v>
      </c>
      <c r="AW12" s="70">
        <f t="shared" si="2"/>
        <v>0</v>
      </c>
      <c r="AX12" s="7"/>
      <c r="AY12" s="8">
        <f t="shared" si="8"/>
        <v>2.6499999999999999E-8</v>
      </c>
      <c r="AZ12" s="7">
        <f t="shared" si="3"/>
        <v>0</v>
      </c>
      <c r="BA12" s="8">
        <f t="shared" si="9"/>
        <v>2.6499999999999999E-8</v>
      </c>
      <c r="BB12" s="8">
        <f t="shared" si="4"/>
        <v>2.6499999999999999E-8</v>
      </c>
      <c r="BC12" s="7"/>
      <c r="BD12" s="7">
        <f t="shared" si="5"/>
        <v>0</v>
      </c>
    </row>
    <row r="13" spans="1:56" x14ac:dyDescent="0.4">
      <c r="A13" s="4"/>
      <c r="X13" s="1"/>
      <c r="Y13" s="1"/>
      <c r="Z13" s="1"/>
      <c r="AA13" s="1"/>
      <c r="AB13" s="1"/>
      <c r="AC13" s="1"/>
      <c r="AD13" s="1"/>
      <c r="AE13" s="1"/>
      <c r="AF13" s="1"/>
      <c r="AO13" s="1"/>
    </row>
    <row r="14" spans="1:56" s="2" customFormat="1" ht="18" x14ac:dyDescent="0.35">
      <c r="A14" s="95" t="s">
        <v>70</v>
      </c>
      <c r="B14" s="5" t="s">
        <v>0</v>
      </c>
      <c r="C14" s="5" t="s">
        <v>1</v>
      </c>
      <c r="D14" s="5" t="s">
        <v>2</v>
      </c>
      <c r="E14" s="5" t="s">
        <v>33</v>
      </c>
      <c r="F14" s="36" t="s">
        <v>34</v>
      </c>
      <c r="G14" s="36" t="s">
        <v>134</v>
      </c>
      <c r="H14" s="36" t="s">
        <v>35</v>
      </c>
      <c r="I14" s="36" t="s">
        <v>36</v>
      </c>
      <c r="J14" s="5" t="s">
        <v>27</v>
      </c>
      <c r="K14" s="5" t="s">
        <v>42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43</v>
      </c>
      <c r="Q14" s="5" t="s">
        <v>44</v>
      </c>
      <c r="R14" s="5" t="s">
        <v>84</v>
      </c>
      <c r="S14" s="5" t="s">
        <v>65</v>
      </c>
      <c r="T14" s="5" t="s">
        <v>63</v>
      </c>
      <c r="U14" s="12" t="s">
        <v>61</v>
      </c>
      <c r="V14" s="12" t="s">
        <v>106</v>
      </c>
      <c r="W14" s="12" t="s">
        <v>22</v>
      </c>
      <c r="X14" s="12" t="s">
        <v>24</v>
      </c>
      <c r="AA14" s="12" t="s">
        <v>23</v>
      </c>
      <c r="AB14" s="3"/>
      <c r="AC14" s="12" t="s">
        <v>44</v>
      </c>
      <c r="AD14" s="12" t="s">
        <v>76</v>
      </c>
      <c r="AE14" s="12" t="s">
        <v>122</v>
      </c>
      <c r="AF14" s="3"/>
      <c r="AG14" s="3"/>
      <c r="AQ14" s="22"/>
      <c r="AR14" s="66" t="s">
        <v>21</v>
      </c>
      <c r="AS14" s="66" t="s">
        <v>132</v>
      </c>
      <c r="AT14" s="67" t="s">
        <v>114</v>
      </c>
      <c r="AU14" s="39"/>
      <c r="AV14" s="39"/>
    </row>
    <row r="15" spans="1:56" x14ac:dyDescent="0.4">
      <c r="A15" s="95"/>
      <c r="B15">
        <v>1</v>
      </c>
      <c r="C15" t="s">
        <v>30</v>
      </c>
      <c r="D15">
        <v>8</v>
      </c>
      <c r="E15" t="s">
        <v>39</v>
      </c>
      <c r="F15" t="s">
        <v>40</v>
      </c>
      <c r="G15" s="37"/>
      <c r="H15" s="37"/>
      <c r="I15" t="s">
        <v>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816.66666669999995</v>
      </c>
      <c r="S15">
        <v>0</v>
      </c>
      <c r="T15">
        <v>0</v>
      </c>
      <c r="U15" s="13">
        <v>22</v>
      </c>
      <c r="V15" s="13">
        <v>4.3</v>
      </c>
      <c r="W15" s="13">
        <f t="shared" ref="W15:W33" si="10">(($V15/100)*(1+$AB$16*$E$45)-$Y$16)/(((1+1/$X$36)*(14*10^(-6)))-(($J$45/$X$36+$F$45)*$V15/100))</f>
        <v>395.90503059926971</v>
      </c>
      <c r="X15" s="13">
        <f>$W15/$X$36</f>
        <v>3959.0503059926968</v>
      </c>
      <c r="Y15" s="66" t="s">
        <v>42</v>
      </c>
      <c r="Z15" s="66" t="s">
        <v>27</v>
      </c>
      <c r="AA15" s="75">
        <f t="shared" ref="AA15:AA33" si="11">IF(F15="HiddenElement",$AA$35/100/(1-$X$47)*$X$46*10^6/$X$44,0)</f>
        <v>0</v>
      </c>
      <c r="AB15" s="74" t="s">
        <v>21</v>
      </c>
      <c r="AC15" s="13">
        <f>ROUND(X15/$AU$6*120,0)</f>
        <v>57</v>
      </c>
      <c r="AD15" s="13">
        <f>J15+L15*$F$45+M15*$J$45+O15*$E$45</f>
        <v>0</v>
      </c>
      <c r="AE15" s="58" t="e">
        <f>(1-J15/AD15)*100</f>
        <v>#DIV/0!</v>
      </c>
      <c r="AF15" s="1"/>
      <c r="AQ15" s="68"/>
      <c r="AR15" s="70">
        <f>$AR$16/100/(1-$X$47)*$X$46*10^6/$X$44</f>
        <v>4411.7647058823532</v>
      </c>
      <c r="AS15" s="70">
        <f>$AS$16/100/(1-$X$47)*$X$46*10^6/$X$44</f>
        <v>4411.7647058823532</v>
      </c>
      <c r="AT15" s="71">
        <f>AS15+AR15</f>
        <v>8823.5294117647063</v>
      </c>
      <c r="AU15" s="82"/>
      <c r="AV15" s="82"/>
    </row>
    <row r="16" spans="1:56" x14ac:dyDescent="0.4">
      <c r="A16" s="95"/>
      <c r="B16">
        <v>1</v>
      </c>
      <c r="C16" t="s">
        <v>30</v>
      </c>
      <c r="D16">
        <v>8</v>
      </c>
      <c r="E16" t="s">
        <v>174</v>
      </c>
      <c r="F16" t="s">
        <v>40</v>
      </c>
      <c r="G16" s="37"/>
      <c r="H16" s="37"/>
      <c r="I16" t="s">
        <v>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432.43243239999998</v>
      </c>
      <c r="S16">
        <v>0</v>
      </c>
      <c r="T16">
        <v>0</v>
      </c>
      <c r="U16" s="13">
        <v>0.06</v>
      </c>
      <c r="V16" s="13">
        <v>1.8</v>
      </c>
      <c r="W16" s="13">
        <f t="shared" si="10"/>
        <v>112.73176271832151</v>
      </c>
      <c r="X16" s="13">
        <f>$W16/$X$36</f>
        <v>1127.3176271832149</v>
      </c>
      <c r="Y16" s="16">
        <v>5.0000000000000001E-3</v>
      </c>
      <c r="Z16" s="16">
        <v>1</v>
      </c>
      <c r="AA16" s="75">
        <f t="shared" si="11"/>
        <v>0</v>
      </c>
      <c r="AB16" s="44">
        <f>$AB$30/100/(1-$X$47)*$X$46*10^6/$X$44</f>
        <v>4411.7647058823532</v>
      </c>
      <c r="AC16" s="13">
        <f t="shared" ref="AC16:AC33" si="12">ROUND(X16/$AU$6*120,0)</f>
        <v>16</v>
      </c>
      <c r="AD16" s="13">
        <f t="shared" ref="AD16:AD33" si="13">J16+L16*$F$45+M16*$J$45+O16*$E$45</f>
        <v>0</v>
      </c>
      <c r="AE16" s="58" t="e">
        <f t="shared" ref="AE16:AE33" si="14">(1-J16/AD16)*100</f>
        <v>#DIV/0!</v>
      </c>
      <c r="AF16" s="1"/>
      <c r="AQ16" s="69" t="s">
        <v>133</v>
      </c>
      <c r="AR16" s="72">
        <v>10</v>
      </c>
      <c r="AS16" s="72">
        <v>10</v>
      </c>
      <c r="AT16" s="73">
        <f>AS16+AR16</f>
        <v>20</v>
      </c>
      <c r="AU16" s="83"/>
      <c r="AV16" s="83"/>
    </row>
    <row r="17" spans="1:51" x14ac:dyDescent="0.4">
      <c r="A17" s="95"/>
      <c r="B17">
        <v>1</v>
      </c>
      <c r="C17" t="s">
        <v>30</v>
      </c>
      <c r="D17">
        <v>9</v>
      </c>
      <c r="E17" t="s">
        <v>37</v>
      </c>
      <c r="F17" t="s">
        <v>38</v>
      </c>
      <c r="G17" s="37"/>
      <c r="H17" s="37"/>
      <c r="I17" t="s">
        <v>32</v>
      </c>
      <c r="J17">
        <v>0.04</v>
      </c>
      <c r="K17">
        <v>3.4000000000000002E-4</v>
      </c>
      <c r="L17">
        <v>1</v>
      </c>
      <c r="M17">
        <v>10</v>
      </c>
      <c r="N17">
        <v>0</v>
      </c>
      <c r="O17">
        <v>0</v>
      </c>
      <c r="P17">
        <v>1.6000000000000001E-3</v>
      </c>
      <c r="Q17">
        <v>2.5</v>
      </c>
      <c r="R17">
        <v>431.03448279999998</v>
      </c>
      <c r="S17">
        <v>0</v>
      </c>
      <c r="T17">
        <v>0</v>
      </c>
      <c r="U17" s="13"/>
      <c r="V17" s="13"/>
      <c r="W17" s="13"/>
      <c r="X17" s="13"/>
      <c r="Y17" s="91"/>
      <c r="Z17" s="91"/>
      <c r="AA17" s="75"/>
      <c r="AB17" s="92"/>
      <c r="AC17" s="13"/>
      <c r="AD17" s="13"/>
      <c r="AE17" s="58"/>
      <c r="AF17" s="1"/>
      <c r="AQ17" s="91"/>
      <c r="AR17" s="93"/>
      <c r="AS17" s="93"/>
      <c r="AT17" s="83"/>
      <c r="AU17" s="83"/>
      <c r="AV17" s="83"/>
    </row>
    <row r="18" spans="1:51" x14ac:dyDescent="0.4">
      <c r="A18" s="95"/>
      <c r="B18">
        <v>1</v>
      </c>
      <c r="C18" t="s">
        <v>30</v>
      </c>
      <c r="D18">
        <v>9</v>
      </c>
      <c r="E18" t="s">
        <v>174</v>
      </c>
      <c r="F18" t="s">
        <v>41</v>
      </c>
      <c r="G18" s="37"/>
      <c r="H18" s="37"/>
      <c r="I18" t="s">
        <v>32</v>
      </c>
      <c r="J18">
        <v>7.3999999999999996E-2</v>
      </c>
      <c r="K18">
        <v>3.0800000000000001E-4</v>
      </c>
      <c r="L18">
        <v>3</v>
      </c>
      <c r="M18">
        <v>32</v>
      </c>
      <c r="N18">
        <v>0</v>
      </c>
      <c r="O18">
        <v>406</v>
      </c>
      <c r="P18">
        <v>1E-4</v>
      </c>
      <c r="Q18">
        <v>0.1</v>
      </c>
      <c r="R18">
        <v>2450</v>
      </c>
      <c r="S18">
        <v>0</v>
      </c>
      <c r="T18">
        <v>0</v>
      </c>
      <c r="U18" s="13"/>
      <c r="V18" s="13"/>
      <c r="W18" s="13"/>
      <c r="X18" s="13"/>
      <c r="Y18" s="91"/>
      <c r="Z18" s="91"/>
      <c r="AA18" s="75"/>
      <c r="AB18" s="92"/>
      <c r="AC18" s="13"/>
      <c r="AD18" s="13"/>
      <c r="AE18" s="58"/>
      <c r="AF18" s="1"/>
      <c r="AQ18" s="91"/>
      <c r="AR18" s="93"/>
      <c r="AS18" s="93"/>
      <c r="AT18" s="83"/>
      <c r="AU18" s="83"/>
      <c r="AV18" s="83"/>
    </row>
    <row r="19" spans="1:51" x14ac:dyDescent="0.4">
      <c r="A19" s="95"/>
      <c r="B19">
        <v>1</v>
      </c>
      <c r="C19" t="s">
        <v>30</v>
      </c>
      <c r="D19">
        <v>9</v>
      </c>
      <c r="E19" t="s">
        <v>39</v>
      </c>
      <c r="F19" t="s">
        <v>40</v>
      </c>
      <c r="G19" s="37"/>
      <c r="H19" s="37"/>
      <c r="I19" t="s">
        <v>32</v>
      </c>
      <c r="J19">
        <v>5.8000000000000003E-2</v>
      </c>
      <c r="K19">
        <v>4.2499999999999998E-4</v>
      </c>
      <c r="L19">
        <v>3</v>
      </c>
      <c r="M19">
        <v>25</v>
      </c>
      <c r="N19">
        <v>0</v>
      </c>
      <c r="O19">
        <v>319</v>
      </c>
      <c r="P19">
        <v>2.0000000000000001E-4</v>
      </c>
      <c r="Q19">
        <v>0.15</v>
      </c>
      <c r="R19">
        <v>431.19266060000001</v>
      </c>
      <c r="S19">
        <v>0</v>
      </c>
      <c r="T19">
        <v>0</v>
      </c>
      <c r="U19" s="13"/>
      <c r="V19" s="13"/>
      <c r="W19" s="13"/>
      <c r="X19" s="13"/>
      <c r="Y19" s="91"/>
      <c r="Z19" s="91"/>
      <c r="AA19" s="75"/>
      <c r="AB19" s="92"/>
      <c r="AC19" s="13"/>
      <c r="AD19" s="13"/>
      <c r="AE19" s="58"/>
      <c r="AF19" s="1"/>
      <c r="AQ19" s="91"/>
      <c r="AR19" s="93"/>
      <c r="AS19" s="93"/>
      <c r="AT19" s="83"/>
      <c r="AU19" s="83"/>
      <c r="AV19" s="83"/>
    </row>
    <row r="20" spans="1:51" x14ac:dyDescent="0.4">
      <c r="A20" s="95"/>
      <c r="B20">
        <v>1</v>
      </c>
      <c r="C20" t="s">
        <v>30</v>
      </c>
      <c r="D20">
        <v>10</v>
      </c>
      <c r="E20" t="s">
        <v>37</v>
      </c>
      <c r="F20" t="s">
        <v>38</v>
      </c>
      <c r="G20" s="37"/>
      <c r="H20" s="37"/>
      <c r="I20" t="s">
        <v>32</v>
      </c>
      <c r="J20">
        <v>0.05</v>
      </c>
      <c r="K20">
        <v>4.7100000000000001E-4</v>
      </c>
      <c r="L20">
        <v>8</v>
      </c>
      <c r="M20">
        <v>80</v>
      </c>
      <c r="N20">
        <v>0</v>
      </c>
      <c r="O20">
        <v>120</v>
      </c>
      <c r="P20">
        <v>2.2799999999999999E-3</v>
      </c>
      <c r="Q20">
        <v>3.5</v>
      </c>
      <c r="R20">
        <v>438.35616440000001</v>
      </c>
      <c r="S20">
        <v>0</v>
      </c>
      <c r="T20">
        <v>0</v>
      </c>
      <c r="U20" s="13"/>
      <c r="V20" s="13"/>
      <c r="W20" s="13"/>
      <c r="X20" s="13"/>
      <c r="Y20" s="91"/>
      <c r="Z20" s="91"/>
      <c r="AA20" s="75"/>
      <c r="AB20" s="92"/>
      <c r="AC20" s="13"/>
      <c r="AD20" s="13"/>
      <c r="AE20" s="58"/>
      <c r="AF20" s="1"/>
      <c r="AQ20" s="91"/>
      <c r="AR20" s="93"/>
      <c r="AS20" s="93"/>
      <c r="AT20" s="83"/>
      <c r="AU20" s="83"/>
      <c r="AV20" s="83"/>
    </row>
    <row r="21" spans="1:51" x14ac:dyDescent="0.4">
      <c r="A21" s="95"/>
      <c r="B21">
        <v>1</v>
      </c>
      <c r="C21" t="s">
        <v>30</v>
      </c>
      <c r="D21">
        <v>10</v>
      </c>
      <c r="E21" t="s">
        <v>174</v>
      </c>
      <c r="F21" t="s">
        <v>41</v>
      </c>
      <c r="G21" s="37"/>
      <c r="H21" s="37"/>
      <c r="I21" t="s">
        <v>32</v>
      </c>
      <c r="J21">
        <v>0.109</v>
      </c>
      <c r="K21">
        <v>2.5900000000000001E-4</v>
      </c>
      <c r="L21">
        <v>5</v>
      </c>
      <c r="M21">
        <v>47</v>
      </c>
      <c r="N21">
        <v>0</v>
      </c>
      <c r="O21">
        <v>594</v>
      </c>
      <c r="P21">
        <v>2.5000000000000001E-4</v>
      </c>
      <c r="Q21">
        <v>0.1</v>
      </c>
      <c r="R21">
        <v>2450</v>
      </c>
      <c r="S21">
        <v>0</v>
      </c>
      <c r="T21">
        <v>0</v>
      </c>
      <c r="U21" s="13"/>
      <c r="V21" s="13"/>
      <c r="W21" s="13"/>
      <c r="X21" s="13"/>
      <c r="Y21" s="91"/>
      <c r="Z21" s="91"/>
      <c r="AA21" s="75"/>
      <c r="AB21" s="92"/>
      <c r="AC21" s="13"/>
      <c r="AD21" s="13"/>
      <c r="AE21" s="58"/>
      <c r="AF21" s="1"/>
      <c r="AQ21" s="91"/>
      <c r="AR21" s="93"/>
      <c r="AS21" s="93"/>
      <c r="AT21" s="83"/>
      <c r="AU21" s="83"/>
      <c r="AV21" s="83"/>
    </row>
    <row r="22" spans="1:51" x14ac:dyDescent="0.4">
      <c r="A22" s="95"/>
      <c r="B22">
        <v>1</v>
      </c>
      <c r="C22" t="s">
        <v>30</v>
      </c>
      <c r="D22">
        <v>10</v>
      </c>
      <c r="E22" t="s">
        <v>39</v>
      </c>
      <c r="F22" t="s">
        <v>40</v>
      </c>
      <c r="G22" s="37"/>
      <c r="H22" s="37"/>
      <c r="I22" t="s">
        <v>32</v>
      </c>
      <c r="J22">
        <v>7.2999999999999995E-2</v>
      </c>
      <c r="K22">
        <v>2.7799999999999998E-4</v>
      </c>
      <c r="L22">
        <v>3</v>
      </c>
      <c r="M22">
        <v>32</v>
      </c>
      <c r="N22">
        <v>0</v>
      </c>
      <c r="O22">
        <v>398</v>
      </c>
      <c r="P22">
        <v>4.0000000000000002E-4</v>
      </c>
      <c r="Q22">
        <v>0.15</v>
      </c>
      <c r="R22">
        <v>434.21052630000003</v>
      </c>
      <c r="S22">
        <v>0</v>
      </c>
      <c r="T22">
        <v>0</v>
      </c>
      <c r="U22" s="13"/>
      <c r="V22" s="13"/>
      <c r="W22" s="13"/>
      <c r="X22" s="13"/>
      <c r="Y22" s="91"/>
      <c r="Z22" s="91"/>
      <c r="AA22" s="75"/>
      <c r="AB22" s="92"/>
      <c r="AC22" s="13"/>
      <c r="AD22" s="13"/>
      <c r="AE22" s="58"/>
      <c r="AF22" s="1"/>
      <c r="AQ22" s="91"/>
      <c r="AR22" s="93"/>
      <c r="AS22" s="93"/>
      <c r="AT22" s="83"/>
      <c r="AU22" s="83"/>
      <c r="AV22" s="83"/>
    </row>
    <row r="23" spans="1:51" x14ac:dyDescent="0.4">
      <c r="A23" s="95"/>
      <c r="B23">
        <v>1</v>
      </c>
      <c r="C23" t="s">
        <v>30</v>
      </c>
      <c r="D23">
        <v>11</v>
      </c>
      <c r="E23" t="s">
        <v>37</v>
      </c>
      <c r="F23" t="s">
        <v>38</v>
      </c>
      <c r="G23" s="37"/>
      <c r="H23" s="37"/>
      <c r="I23" t="s">
        <v>32</v>
      </c>
      <c r="J23">
        <v>0.09</v>
      </c>
      <c r="K23">
        <v>7.7099999999999998E-4</v>
      </c>
      <c r="L23">
        <v>19</v>
      </c>
      <c r="M23">
        <v>193</v>
      </c>
      <c r="N23">
        <v>0</v>
      </c>
      <c r="O23">
        <v>481</v>
      </c>
      <c r="P23">
        <v>3.3999999999999998E-3</v>
      </c>
      <c r="Q23">
        <v>8</v>
      </c>
      <c r="R23">
        <v>431.5789474</v>
      </c>
      <c r="S23">
        <v>0</v>
      </c>
      <c r="T23">
        <v>0</v>
      </c>
      <c r="U23" s="13"/>
      <c r="V23" s="13"/>
      <c r="W23" s="13"/>
      <c r="X23" s="13"/>
      <c r="Y23" s="91"/>
      <c r="Z23" s="91"/>
      <c r="AA23" s="75"/>
      <c r="AB23" s="92"/>
      <c r="AC23" s="13"/>
      <c r="AD23" s="13"/>
      <c r="AE23" s="58"/>
      <c r="AF23" s="1"/>
      <c r="AQ23" s="91"/>
      <c r="AR23" s="93"/>
      <c r="AS23" s="93"/>
      <c r="AT23" s="83"/>
      <c r="AU23" s="83"/>
      <c r="AV23" s="83"/>
    </row>
    <row r="24" spans="1:51" x14ac:dyDescent="0.4">
      <c r="A24" s="95"/>
      <c r="B24">
        <v>1</v>
      </c>
      <c r="C24" t="s">
        <v>30</v>
      </c>
      <c r="D24">
        <v>11</v>
      </c>
      <c r="E24" t="s">
        <v>174</v>
      </c>
      <c r="F24" t="s">
        <v>41</v>
      </c>
      <c r="G24" s="37"/>
      <c r="H24" s="37"/>
      <c r="I24" t="s">
        <v>32</v>
      </c>
      <c r="J24">
        <v>0.152</v>
      </c>
      <c r="K24">
        <v>3.1599999999999998E-4</v>
      </c>
      <c r="L24">
        <v>7</v>
      </c>
      <c r="M24">
        <v>66</v>
      </c>
      <c r="N24">
        <v>0</v>
      </c>
      <c r="O24">
        <v>828</v>
      </c>
      <c r="P24">
        <v>4.0000000000000002E-4</v>
      </c>
      <c r="Q24">
        <v>0.15</v>
      </c>
      <c r="R24">
        <v>2450</v>
      </c>
      <c r="S24">
        <v>0</v>
      </c>
      <c r="T24">
        <v>0</v>
      </c>
      <c r="U24" s="13"/>
      <c r="V24" s="13"/>
      <c r="W24" s="13"/>
      <c r="X24" s="13"/>
      <c r="Y24" s="91"/>
      <c r="Z24" s="91"/>
      <c r="AA24" s="75"/>
      <c r="AB24" s="92"/>
      <c r="AC24" s="13"/>
      <c r="AD24" s="13"/>
      <c r="AE24" s="58"/>
      <c r="AF24" s="1"/>
      <c r="AQ24" s="91"/>
      <c r="AR24" s="93"/>
      <c r="AS24" s="93"/>
      <c r="AT24" s="83"/>
      <c r="AU24" s="83"/>
      <c r="AV24" s="83"/>
    </row>
    <row r="25" spans="1:51" x14ac:dyDescent="0.4">
      <c r="A25" s="95"/>
      <c r="B25">
        <v>1</v>
      </c>
      <c r="C25" t="s">
        <v>30</v>
      </c>
      <c r="D25">
        <v>11</v>
      </c>
      <c r="E25" t="s">
        <v>174</v>
      </c>
      <c r="F25" t="s">
        <v>40</v>
      </c>
      <c r="G25" s="37"/>
      <c r="H25" s="37"/>
      <c r="I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431.25</v>
      </c>
      <c r="S25">
        <v>0</v>
      </c>
      <c r="T25">
        <v>0</v>
      </c>
      <c r="U25" s="13"/>
      <c r="V25" s="13"/>
      <c r="W25" s="13"/>
      <c r="X25" s="13"/>
      <c r="Y25" s="91"/>
      <c r="Z25" s="91"/>
      <c r="AA25" s="75"/>
      <c r="AB25" s="92"/>
      <c r="AC25" s="13"/>
      <c r="AD25" s="13"/>
      <c r="AE25" s="58"/>
      <c r="AF25" s="1"/>
      <c r="AQ25" s="91"/>
      <c r="AR25" s="93"/>
      <c r="AS25" s="93"/>
      <c r="AT25" s="83"/>
      <c r="AU25" s="83"/>
      <c r="AV25" s="83"/>
    </row>
    <row r="26" spans="1:51" x14ac:dyDescent="0.4">
      <c r="A26" s="95"/>
      <c r="B26">
        <v>1</v>
      </c>
      <c r="C26" t="s">
        <v>30</v>
      </c>
      <c r="D26">
        <v>11</v>
      </c>
      <c r="E26" t="s">
        <v>39</v>
      </c>
      <c r="F26" t="s">
        <v>40</v>
      </c>
      <c r="G26" s="37"/>
      <c r="H26" s="37"/>
      <c r="I26" t="s">
        <v>32</v>
      </c>
      <c r="J26">
        <v>9.5000000000000001E-2</v>
      </c>
      <c r="K26">
        <v>2.7500000000000002E-4</v>
      </c>
      <c r="L26">
        <v>4</v>
      </c>
      <c r="M26">
        <v>41</v>
      </c>
      <c r="N26">
        <v>0</v>
      </c>
      <c r="O26">
        <v>517</v>
      </c>
      <c r="P26">
        <v>5.0000000000000001E-4</v>
      </c>
      <c r="Q26">
        <v>0.2</v>
      </c>
      <c r="R26">
        <v>437.5</v>
      </c>
      <c r="S26">
        <v>0</v>
      </c>
      <c r="T26">
        <v>0</v>
      </c>
      <c r="U26" s="13"/>
      <c r="V26" s="13"/>
      <c r="W26" s="13"/>
      <c r="X26" s="13"/>
      <c r="Y26" s="91"/>
      <c r="Z26" s="91"/>
      <c r="AA26" s="75"/>
      <c r="AB26" s="92"/>
      <c r="AC26" s="13"/>
      <c r="AD26" s="13"/>
      <c r="AE26" s="58"/>
      <c r="AF26" s="1"/>
      <c r="AQ26" s="91"/>
      <c r="AR26" s="93"/>
      <c r="AS26" s="93"/>
      <c r="AT26" s="83"/>
      <c r="AU26" s="83"/>
      <c r="AV26" s="83"/>
    </row>
    <row r="27" spans="1:51" x14ac:dyDescent="0.4">
      <c r="A27" s="95"/>
      <c r="B27">
        <v>1</v>
      </c>
      <c r="C27" t="s">
        <v>30</v>
      </c>
      <c r="D27">
        <v>12</v>
      </c>
      <c r="E27" t="s">
        <v>37</v>
      </c>
      <c r="F27" t="s">
        <v>38</v>
      </c>
      <c r="G27" s="37"/>
      <c r="H27" s="37"/>
      <c r="I27" t="s">
        <v>32</v>
      </c>
      <c r="J27">
        <v>0.14000000000000001</v>
      </c>
      <c r="K27">
        <v>9.6900000000000003E-4</v>
      </c>
      <c r="L27">
        <v>34</v>
      </c>
      <c r="M27">
        <v>343</v>
      </c>
      <c r="N27">
        <v>0</v>
      </c>
      <c r="O27">
        <v>750</v>
      </c>
      <c r="P27">
        <v>3.46E-3</v>
      </c>
      <c r="Q27">
        <v>15</v>
      </c>
      <c r="R27">
        <v>430.8943089</v>
      </c>
      <c r="S27">
        <v>0</v>
      </c>
      <c r="T27">
        <v>0</v>
      </c>
      <c r="U27" s="13"/>
      <c r="V27" s="13"/>
      <c r="W27" s="13"/>
      <c r="X27" s="13"/>
      <c r="Y27" s="91"/>
      <c r="Z27" s="91"/>
      <c r="AA27" s="75"/>
      <c r="AB27" s="92"/>
      <c r="AC27" s="13"/>
      <c r="AD27" s="13"/>
      <c r="AE27" s="58"/>
      <c r="AF27" s="1"/>
      <c r="AQ27" s="91"/>
      <c r="AR27" s="93"/>
      <c r="AS27" s="93"/>
      <c r="AT27" s="83"/>
      <c r="AU27" s="83"/>
      <c r="AV27" s="83"/>
    </row>
    <row r="28" spans="1:51" x14ac:dyDescent="0.4">
      <c r="A28" s="95"/>
      <c r="B28">
        <v>1</v>
      </c>
      <c r="C28" t="s">
        <v>30</v>
      </c>
      <c r="D28">
        <v>12</v>
      </c>
      <c r="E28" t="s">
        <v>174</v>
      </c>
      <c r="F28" t="s">
        <v>41</v>
      </c>
      <c r="G28" s="37"/>
      <c r="H28" s="37"/>
      <c r="I28" t="s">
        <v>32</v>
      </c>
      <c r="J28">
        <v>0.16</v>
      </c>
      <c r="K28">
        <v>4.2499999999999998E-4</v>
      </c>
      <c r="L28">
        <v>7</v>
      </c>
      <c r="M28">
        <v>69</v>
      </c>
      <c r="N28">
        <v>0</v>
      </c>
      <c r="O28">
        <v>875</v>
      </c>
      <c r="P28">
        <v>4.0000000000000002E-4</v>
      </c>
      <c r="Q28">
        <v>0.5</v>
      </c>
      <c r="R28">
        <v>433.96226419999999</v>
      </c>
      <c r="S28">
        <v>0</v>
      </c>
      <c r="T28">
        <v>0</v>
      </c>
      <c r="U28" s="13"/>
      <c r="V28" s="13"/>
      <c r="W28" s="13"/>
      <c r="X28" s="13"/>
      <c r="Y28" s="91"/>
      <c r="Z28" s="91"/>
      <c r="AA28" s="75"/>
      <c r="AB28" s="92"/>
      <c r="AC28" s="13"/>
      <c r="AD28" s="13"/>
      <c r="AE28" s="58"/>
      <c r="AF28" s="1"/>
      <c r="AQ28" s="91"/>
      <c r="AR28" s="93"/>
      <c r="AS28" s="93"/>
      <c r="AT28" s="83"/>
      <c r="AU28" s="83"/>
      <c r="AV28" s="83"/>
    </row>
    <row r="29" spans="1:51" x14ac:dyDescent="0.4">
      <c r="A29" s="95"/>
      <c r="B29">
        <v>1</v>
      </c>
      <c r="C29" t="s">
        <v>30</v>
      </c>
      <c r="D29">
        <v>12</v>
      </c>
      <c r="E29" t="s">
        <v>174</v>
      </c>
      <c r="F29" t="s">
        <v>40</v>
      </c>
      <c r="G29" s="37"/>
      <c r="H29" s="37"/>
      <c r="I29" t="s">
        <v>32</v>
      </c>
      <c r="J29">
        <v>3.2000000000000001E-2</v>
      </c>
      <c r="K29">
        <v>8.6000000000000003E-5</v>
      </c>
      <c r="L29">
        <v>1</v>
      </c>
      <c r="M29">
        <v>14</v>
      </c>
      <c r="N29">
        <v>0</v>
      </c>
      <c r="O29">
        <v>177</v>
      </c>
      <c r="P29">
        <v>8.0000000000000007E-5</v>
      </c>
      <c r="Q29">
        <v>0.5</v>
      </c>
      <c r="R29">
        <v>431.03448279999998</v>
      </c>
      <c r="S29">
        <v>0</v>
      </c>
      <c r="T29">
        <v>0</v>
      </c>
      <c r="U29" s="13"/>
      <c r="V29" s="13"/>
      <c r="W29" s="13"/>
      <c r="X29" s="13"/>
      <c r="Y29" s="91"/>
      <c r="Z29" s="91"/>
      <c r="AA29" s="75"/>
      <c r="AB29" s="92"/>
      <c r="AC29" s="13"/>
      <c r="AD29" s="13"/>
      <c r="AE29" s="58"/>
      <c r="AF29" s="1"/>
      <c r="AQ29" s="91"/>
      <c r="AR29" s="93"/>
      <c r="AS29" s="93"/>
      <c r="AT29" s="83"/>
      <c r="AU29" s="83"/>
      <c r="AV29" s="83"/>
    </row>
    <row r="30" spans="1:51" x14ac:dyDescent="0.4">
      <c r="A30" s="95"/>
      <c r="B30">
        <v>1</v>
      </c>
      <c r="C30" t="s">
        <v>30</v>
      </c>
      <c r="D30">
        <v>12</v>
      </c>
      <c r="E30" t="s">
        <v>39</v>
      </c>
      <c r="F30" t="s">
        <v>40</v>
      </c>
      <c r="G30" s="37"/>
      <c r="H30" s="37"/>
      <c r="I30" t="s">
        <v>32</v>
      </c>
      <c r="J30">
        <v>0.123</v>
      </c>
      <c r="K30">
        <v>5.9699999999999998E-4</v>
      </c>
      <c r="L30">
        <v>5</v>
      </c>
      <c r="M30">
        <v>53</v>
      </c>
      <c r="N30">
        <v>0</v>
      </c>
      <c r="O30">
        <v>672</v>
      </c>
      <c r="P30">
        <v>5.9999999999999995E-4</v>
      </c>
      <c r="Q30">
        <v>0.5</v>
      </c>
      <c r="R30">
        <v>1157.142857</v>
      </c>
      <c r="S30">
        <v>0</v>
      </c>
      <c r="T30">
        <v>0</v>
      </c>
      <c r="U30" s="13">
        <v>22</v>
      </c>
      <c r="V30" s="13">
        <v>4.8</v>
      </c>
      <c r="W30" s="13">
        <f t="shared" si="10"/>
        <v>469.29708428542818</v>
      </c>
      <c r="X30" s="13">
        <f t="shared" ref="X30:X33" si="15">$W30/$X$36</f>
        <v>4692.9708428542817</v>
      </c>
      <c r="Z30" s="24"/>
      <c r="AA30" s="75">
        <f t="shared" si="11"/>
        <v>0</v>
      </c>
      <c r="AB30" s="41">
        <v>10</v>
      </c>
      <c r="AC30" s="13">
        <f t="shared" si="12"/>
        <v>68</v>
      </c>
      <c r="AD30" s="13">
        <f t="shared" si="13"/>
        <v>0.14763242580328673</v>
      </c>
      <c r="AE30" s="58">
        <f t="shared" si="14"/>
        <v>16.684969896862821</v>
      </c>
      <c r="AF30" s="1"/>
      <c r="AG30" s="1"/>
    </row>
    <row r="31" spans="1:51" x14ac:dyDescent="0.4">
      <c r="A31" s="95"/>
      <c r="B31">
        <v>1</v>
      </c>
      <c r="C31" t="s">
        <v>30</v>
      </c>
      <c r="D31">
        <v>13</v>
      </c>
      <c r="E31" t="s">
        <v>175</v>
      </c>
      <c r="F31" t="s">
        <v>41</v>
      </c>
      <c r="G31" s="37"/>
      <c r="H31" s="37"/>
      <c r="I31" t="s">
        <v>32</v>
      </c>
      <c r="J31">
        <v>0.106</v>
      </c>
      <c r="K31">
        <v>5.0900000000000001E-4</v>
      </c>
      <c r="L31">
        <v>5</v>
      </c>
      <c r="M31">
        <v>46</v>
      </c>
      <c r="N31">
        <v>0</v>
      </c>
      <c r="O31">
        <v>582</v>
      </c>
      <c r="P31">
        <v>5.0000000000000001E-4</v>
      </c>
      <c r="Q31">
        <v>0.7</v>
      </c>
      <c r="S31">
        <v>0</v>
      </c>
      <c r="T31">
        <v>0</v>
      </c>
      <c r="U31" s="13">
        <v>0.08</v>
      </c>
      <c r="V31" s="13">
        <v>2.2999999999999998</v>
      </c>
      <c r="W31" s="13">
        <f t="shared" si="10"/>
        <v>160.40455673709138</v>
      </c>
      <c r="X31" s="13">
        <f t="shared" si="15"/>
        <v>1604.0455673709137</v>
      </c>
      <c r="AA31" s="75">
        <f t="shared" si="11"/>
        <v>1323.5294117647056</v>
      </c>
      <c r="AB31" s="42" t="s">
        <v>119</v>
      </c>
      <c r="AC31" s="13">
        <f t="shared" si="12"/>
        <v>23</v>
      </c>
      <c r="AD31" s="13">
        <f t="shared" si="13"/>
        <v>0.12741199060934161</v>
      </c>
      <c r="AE31" s="58">
        <f t="shared" si="14"/>
        <v>16.805318327529317</v>
      </c>
      <c r="AF31" s="1"/>
      <c r="AG31" s="1"/>
    </row>
    <row r="32" spans="1:51" x14ac:dyDescent="0.4">
      <c r="A32" s="95"/>
      <c r="B32">
        <v>1</v>
      </c>
      <c r="C32" t="s">
        <v>30</v>
      </c>
      <c r="D32">
        <v>13</v>
      </c>
      <c r="E32" t="s">
        <v>175</v>
      </c>
      <c r="F32" t="s">
        <v>40</v>
      </c>
      <c r="G32" s="37"/>
      <c r="H32" s="37"/>
      <c r="I32" t="s">
        <v>32</v>
      </c>
      <c r="J32">
        <v>5.8000000000000003E-2</v>
      </c>
      <c r="K32">
        <v>2.7500000000000002E-4</v>
      </c>
      <c r="L32">
        <v>2</v>
      </c>
      <c r="M32">
        <v>25</v>
      </c>
      <c r="N32">
        <v>0</v>
      </c>
      <c r="O32">
        <v>315</v>
      </c>
      <c r="P32">
        <v>2.7E-4</v>
      </c>
      <c r="Q32">
        <v>0.85</v>
      </c>
      <c r="S32">
        <v>0</v>
      </c>
      <c r="T32">
        <v>0</v>
      </c>
      <c r="U32" s="13">
        <v>0.08</v>
      </c>
      <c r="V32" s="13">
        <v>2.2999999999999998</v>
      </c>
      <c r="W32" s="13">
        <f t="shared" si="10"/>
        <v>160.40455673709138</v>
      </c>
      <c r="X32" s="13">
        <f t="shared" si="15"/>
        <v>1604.0455673709137</v>
      </c>
      <c r="AA32" s="75">
        <f t="shared" si="11"/>
        <v>0</v>
      </c>
      <c r="AB32" s="1"/>
      <c r="AC32" s="13">
        <f t="shared" si="12"/>
        <v>23</v>
      </c>
      <c r="AD32" s="13">
        <f t="shared" si="13"/>
        <v>6.9525288202109403E-2</v>
      </c>
      <c r="AE32" s="58">
        <f t="shared" si="14"/>
        <v>16.577116758733148</v>
      </c>
      <c r="AW32" s="65" t="s">
        <v>56</v>
      </c>
      <c r="AX32" s="7" t="s">
        <v>46</v>
      </c>
      <c r="AY32" s="8">
        <v>0</v>
      </c>
    </row>
    <row r="33" spans="1:51" x14ac:dyDescent="0.4">
      <c r="A33" s="95"/>
      <c r="B33">
        <v>1</v>
      </c>
      <c r="C33" t="s">
        <v>30</v>
      </c>
      <c r="D33">
        <v>14</v>
      </c>
      <c r="E33" t="s">
        <v>176</v>
      </c>
      <c r="F33" t="s">
        <v>40</v>
      </c>
      <c r="G33" s="37"/>
      <c r="H33" s="37"/>
      <c r="I33" t="s">
        <v>32</v>
      </c>
      <c r="J33">
        <v>0.21</v>
      </c>
      <c r="K33">
        <v>1.013E-3</v>
      </c>
      <c r="L33">
        <v>24</v>
      </c>
      <c r="M33">
        <v>243</v>
      </c>
      <c r="N33">
        <v>0</v>
      </c>
      <c r="O33">
        <v>726</v>
      </c>
      <c r="P33">
        <v>1.5E-3</v>
      </c>
      <c r="Q33">
        <v>15</v>
      </c>
      <c r="S33">
        <v>0</v>
      </c>
      <c r="T33">
        <v>0</v>
      </c>
      <c r="U33" s="14">
        <v>22</v>
      </c>
      <c r="V33" s="14">
        <v>5.0999999999999996</v>
      </c>
      <c r="W33" s="14">
        <f t="shared" si="10"/>
        <v>516.91276575633913</v>
      </c>
      <c r="X33" s="14">
        <f t="shared" si="15"/>
        <v>5169.127657563391</v>
      </c>
      <c r="AA33" s="76">
        <f t="shared" si="11"/>
        <v>0</v>
      </c>
      <c r="AC33" s="14">
        <f t="shared" si="12"/>
        <v>75</v>
      </c>
      <c r="AD33" s="14">
        <f t="shared" si="13"/>
        <v>0.25576154735624934</v>
      </c>
      <c r="AE33" s="59">
        <f t="shared" si="14"/>
        <v>17.892270292104641</v>
      </c>
      <c r="AW33" s="65"/>
      <c r="AX33" s="7" t="s">
        <v>47</v>
      </c>
      <c r="AY33" s="7">
        <v>0.106</v>
      </c>
    </row>
    <row r="34" spans="1:51" x14ac:dyDescent="0.4">
      <c r="A34" s="2"/>
      <c r="V34" s="77"/>
      <c r="W34" s="15"/>
      <c r="X34" s="47"/>
      <c r="Z34" s="1"/>
      <c r="AN34" s="65"/>
      <c r="AO34" s="89"/>
      <c r="AP34" s="89"/>
      <c r="AQ34" s="65"/>
      <c r="AR34" s="65"/>
      <c r="AS34" s="65"/>
      <c r="AT34" s="65"/>
      <c r="AU34" s="81"/>
      <c r="AV34" s="81"/>
      <c r="AW34" s="7" t="s">
        <v>48</v>
      </c>
      <c r="AX34" s="7">
        <v>1.28</v>
      </c>
    </row>
    <row r="35" spans="1:51" x14ac:dyDescent="0.4">
      <c r="A35" s="2"/>
      <c r="M35">
        <f>J30*W30</f>
        <v>57.723541367107664</v>
      </c>
      <c r="V35" s="29"/>
      <c r="W35" s="78"/>
      <c r="X35" s="17" t="s">
        <v>79</v>
      </c>
      <c r="Y35" s="35" t="s">
        <v>80</v>
      </c>
      <c r="AA35" s="41">
        <v>3</v>
      </c>
      <c r="AN35" s="65"/>
      <c r="AO35" s="89"/>
      <c r="AP35" s="89"/>
      <c r="AQ35" s="65"/>
      <c r="AR35" s="65"/>
      <c r="AS35" s="65"/>
      <c r="AT35" s="65"/>
      <c r="AU35" s="81"/>
      <c r="AV35" s="81"/>
      <c r="AW35" s="7" t="s">
        <v>49</v>
      </c>
      <c r="AX35" s="7">
        <v>0.8</v>
      </c>
    </row>
    <row r="36" spans="1:51" x14ac:dyDescent="0.4">
      <c r="A36" s="2"/>
      <c r="X36" s="14">
        <v>0.1</v>
      </c>
      <c r="Y36" s="61">
        <f>(SUMPRODUCT(V15:V33,AD15:AD33)+SUMPRODUCT(AS5:AS12,AQ5:AQ12))/SUM(AD15:AD33,AQ5:AQ12)</f>
        <v>4.107690993168819</v>
      </c>
      <c r="AA36" s="42" t="s">
        <v>178</v>
      </c>
      <c r="AN36" s="65"/>
      <c r="AO36" s="89"/>
      <c r="AP36" s="89"/>
      <c r="AQ36" s="65"/>
      <c r="AR36" s="65"/>
      <c r="AS36" s="65"/>
      <c r="AT36" s="65"/>
      <c r="AU36" s="81"/>
      <c r="AV36" s="81"/>
      <c r="AW36" s="7" t="s">
        <v>59</v>
      </c>
      <c r="AX36" s="7">
        <f>210*3600*24/12</f>
        <v>1512000</v>
      </c>
    </row>
    <row r="37" spans="1:51" x14ac:dyDescent="0.4">
      <c r="A37" s="2"/>
      <c r="F37" s="1"/>
      <c r="G37" s="1"/>
      <c r="AN37" s="7"/>
      <c r="AO37" s="7"/>
      <c r="AP37" s="7"/>
      <c r="AQ37" s="7"/>
      <c r="AR37" s="7"/>
      <c r="AS37" s="7"/>
      <c r="AT37" s="7"/>
      <c r="AU37" s="7"/>
      <c r="AV37" s="7"/>
      <c r="AW37" s="7" t="s">
        <v>57</v>
      </c>
      <c r="AX37" s="7">
        <v>5</v>
      </c>
    </row>
    <row r="38" spans="1:51" x14ac:dyDescent="0.4">
      <c r="A38" s="95" t="s">
        <v>71</v>
      </c>
      <c r="B38" s="5" t="s">
        <v>0</v>
      </c>
      <c r="C38" s="5" t="s">
        <v>1</v>
      </c>
      <c r="D38" s="5" t="s">
        <v>33</v>
      </c>
      <c r="E38" s="5" t="s">
        <v>21</v>
      </c>
      <c r="F38" s="5" t="s">
        <v>22</v>
      </c>
      <c r="G38" s="5" t="s">
        <v>63</v>
      </c>
      <c r="H38" s="5" t="s">
        <v>64</v>
      </c>
      <c r="I38" s="5" t="s">
        <v>65</v>
      </c>
      <c r="J38" s="5" t="s">
        <v>24</v>
      </c>
      <c r="K38" s="5" t="s">
        <v>27</v>
      </c>
      <c r="L38" s="5" t="s">
        <v>42</v>
      </c>
      <c r="M38" s="5" t="s">
        <v>44</v>
      </c>
      <c r="AM38" s="9"/>
      <c r="AN38" s="9"/>
      <c r="AO38" s="9"/>
      <c r="AP38" s="9"/>
      <c r="AQ38" s="9"/>
      <c r="AR38" s="9"/>
      <c r="AS38" s="9"/>
      <c r="AT38" s="7" t="s">
        <v>58</v>
      </c>
      <c r="AU38" s="7"/>
      <c r="AV38" s="7"/>
      <c r="AW38" s="7">
        <f>1/59</f>
        <v>1.6949152542372881E-2</v>
      </c>
    </row>
    <row r="39" spans="1:51" x14ac:dyDescent="0.4">
      <c r="A39" s="95"/>
      <c r="B39">
        <v>1</v>
      </c>
      <c r="C39" t="s">
        <v>30</v>
      </c>
      <c r="D39" t="s">
        <v>66</v>
      </c>
      <c r="E39" s="24">
        <v>831</v>
      </c>
      <c r="F39" s="24">
        <v>161</v>
      </c>
      <c r="G39" s="24" t="s">
        <v>31</v>
      </c>
      <c r="H39" s="24" t="s">
        <v>31</v>
      </c>
      <c r="I39" s="24" t="s">
        <v>31</v>
      </c>
      <c r="J39" s="24" t="s">
        <v>31</v>
      </c>
      <c r="K39" s="24" t="s">
        <v>31</v>
      </c>
      <c r="L39" s="24" t="s">
        <v>31</v>
      </c>
      <c r="M39" s="24" t="s">
        <v>31</v>
      </c>
      <c r="AM39" s="10"/>
      <c r="AN39" s="10"/>
      <c r="AO39" s="10"/>
      <c r="AP39" s="10"/>
      <c r="AQ39" s="10"/>
      <c r="AR39" s="10"/>
      <c r="AS39" s="10"/>
      <c r="AT39" s="7"/>
      <c r="AU39" s="7"/>
      <c r="AV39" s="7"/>
      <c r="AW39" s="7"/>
    </row>
    <row r="40" spans="1:51" x14ac:dyDescent="0.4">
      <c r="A40" s="95"/>
      <c r="B40">
        <v>1</v>
      </c>
      <c r="C40" t="s">
        <v>30</v>
      </c>
      <c r="D40" t="s">
        <v>177</v>
      </c>
      <c r="E40" s="24"/>
      <c r="F40" s="24"/>
      <c r="G40" s="24"/>
      <c r="H40">
        <v>2450</v>
      </c>
      <c r="I40" s="24">
        <v>0</v>
      </c>
      <c r="J40" s="24"/>
      <c r="K40" s="24"/>
      <c r="L40" s="24"/>
      <c r="M40" s="24"/>
      <c r="AM40" s="10"/>
      <c r="AN40" s="10"/>
      <c r="AO40" s="10"/>
      <c r="AP40" s="10"/>
      <c r="AQ40" s="10"/>
      <c r="AR40" s="10"/>
      <c r="AS40" s="10"/>
      <c r="AT40" s="7"/>
      <c r="AU40" s="7"/>
      <c r="AV40" s="7"/>
      <c r="AW40" s="7"/>
    </row>
    <row r="41" spans="1:51" x14ac:dyDescent="0.4">
      <c r="A41" s="95"/>
      <c r="B41">
        <v>1</v>
      </c>
      <c r="C41" t="s">
        <v>30</v>
      </c>
      <c r="D41" t="s">
        <v>67</v>
      </c>
      <c r="E41" s="24">
        <f>E42*$K$41</f>
        <v>1420.4048992771675</v>
      </c>
      <c r="F41" s="24">
        <f>F42*$K$41</f>
        <v>115.16796480625683</v>
      </c>
      <c r="G41" s="24">
        <f>G42*$K$41</f>
        <v>479.86652002607013</v>
      </c>
      <c r="H41" s="24" t="s">
        <v>31</v>
      </c>
      <c r="I41" s="24" t="s">
        <v>31</v>
      </c>
      <c r="J41" s="24" t="s">
        <v>31</v>
      </c>
      <c r="K41" s="1">
        <f>$P$47/$O$42/(1+$E$42*$E$45+$F$42*$F$45+$G$42*$G$45)</f>
        <v>0.96741090437255739</v>
      </c>
      <c r="L41" s="94">
        <f>K41*$Y$16</f>
        <v>4.8370545218627868E-3</v>
      </c>
      <c r="M41" s="24">
        <f>M42*$K$41</f>
        <v>4.7403134314255313</v>
      </c>
      <c r="N41" s="63" t="s">
        <v>127</v>
      </c>
      <c r="O41" s="17" t="s">
        <v>68</v>
      </c>
      <c r="P41" s="17" t="s">
        <v>82</v>
      </c>
      <c r="Q41" s="17" t="s">
        <v>81</v>
      </c>
      <c r="R41" s="96" t="s">
        <v>45</v>
      </c>
      <c r="S41" s="7" t="s">
        <v>46</v>
      </c>
      <c r="T41" s="8">
        <v>2.6499999999999999E-8</v>
      </c>
      <c r="AM41" s="10"/>
      <c r="AN41" s="10"/>
      <c r="AO41" s="10"/>
      <c r="AP41" s="10"/>
      <c r="AQ41" s="10"/>
      <c r="AR41" s="10"/>
      <c r="AS41" s="10"/>
      <c r="AT41" s="7"/>
      <c r="AU41" s="7"/>
      <c r="AV41" s="7"/>
      <c r="AW41" s="7"/>
    </row>
    <row r="42" spans="1:51" x14ac:dyDescent="0.4">
      <c r="E42" s="45">
        <v>1468.2539682539682</v>
      </c>
      <c r="F42" s="46">
        <v>119.04761904761905</v>
      </c>
      <c r="G42" s="46">
        <v>496.03174603174602</v>
      </c>
      <c r="H42" s="18"/>
      <c r="I42" s="18"/>
      <c r="J42" s="18"/>
      <c r="K42" s="18"/>
      <c r="L42" s="18"/>
      <c r="M42" s="19">
        <v>4.9000000000000004</v>
      </c>
      <c r="N42" s="64">
        <f>SUM(AK5:AK12,J15:J33)/K41</f>
        <v>1.622888467458685</v>
      </c>
      <c r="O42" s="14">
        <v>1.9</v>
      </c>
      <c r="P42" s="14">
        <v>0.1</v>
      </c>
      <c r="Q42" s="14">
        <v>1.2</v>
      </c>
      <c r="R42" s="96"/>
      <c r="S42" s="7" t="s">
        <v>47</v>
      </c>
      <c r="T42" s="7">
        <v>0.106</v>
      </c>
      <c r="AM42" s="10" t="s">
        <v>72</v>
      </c>
      <c r="AN42" s="10"/>
      <c r="AO42" s="10"/>
      <c r="AP42" s="10"/>
      <c r="AQ42" s="10"/>
      <c r="AR42" s="10"/>
      <c r="AS42" s="10"/>
      <c r="AT42" s="7"/>
      <c r="AU42" s="7"/>
      <c r="AV42" s="7"/>
      <c r="AW42" s="7"/>
    </row>
    <row r="43" spans="1:51" x14ac:dyDescent="0.4">
      <c r="F43" s="1"/>
      <c r="R43" s="96"/>
      <c r="S43" s="7" t="s">
        <v>48</v>
      </c>
      <c r="T43" s="7">
        <v>1.28</v>
      </c>
      <c r="W43" s="39" t="s">
        <v>118</v>
      </c>
      <c r="X43" s="40">
        <v>180</v>
      </c>
      <c r="AM43" s="11" t="s">
        <v>73</v>
      </c>
      <c r="AN43" s="11"/>
      <c r="AO43" s="11"/>
      <c r="AP43" s="11"/>
      <c r="AQ43" s="11"/>
      <c r="AR43" s="11"/>
      <c r="AS43" s="11"/>
      <c r="AT43" s="7"/>
      <c r="AU43" s="7"/>
      <c r="AV43" s="7"/>
      <c r="AW43" s="7"/>
    </row>
    <row r="44" spans="1:51" x14ac:dyDescent="0.4">
      <c r="D44" s="23" t="s">
        <v>77</v>
      </c>
      <c r="F44" s="1"/>
      <c r="O44" s="30" t="s">
        <v>131</v>
      </c>
      <c r="P44" s="56">
        <f>K41+SUM(J15:J33)+SUM(AK5:AK12)</f>
        <v>2.5374109043725577</v>
      </c>
      <c r="R44" s="96"/>
      <c r="S44" s="7" t="s">
        <v>49</v>
      </c>
      <c r="T44" s="7">
        <v>0.8</v>
      </c>
      <c r="W44" s="39" t="s">
        <v>115</v>
      </c>
      <c r="X44" s="40">
        <v>340</v>
      </c>
      <c r="AM44" s="11"/>
      <c r="AN44" s="11"/>
      <c r="AO44" s="11"/>
      <c r="AP44" s="11"/>
      <c r="AQ44" s="11"/>
      <c r="AR44" s="11"/>
      <c r="AS44" s="11"/>
      <c r="AT44" s="7"/>
      <c r="AU44" s="7"/>
      <c r="AV44" s="7"/>
      <c r="AW44" s="7"/>
    </row>
    <row r="45" spans="1:51" x14ac:dyDescent="0.4">
      <c r="D45" s="20" t="s">
        <v>78</v>
      </c>
      <c r="E45" s="20">
        <f xml:space="preserve"> (0.000001*12) / 0.42</f>
        <v>2.8571428571428574E-5</v>
      </c>
      <c r="F45" s="21">
        <f>( 0.000001*14) / 0.135</f>
        <v>1.037037037037037E-4</v>
      </c>
      <c r="G45" s="21">
        <f>62*10^-6</f>
        <v>6.2000000000000003E-5</v>
      </c>
      <c r="H45" s="21">
        <f>(0.000001*12)/0.44</f>
        <v>2.7272727272727273E-5</v>
      </c>
      <c r="J45" s="21">
        <f>( 0.000001*14) / 0.151</f>
        <v>9.2715231788079476E-5</v>
      </c>
      <c r="R45" s="96"/>
      <c r="S45" s="7" t="s">
        <v>50</v>
      </c>
      <c r="T45" s="7">
        <f>271*3600 * 24 /12</f>
        <v>1951200</v>
      </c>
      <c r="W45" s="30" t="s">
        <v>116</v>
      </c>
      <c r="X45" s="32">
        <v>12</v>
      </c>
      <c r="AM45" s="10" t="s">
        <v>74</v>
      </c>
      <c r="AN45" s="10"/>
      <c r="AO45" s="10"/>
      <c r="AP45" s="10"/>
      <c r="AQ45" s="10"/>
      <c r="AR45" s="10"/>
      <c r="AS45" s="10"/>
      <c r="AT45" s="7"/>
      <c r="AU45" s="7"/>
      <c r="AV45" s="7"/>
      <c r="AW45" s="7"/>
    </row>
    <row r="46" spans="1:51" x14ac:dyDescent="0.4">
      <c r="D46" s="20" t="s">
        <v>75</v>
      </c>
      <c r="E46" s="20">
        <f>E39*E45</f>
        <v>2.3742857142857145E-2</v>
      </c>
      <c r="F46" s="21">
        <f>F39*F45</f>
        <v>1.6696296296296296E-2</v>
      </c>
      <c r="G46" s="21"/>
      <c r="O46" s="30" t="s">
        <v>126</v>
      </c>
      <c r="P46" s="56">
        <f>E39*E45+F39*F45</f>
        <v>4.0439153439153441E-2</v>
      </c>
      <c r="R46" s="96"/>
      <c r="S46" s="9" t="s">
        <v>51</v>
      </c>
      <c r="T46" s="7">
        <v>1.557936E-2</v>
      </c>
      <c r="W46" s="30" t="s">
        <v>117</v>
      </c>
      <c r="X46" s="32">
        <v>12</v>
      </c>
    </row>
    <row r="47" spans="1:51" x14ac:dyDescent="0.4">
      <c r="O47" s="30" t="s">
        <v>107</v>
      </c>
      <c r="P47" s="56">
        <f t="array" ref="P47">SUM(J15:J33,AK5:AK12)+SUM(AF5:AF12*F45,L15:L33*F45)+SUM(AH5:AH12*J45,M15:M33*J45)+SUM(AE5:AE12*E45,O15:O33*E45)+SUM(N15:N33*E45,AG5:AG12*E45)+(H40*H45)</f>
        <v>1.9944090434461297</v>
      </c>
      <c r="W47" s="30" t="s">
        <v>120</v>
      </c>
      <c r="X47" s="43">
        <v>0.2</v>
      </c>
    </row>
    <row r="48" spans="1:51" x14ac:dyDescent="0.4">
      <c r="O48" s="30" t="s">
        <v>108</v>
      </c>
      <c r="P48" s="31">
        <f>K41+E41*E45+F41*F45+G41*G45</f>
        <v>1.0496889702348051</v>
      </c>
    </row>
    <row r="49" spans="1:17" ht="15" customHeight="1" x14ac:dyDescent="0.4">
      <c r="A49" s="97" t="s">
        <v>147</v>
      </c>
      <c r="B49" s="5" t="s">
        <v>0</v>
      </c>
      <c r="C49" s="5" t="s">
        <v>1</v>
      </c>
      <c r="D49" s="5" t="s">
        <v>136</v>
      </c>
      <c r="E49" s="5" t="s">
        <v>137</v>
      </c>
      <c r="F49" s="5" t="s">
        <v>138</v>
      </c>
      <c r="G49" s="5" t="s">
        <v>139</v>
      </c>
      <c r="H49" s="5" t="s">
        <v>140</v>
      </c>
      <c r="I49" s="5" t="s">
        <v>141</v>
      </c>
      <c r="J49" s="5" t="s">
        <v>142</v>
      </c>
      <c r="K49" s="5" t="s">
        <v>143</v>
      </c>
      <c r="L49" s="5" t="s">
        <v>144</v>
      </c>
      <c r="M49" s="5" t="s">
        <v>145</v>
      </c>
      <c r="O49" s="30" t="s">
        <v>123</v>
      </c>
      <c r="P49" s="31">
        <f>P48+P47+P46</f>
        <v>3.0845371671200881</v>
      </c>
      <c r="Q49" s="27"/>
    </row>
    <row r="50" spans="1:17" x14ac:dyDescent="0.4">
      <c r="A50" s="97"/>
      <c r="B50">
        <v>1</v>
      </c>
      <c r="C50" t="s">
        <v>30</v>
      </c>
      <c r="D50" t="s">
        <v>146</v>
      </c>
      <c r="E50">
        <v>10</v>
      </c>
      <c r="F50" t="s">
        <v>32</v>
      </c>
      <c r="G50">
        <v>0</v>
      </c>
      <c r="H50">
        <v>1</v>
      </c>
      <c r="I50">
        <v>20</v>
      </c>
      <c r="J50">
        <v>3600</v>
      </c>
      <c r="K50">
        <v>3600</v>
      </c>
      <c r="L50">
        <v>0</v>
      </c>
      <c r="M50">
        <v>0</v>
      </c>
      <c r="O50" s="32"/>
      <c r="P50" s="33"/>
      <c r="Q50" s="1"/>
    </row>
    <row r="51" spans="1:17" x14ac:dyDescent="0.4">
      <c r="O51" s="30" t="s">
        <v>129</v>
      </c>
      <c r="P51" s="34">
        <f>1-SUM($AK$5:$AK$12,$J$15:$J$33)/$P$47</f>
        <v>0.21279939781700719</v>
      </c>
    </row>
    <row r="52" spans="1:17" x14ac:dyDescent="0.4">
      <c r="O52" s="30" t="s">
        <v>130</v>
      </c>
      <c r="P52" s="34">
        <f>1-$K$41/$P$48</f>
        <v>7.838328132936645E-2</v>
      </c>
    </row>
    <row r="53" spans="1:17" x14ac:dyDescent="0.4">
      <c r="O53" s="30" t="s">
        <v>109</v>
      </c>
      <c r="P53" s="34">
        <f>1-SUM($AK$5:$AK$12,$J$15:$J$33)/($P$47+N42/(1+N42)*P46)</f>
        <v>0.22255305378783874</v>
      </c>
    </row>
    <row r="54" spans="1:17" x14ac:dyDescent="0.4">
      <c r="O54" s="30" t="s">
        <v>110</v>
      </c>
      <c r="P54" s="34">
        <f>1-$K$41/($P$48+1/(1+N42)*P46)</f>
        <v>9.1724006383354539E-2</v>
      </c>
    </row>
    <row r="56" spans="1:17" x14ac:dyDescent="0.4">
      <c r="O56" s="30" t="s">
        <v>125</v>
      </c>
      <c r="P56" s="62">
        <f>(F39*14*10^-6)/(E39*E45+F39*F45)*100</f>
        <v>5.5738060970822971</v>
      </c>
    </row>
    <row r="57" spans="1:17" x14ac:dyDescent="0.4">
      <c r="O57" s="30" t="s">
        <v>124</v>
      </c>
      <c r="P57" s="62">
        <f>($Y$36*$P$47+$Q$42*$P$48+$P$46*$P$56)/$P$49</f>
        <v>3.1374051614282616</v>
      </c>
    </row>
    <row r="58" spans="1:17" x14ac:dyDescent="0.4">
      <c r="O58" s="30" t="s">
        <v>128</v>
      </c>
      <c r="P58" s="62">
        <f>($Y$36*$P$47+$Q$42*$P$48)/($P$47+$P$48)</f>
        <v>3.1050389265588811</v>
      </c>
    </row>
  </sheetData>
  <mergeCells count="5">
    <mergeCell ref="A4:A12"/>
    <mergeCell ref="A14:A33"/>
    <mergeCell ref="A38:A41"/>
    <mergeCell ref="R41:R46"/>
    <mergeCell ref="A49:A50"/>
  </mergeCells>
  <phoneticPr fontId="2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defaultColWidth="11" defaultRowHeight="18.75" x14ac:dyDescent="0.4"/>
  <cols>
    <col min="1" max="1" width="30.875" bestFit="1" customWidth="1"/>
    <col min="4" max="4" width="20.875" bestFit="1" customWidth="1"/>
  </cols>
  <sheetData>
    <row r="1" spans="1:9" x14ac:dyDescent="0.4">
      <c r="B1" s="85" t="s">
        <v>150</v>
      </c>
      <c r="C1" s="85" t="s">
        <v>151</v>
      </c>
      <c r="D1" s="85" t="s">
        <v>153</v>
      </c>
      <c r="E1" s="85" t="s">
        <v>154</v>
      </c>
      <c r="F1" s="85" t="s">
        <v>155</v>
      </c>
      <c r="I1" t="s">
        <v>159</v>
      </c>
    </row>
    <row r="2" spans="1:9" x14ac:dyDescent="0.4">
      <c r="A2" t="s">
        <v>149</v>
      </c>
      <c r="B2">
        <v>10</v>
      </c>
      <c r="C2">
        <f>B2*10^3/10000</f>
        <v>1</v>
      </c>
      <c r="D2" s="79">
        <f>C2*10^6/14</f>
        <v>71428.571428571435</v>
      </c>
      <c r="E2" s="80">
        <v>36146</v>
      </c>
      <c r="F2">
        <v>0</v>
      </c>
      <c r="I2" t="s">
        <v>160</v>
      </c>
    </row>
    <row r="3" spans="1:9" x14ac:dyDescent="0.4">
      <c r="A3" t="s">
        <v>161</v>
      </c>
      <c r="B3">
        <v>50</v>
      </c>
      <c r="C3">
        <f t="shared" ref="C3:C4" si="0">B3*10^3/10000</f>
        <v>5</v>
      </c>
      <c r="D3" s="79">
        <f t="shared" ref="D3:D4" si="1">C3*10^6/14</f>
        <v>357142.85714285716</v>
      </c>
      <c r="E3" s="80">
        <v>36230</v>
      </c>
      <c r="F3">
        <f>(E3-E2)*24</f>
        <v>2016</v>
      </c>
      <c r="I3" t="s">
        <v>162</v>
      </c>
    </row>
    <row r="4" spans="1:9" x14ac:dyDescent="0.4">
      <c r="A4" t="s">
        <v>152</v>
      </c>
      <c r="B4">
        <v>140</v>
      </c>
      <c r="C4">
        <f t="shared" si="0"/>
        <v>14</v>
      </c>
      <c r="D4">
        <f t="shared" si="1"/>
        <v>1000000</v>
      </c>
      <c r="E4" s="80">
        <v>36251</v>
      </c>
      <c r="F4">
        <f>(E4-E2)*24</f>
        <v>2520</v>
      </c>
      <c r="I4" t="s">
        <v>163</v>
      </c>
    </row>
    <row r="5" spans="1:9" x14ac:dyDescent="0.4">
      <c r="E5" s="80"/>
    </row>
  </sheetData>
  <phoneticPr fontId="2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defaultColWidth="11" defaultRowHeight="18.75" x14ac:dyDescent="0.4"/>
  <sheetData>
    <row r="1" spans="1:9" x14ac:dyDescent="0.4">
      <c r="A1" s="25" t="s">
        <v>91</v>
      </c>
    </row>
    <row r="3" spans="1:9" x14ac:dyDescent="0.4">
      <c r="C3" s="26" t="s">
        <v>92</v>
      </c>
      <c r="D3" s="26" t="s">
        <v>83</v>
      </c>
      <c r="E3" s="26" t="s">
        <v>83</v>
      </c>
      <c r="F3" s="26" t="s">
        <v>93</v>
      </c>
      <c r="G3" s="26" t="s">
        <v>94</v>
      </c>
      <c r="I3" s="26" t="s">
        <v>95</v>
      </c>
    </row>
    <row r="4" spans="1:9" x14ac:dyDescent="0.4">
      <c r="A4" s="5" t="s">
        <v>96</v>
      </c>
      <c r="B4" s="5" t="s">
        <v>97</v>
      </c>
      <c r="C4" s="5" t="s">
        <v>98</v>
      </c>
      <c r="D4" s="5" t="s">
        <v>27</v>
      </c>
      <c r="E4" s="5" t="s">
        <v>42</v>
      </c>
      <c r="F4" s="5" t="s">
        <v>99</v>
      </c>
      <c r="G4" s="5" t="s">
        <v>100</v>
      </c>
      <c r="I4" s="5" t="s">
        <v>101</v>
      </c>
    </row>
    <row r="5" spans="1:9" x14ac:dyDescent="0.4">
      <c r="A5">
        <v>11</v>
      </c>
      <c r="B5" t="s">
        <v>37</v>
      </c>
      <c r="C5">
        <v>34.6</v>
      </c>
      <c r="D5">
        <v>140</v>
      </c>
      <c r="E5">
        <v>0.97</v>
      </c>
      <c r="F5" s="24">
        <f>D5/C5*10</f>
        <v>40.462427745664733</v>
      </c>
      <c r="G5">
        <v>15</v>
      </c>
      <c r="I5" s="24">
        <f>G5/D5*1000</f>
        <v>107.14285714285714</v>
      </c>
    </row>
    <row r="6" spans="1:9" x14ac:dyDescent="0.4">
      <c r="A6">
        <v>10</v>
      </c>
      <c r="B6" t="s">
        <v>37</v>
      </c>
      <c r="C6">
        <v>34</v>
      </c>
      <c r="D6">
        <v>90</v>
      </c>
      <c r="E6">
        <v>0.77</v>
      </c>
      <c r="F6" s="24">
        <f t="shared" ref="F6:F17" si="0">D6/C6*10</f>
        <v>26.470588235294116</v>
      </c>
      <c r="G6">
        <v>8</v>
      </c>
      <c r="I6" s="24">
        <f t="shared" ref="I6:I22" si="1">G6/D6*1000</f>
        <v>88.888888888888886</v>
      </c>
    </row>
    <row r="7" spans="1:9" x14ac:dyDescent="0.4">
      <c r="A7">
        <v>9</v>
      </c>
      <c r="B7" t="s">
        <v>37</v>
      </c>
      <c r="C7">
        <v>22.8</v>
      </c>
      <c r="D7">
        <v>50</v>
      </c>
      <c r="E7">
        <v>0.47</v>
      </c>
      <c r="F7" s="24">
        <f t="shared" si="0"/>
        <v>21.929824561403507</v>
      </c>
      <c r="G7">
        <v>3.5</v>
      </c>
      <c r="I7" s="24">
        <f t="shared" si="1"/>
        <v>70</v>
      </c>
    </row>
    <row r="8" spans="1:9" x14ac:dyDescent="0.4">
      <c r="A8">
        <v>8</v>
      </c>
      <c r="B8" t="s">
        <v>37</v>
      </c>
      <c r="C8">
        <v>16</v>
      </c>
      <c r="D8">
        <v>40</v>
      </c>
      <c r="E8">
        <v>0.34</v>
      </c>
      <c r="F8" s="24">
        <f t="shared" si="0"/>
        <v>25</v>
      </c>
      <c r="G8">
        <v>2.5</v>
      </c>
      <c r="I8" s="24">
        <f t="shared" si="1"/>
        <v>62.5</v>
      </c>
    </row>
    <row r="9" spans="1:9" x14ac:dyDescent="0.4">
      <c r="A9">
        <v>11</v>
      </c>
      <c r="B9" t="s">
        <v>39</v>
      </c>
      <c r="C9">
        <v>6</v>
      </c>
      <c r="D9">
        <v>123</v>
      </c>
      <c r="E9">
        <v>0.6</v>
      </c>
      <c r="F9" s="24">
        <f t="shared" si="0"/>
        <v>205</v>
      </c>
      <c r="G9">
        <v>0.5</v>
      </c>
      <c r="I9" s="24">
        <f t="shared" si="1"/>
        <v>4.0650406504065044</v>
      </c>
    </row>
    <row r="10" spans="1:9" x14ac:dyDescent="0.4">
      <c r="A10">
        <v>10</v>
      </c>
      <c r="B10" t="s">
        <v>39</v>
      </c>
      <c r="C10">
        <v>5</v>
      </c>
      <c r="D10">
        <v>95</v>
      </c>
      <c r="E10">
        <v>0.28000000000000003</v>
      </c>
      <c r="F10" s="24">
        <f t="shared" si="0"/>
        <v>190</v>
      </c>
      <c r="G10">
        <v>0.2</v>
      </c>
      <c r="I10" s="24">
        <f t="shared" si="1"/>
        <v>2.1052631578947367</v>
      </c>
    </row>
    <row r="11" spans="1:9" x14ac:dyDescent="0.4">
      <c r="A11">
        <v>9</v>
      </c>
      <c r="B11" t="s">
        <v>39</v>
      </c>
      <c r="C11">
        <v>4</v>
      </c>
      <c r="D11">
        <v>73</v>
      </c>
      <c r="E11">
        <v>0.28000000000000003</v>
      </c>
      <c r="F11" s="24">
        <f t="shared" si="0"/>
        <v>182.5</v>
      </c>
      <c r="G11">
        <v>0.15</v>
      </c>
      <c r="I11" s="24">
        <f t="shared" si="1"/>
        <v>2.054794520547945</v>
      </c>
    </row>
    <row r="12" spans="1:9" x14ac:dyDescent="0.4">
      <c r="A12">
        <v>8</v>
      </c>
      <c r="B12" t="s">
        <v>39</v>
      </c>
      <c r="C12">
        <v>2</v>
      </c>
      <c r="D12">
        <v>58</v>
      </c>
      <c r="E12">
        <v>0.43</v>
      </c>
      <c r="F12" s="24">
        <f t="shared" si="0"/>
        <v>290</v>
      </c>
      <c r="G12">
        <v>1.5</v>
      </c>
      <c r="I12" s="24">
        <f t="shared" si="1"/>
        <v>25.862068965517242</v>
      </c>
    </row>
    <row r="13" spans="1:9" x14ac:dyDescent="0.4">
      <c r="A13">
        <v>11</v>
      </c>
      <c r="B13" t="s">
        <v>102</v>
      </c>
      <c r="C13">
        <v>0.8</v>
      </c>
      <c r="D13">
        <v>32</v>
      </c>
      <c r="E13">
        <v>0.09</v>
      </c>
      <c r="F13" s="24">
        <f t="shared" si="0"/>
        <v>400</v>
      </c>
      <c r="G13">
        <v>0.5</v>
      </c>
      <c r="I13" s="24">
        <f t="shared" si="1"/>
        <v>15.625</v>
      </c>
    </row>
    <row r="14" spans="1:9" x14ac:dyDescent="0.4">
      <c r="A14">
        <v>11</v>
      </c>
      <c r="B14" t="s">
        <v>103</v>
      </c>
      <c r="C14">
        <v>4</v>
      </c>
      <c r="D14">
        <v>160</v>
      </c>
      <c r="E14">
        <v>0.43</v>
      </c>
      <c r="F14" s="24">
        <f t="shared" si="0"/>
        <v>400</v>
      </c>
      <c r="G14">
        <v>0.5</v>
      </c>
      <c r="I14" s="24">
        <f t="shared" si="1"/>
        <v>3.125</v>
      </c>
    </row>
    <row r="15" spans="1:9" x14ac:dyDescent="0.4">
      <c r="A15">
        <v>10</v>
      </c>
      <c r="B15" t="s">
        <v>104</v>
      </c>
      <c r="C15">
        <v>4</v>
      </c>
      <c r="D15">
        <v>152</v>
      </c>
      <c r="E15">
        <v>0.32</v>
      </c>
      <c r="F15" s="24">
        <f t="shared" si="0"/>
        <v>380</v>
      </c>
      <c r="G15">
        <v>0.15</v>
      </c>
      <c r="I15" s="24">
        <f t="shared" si="1"/>
        <v>0.98684210526315796</v>
      </c>
    </row>
    <row r="16" spans="1:9" x14ac:dyDescent="0.4">
      <c r="A16">
        <v>9</v>
      </c>
      <c r="B16" t="s">
        <v>104</v>
      </c>
      <c r="C16">
        <v>2.5</v>
      </c>
      <c r="D16">
        <v>109</v>
      </c>
      <c r="E16">
        <v>0.26</v>
      </c>
      <c r="F16" s="24">
        <f t="shared" si="0"/>
        <v>436</v>
      </c>
      <c r="G16">
        <v>0.1</v>
      </c>
      <c r="I16" s="24">
        <f t="shared" si="1"/>
        <v>0.91743119266055051</v>
      </c>
    </row>
    <row r="17" spans="1:9" x14ac:dyDescent="0.4">
      <c r="A17">
        <v>8</v>
      </c>
      <c r="B17" t="s">
        <v>104</v>
      </c>
      <c r="C17">
        <v>1</v>
      </c>
      <c r="D17">
        <v>74</v>
      </c>
      <c r="E17">
        <v>0.31</v>
      </c>
      <c r="F17" s="24">
        <f t="shared" si="0"/>
        <v>740</v>
      </c>
      <c r="G17">
        <v>0.1</v>
      </c>
      <c r="I17" s="24">
        <f t="shared" si="1"/>
        <v>1.3513513513513513</v>
      </c>
    </row>
    <row r="18" spans="1:9" x14ac:dyDescent="0.4">
      <c r="B18" t="s">
        <v>168</v>
      </c>
      <c r="D18">
        <v>58</v>
      </c>
      <c r="F18" s="24"/>
      <c r="I18" s="24"/>
    </row>
    <row r="19" spans="1:9" x14ac:dyDescent="0.4">
      <c r="B19" t="s">
        <v>169</v>
      </c>
      <c r="D19">
        <v>106</v>
      </c>
    </row>
    <row r="20" spans="1:9" x14ac:dyDescent="0.4">
      <c r="B20" t="s">
        <v>148</v>
      </c>
      <c r="C20">
        <v>15</v>
      </c>
      <c r="D20">
        <v>210</v>
      </c>
      <c r="E20">
        <v>1.01</v>
      </c>
      <c r="G20">
        <v>15</v>
      </c>
      <c r="I20" s="24">
        <f t="shared" si="1"/>
        <v>71.428571428571431</v>
      </c>
    </row>
    <row r="21" spans="1:9" x14ac:dyDescent="0.4">
      <c r="B21" t="s">
        <v>167</v>
      </c>
      <c r="D21">
        <v>75</v>
      </c>
      <c r="I21" s="24"/>
    </row>
    <row r="22" spans="1:9" x14ac:dyDescent="0.4">
      <c r="B22" t="s">
        <v>105</v>
      </c>
      <c r="D22">
        <f>0.5*1000</f>
        <v>500</v>
      </c>
      <c r="E22">
        <f>0.01*1000</f>
        <v>10</v>
      </c>
      <c r="G22">
        <v>2.5</v>
      </c>
      <c r="I22" s="24">
        <f t="shared" si="1"/>
        <v>5</v>
      </c>
    </row>
    <row r="25" spans="1:9" x14ac:dyDescent="0.4">
      <c r="D25" t="s">
        <v>127</v>
      </c>
      <c r="E25">
        <f>SUM(D5:D21)/D22</f>
        <v>3.29</v>
      </c>
    </row>
  </sheetData>
  <phoneticPr fontId="2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8.75" x14ac:dyDescent="0.4"/>
  <sheetData>
    <row r="1" spans="1:4" x14ac:dyDescent="0.4">
      <c r="A1" t="s">
        <v>170</v>
      </c>
      <c r="C1" t="s">
        <v>158</v>
      </c>
      <c r="D1">
        <f>1/0.15</f>
        <v>6.666666666666667</v>
      </c>
    </row>
    <row r="2" spans="1:4" x14ac:dyDescent="0.4">
      <c r="A2" s="25" t="s">
        <v>171</v>
      </c>
    </row>
  </sheetData>
  <phoneticPr fontId="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INPUTS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趙 翹楚</cp:lastModifiedBy>
  <dcterms:created xsi:type="dcterms:W3CDTF">2018-08-23T07:17:26Z</dcterms:created>
  <dcterms:modified xsi:type="dcterms:W3CDTF">2024-05-15T02:24:11Z</dcterms:modified>
</cp:coreProperties>
</file>