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Зима 2018-2019\Въведение в информатиката\"/>
    </mc:Choice>
  </mc:AlternateContent>
  <xr:revisionPtr revIDLastSave="0" documentId="13_ncr:1_{DC6A5899-26FE-4DF5-AB0E-2F9A70F8A22D}" xr6:coauthVersionLast="37" xr6:coauthVersionMax="37" xr10:uidLastSave="{00000000-0000-0000-0000-000000000000}"/>
  <bookViews>
    <workbookView xWindow="120" yWindow="225" windowWidth="9405" windowHeight="4320" tabRatio="805" firstSheet="1" activeTab="3" xr2:uid="{00000000-000D-0000-FFFF-FFFF00000000}"/>
  </bookViews>
  <sheets>
    <sheet name="xxxxxx" sheetId="1" state="veryHidden" r:id="rId1"/>
    <sheet name="Основен" sheetId="2" r:id="rId2"/>
    <sheet name="Subtotal" sheetId="22" r:id="rId3"/>
    <sheet name="Sort Filter" sheetId="23" r:id="rId4"/>
    <sheet name="PivotTable" sheetId="21" r:id="rId5"/>
    <sheet name="Справочен" sheetId="3" r:id="rId6"/>
    <sheet name="Абонамент" sheetId="15" r:id="rId7"/>
    <sheet name="База" sheetId="20" r:id="rId8"/>
  </sheets>
  <definedNames>
    <definedName name="_xlnm._FilterDatabase" localSheetId="3" hidden="1">'Sort Filter'!$A$1:$O$20</definedName>
    <definedName name="_xlnm._FilterDatabase" localSheetId="1" hidden="1">Основен!$A$3:$M$19</definedName>
    <definedName name="_xlnm._FilterDatabase" localSheetId="5" hidden="1">Справочен!$B$3:$G$19</definedName>
    <definedName name="_xlnm.Criteria" localSheetId="3">'Sort Filter'!$Q$1:$Q$2</definedName>
    <definedName name="_xlnm.Criteria" localSheetId="1">Основен!#REF!</definedName>
    <definedName name="_xlnm.Extract" localSheetId="3">'Sort Filter'!$S$1:$AG$1</definedName>
    <definedName name="_xlnm.Extract" localSheetId="1">Основен!#REF!</definedName>
  </definedNames>
  <calcPr calcId="162913" calcMode="manual" concurrentCalc="0"/>
  <pivotCaches>
    <pivotCache cacheId="0" r:id="rId9"/>
  </pivotCaches>
</workbook>
</file>

<file path=xl/calcChain.xml><?xml version="1.0" encoding="utf-8"?>
<calcChain xmlns="http://schemas.openxmlformats.org/spreadsheetml/2006/main">
  <c r="Q2" i="23" l="1"/>
  <c r="H32" i="22"/>
  <c r="H30" i="22"/>
  <c r="H24" i="22"/>
  <c r="H20" i="22"/>
  <c r="H18" i="22"/>
  <c r="H12" i="22"/>
  <c r="H9" i="22"/>
  <c r="H7" i="22"/>
  <c r="M10" i="22"/>
  <c r="M21" i="22"/>
  <c r="M25" i="22"/>
  <c r="M33" i="22"/>
  <c r="M31" i="22"/>
  <c r="A1" i="2"/>
  <c r="I5" i="2"/>
  <c r="J5" i="2"/>
  <c r="K5" i="2"/>
  <c r="L5" i="2"/>
  <c r="M5" i="2"/>
  <c r="N5" i="2"/>
  <c r="O5" i="2"/>
  <c r="I6" i="2"/>
  <c r="J6" i="2"/>
  <c r="K6" i="2"/>
  <c r="L6" i="2"/>
  <c r="M6" i="2"/>
  <c r="N6" i="2"/>
  <c r="O6" i="2"/>
  <c r="I7" i="2"/>
  <c r="J7" i="2"/>
  <c r="K7" i="2"/>
  <c r="L7" i="2"/>
  <c r="M7" i="2"/>
  <c r="N7" i="2"/>
  <c r="O7" i="2"/>
  <c r="I8" i="2"/>
  <c r="J8" i="2"/>
  <c r="K8" i="2"/>
  <c r="L8" i="2"/>
  <c r="M8" i="2"/>
  <c r="N8" i="2"/>
  <c r="O8" i="2"/>
  <c r="I9" i="2"/>
  <c r="J9" i="2"/>
  <c r="K9" i="2"/>
  <c r="L9" i="2"/>
  <c r="M9" i="2"/>
  <c r="N9" i="2"/>
  <c r="O9" i="2"/>
  <c r="I10" i="2"/>
  <c r="J10" i="2"/>
  <c r="K10" i="2"/>
  <c r="L10" i="2"/>
  <c r="M10" i="2"/>
  <c r="N10" i="2"/>
  <c r="O10" i="2"/>
  <c r="I11" i="2"/>
  <c r="J11" i="2"/>
  <c r="K11" i="2"/>
  <c r="L11" i="2"/>
  <c r="M11" i="2"/>
  <c r="N11" i="2"/>
  <c r="O11" i="2"/>
  <c r="I12" i="2"/>
  <c r="J12" i="2"/>
  <c r="K12" i="2"/>
  <c r="L12" i="2"/>
  <c r="M12" i="2"/>
  <c r="N12" i="2"/>
  <c r="O12" i="2"/>
  <c r="I13" i="2"/>
  <c r="J13" i="2"/>
  <c r="K13" i="2"/>
  <c r="L13" i="2"/>
  <c r="M13" i="2"/>
  <c r="N13" i="2"/>
  <c r="O13" i="2"/>
  <c r="I14" i="2"/>
  <c r="J14" i="2"/>
  <c r="K14" i="2"/>
  <c r="L14" i="2"/>
  <c r="M14" i="2"/>
  <c r="N14" i="2"/>
  <c r="O14" i="2"/>
  <c r="I15" i="2"/>
  <c r="J15" i="2"/>
  <c r="K15" i="2"/>
  <c r="L15" i="2"/>
  <c r="M15" i="2"/>
  <c r="N15" i="2"/>
  <c r="O15" i="2"/>
  <c r="I16" i="2"/>
  <c r="J16" i="2"/>
  <c r="K16" i="2"/>
  <c r="L16" i="2"/>
  <c r="M16" i="2"/>
  <c r="N16" i="2"/>
  <c r="O16" i="2"/>
  <c r="I17" i="2"/>
  <c r="J17" i="2"/>
  <c r="K17" i="2"/>
  <c r="L17" i="2"/>
  <c r="M17" i="2"/>
  <c r="N17" i="2"/>
  <c r="O17" i="2"/>
  <c r="I18" i="2"/>
  <c r="J18" i="2"/>
  <c r="K18" i="2"/>
  <c r="L18" i="2"/>
  <c r="M18" i="2"/>
  <c r="N18" i="2"/>
  <c r="O18" i="2"/>
  <c r="I19" i="2"/>
  <c r="J19" i="2"/>
  <c r="K19" i="2"/>
  <c r="L19" i="2"/>
  <c r="M19" i="2"/>
  <c r="N19" i="2"/>
  <c r="O19" i="2"/>
  <c r="I20" i="2"/>
  <c r="J20" i="2"/>
  <c r="K20" i="2"/>
  <c r="L20" i="2"/>
  <c r="M20" i="2"/>
  <c r="N20" i="2"/>
  <c r="O20" i="2"/>
  <c r="I21" i="2"/>
  <c r="J21" i="2"/>
  <c r="K21" i="2"/>
  <c r="L21" i="2"/>
  <c r="M21" i="2"/>
  <c r="N21" i="2"/>
  <c r="O21" i="2"/>
  <c r="I22" i="2"/>
  <c r="J22" i="2"/>
  <c r="K22" i="2"/>
  <c r="L22" i="2"/>
  <c r="M22" i="2"/>
  <c r="N22" i="2"/>
  <c r="O22" i="2"/>
  <c r="I4" i="2"/>
  <c r="J4" i="2"/>
  <c r="K4" i="2"/>
  <c r="L4" i="2"/>
  <c r="M4" i="2"/>
  <c r="N4" i="2"/>
  <c r="O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M28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M27" i="2"/>
  <c r="M26" i="2"/>
  <c r="M25" i="2"/>
  <c r="M2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4" i="2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WJ</author>
  </authors>
  <commentList>
    <comment ref="B3" authorId="0" shapeId="0" xr:uid="{00000000-0006-0000-0100-000001000000}">
      <text>
        <r>
          <rPr>
            <sz val="8"/>
            <color indexed="81"/>
            <rFont val="Arial"/>
            <family val="2"/>
            <charset val="204"/>
          </rPr>
          <t>по № на телефон с Vlookup от лист "Справочен"</t>
        </r>
      </text>
    </comment>
    <comment ref="I3" authorId="0" shapeId="0" xr:uid="{00000000-0006-0000-0100-000002000000}">
      <text>
        <r>
          <rPr>
            <sz val="8"/>
            <color indexed="81"/>
            <rFont val="Arial"/>
            <family val="2"/>
            <charset val="204"/>
          </rPr>
          <t>Ако реализираният трафик е по-голям от абонирания трафик се изчислява:
Реализиран трафик - Абониран трафик</t>
        </r>
        <r>
          <rPr>
            <b/>
            <sz val="8"/>
            <color indexed="81"/>
            <rFont val="Arial"/>
            <family val="2"/>
            <charset val="204"/>
          </rPr>
          <t xml:space="preserve">;
</t>
        </r>
        <r>
          <rPr>
            <sz val="8"/>
            <color indexed="81"/>
            <rFont val="Arial"/>
            <family val="2"/>
            <charset val="204"/>
          </rPr>
          <t>в противен случай се записва 0.</t>
        </r>
      </text>
    </comment>
    <comment ref="J3" authorId="0" shapeId="0" xr:uid="{00000000-0006-0000-0100-000003000000}">
      <text>
        <r>
          <rPr>
            <sz val="8"/>
            <color indexed="81"/>
            <rFont val="Arial"/>
            <family val="2"/>
            <charset val="204"/>
          </rPr>
          <t>= Надвишаване * Цена за 1MB надвишаване от лист "Абонамент"
Форматиране в левов формат с два разряда след дес. точка</t>
        </r>
      </text>
    </comment>
    <comment ref="K3" authorId="0" shapeId="0" xr:uid="{00000000-0006-0000-0100-000004000000}">
      <text>
        <r>
          <rPr>
            <sz val="8"/>
            <color indexed="81"/>
            <rFont val="Arial"/>
            <family val="2"/>
            <charset val="204"/>
          </rPr>
          <t>= Цена + Стойност на надвишаване
Форматиране в левов формат с два разряда след дес. точка</t>
        </r>
      </text>
    </comment>
    <comment ref="L3" authorId="0" shapeId="0" xr:uid="{00000000-0006-0000-0100-000005000000}">
      <text>
        <r>
          <rPr>
            <sz val="8"/>
            <color indexed="81"/>
            <rFont val="Arial"/>
            <family val="2"/>
            <charset val="204"/>
          </rPr>
          <t>= Крайна стойност, умножена по процента ДДС от лист "Абонамент"
Форматиране в левов формат с два разряда след дес. точка</t>
        </r>
      </text>
    </comment>
    <comment ref="M3" authorId="0" shapeId="0" xr:uid="{00000000-0006-0000-0100-000006000000}">
      <text>
        <r>
          <rPr>
            <sz val="8"/>
            <color indexed="81"/>
            <rFont val="Arial"/>
            <family val="2"/>
            <charset val="204"/>
          </rPr>
          <t>= Крайна стойност + ДДС
Форматиране в левов формат с два разряда след дес. точка
Задайте условно форматиране за суми над средната с оцветяване в избран от Вас цвят</t>
        </r>
      </text>
    </comment>
  </commentList>
</comments>
</file>

<file path=xl/sharedStrings.xml><?xml version="1.0" encoding="utf-8"?>
<sst xmlns="http://schemas.openxmlformats.org/spreadsheetml/2006/main" count="507" uniqueCount="119">
  <si>
    <t>ДДС</t>
  </si>
  <si>
    <t>Квартал</t>
  </si>
  <si>
    <t>Чайка</t>
  </si>
  <si>
    <t>Център</t>
  </si>
  <si>
    <t>Възраждане</t>
  </si>
  <si>
    <t>Левски</t>
  </si>
  <si>
    <t>Цена за 1 MB надвишение</t>
  </si>
  <si>
    <t>Надвишаване</t>
  </si>
  <si>
    <t>№ на телефон</t>
  </si>
  <si>
    <t>Цена</t>
  </si>
  <si>
    <t>Реализиран трафик в MB</t>
  </si>
  <si>
    <t>Абониран трафик в MB</t>
  </si>
  <si>
    <t>Клиенти</t>
  </si>
  <si>
    <t>Дата на плащане</t>
  </si>
  <si>
    <t>Име</t>
  </si>
  <si>
    <t>Крайна сума</t>
  </si>
  <si>
    <t>Интернет от Каби ТВ</t>
  </si>
  <si>
    <t>Стойност на надвишаване</t>
  </si>
  <si>
    <t>Крайна стойност</t>
  </si>
  <si>
    <t>Векил Иванов Недялков</t>
  </si>
  <si>
    <t>Георги Стефанов Дамянов</t>
  </si>
  <si>
    <t>Стоянка Илиева Дечева</t>
  </si>
  <si>
    <t>Илияна Василева Димитрова</t>
  </si>
  <si>
    <t>Петя Димитрова Михайлова</t>
  </si>
  <si>
    <t>Петър Петров Радев</t>
  </si>
  <si>
    <t>Сияна Петрова Данова</t>
  </si>
  <si>
    <t>Николай Колев Недев</t>
  </si>
  <si>
    <t>Стефка Радева Костова</t>
  </si>
  <si>
    <t>Михаил Михаилов Петров</t>
  </si>
  <si>
    <t>Генчо Георгиев Киров</t>
  </si>
  <si>
    <t>Николина Парушева Костадинова</t>
  </si>
  <si>
    <t>Аспарух Николов Димов</t>
  </si>
  <si>
    <t>Добри Василев Стаменов</t>
  </si>
  <si>
    <t>Николай Стефанов Чакъров</t>
  </si>
  <si>
    <t>Нели Стоянова Славова</t>
  </si>
  <si>
    <t>Нина Пеева Милева</t>
  </si>
  <si>
    <t>Стефан Стоев Костов</t>
  </si>
  <si>
    <t>Ина Димитрова Стоянова</t>
  </si>
  <si>
    <t>Име презиме фамилия</t>
  </si>
  <si>
    <t>Общо крайна сума:</t>
  </si>
  <si>
    <t>Средна крайна сума:</t>
  </si>
  <si>
    <t>Най-голяма крайна сума:</t>
  </si>
  <si>
    <t>Вид клиент</t>
  </si>
  <si>
    <t>Game зала</t>
  </si>
  <si>
    <t>Дом</t>
  </si>
  <si>
    <t>Фирма</t>
  </si>
  <si>
    <t>Общо крайна сума от Game зала:</t>
  </si>
  <si>
    <t>Презиме</t>
  </si>
  <si>
    <t>Фамилия</t>
  </si>
  <si>
    <t>Векил</t>
  </si>
  <si>
    <t>Иванов</t>
  </si>
  <si>
    <t>Недялков</t>
  </si>
  <si>
    <t>Георги</t>
  </si>
  <si>
    <t>Стефанов</t>
  </si>
  <si>
    <t>Дамянов</t>
  </si>
  <si>
    <t>Стоянка</t>
  </si>
  <si>
    <t>Илиева</t>
  </si>
  <si>
    <t>Дечева</t>
  </si>
  <si>
    <t>Илияна</t>
  </si>
  <si>
    <t>Василева</t>
  </si>
  <si>
    <t>Димитрова</t>
  </si>
  <si>
    <t>Петя</t>
  </si>
  <si>
    <t>Михайлова</t>
  </si>
  <si>
    <t>Петър</t>
  </si>
  <si>
    <t>Петров</t>
  </si>
  <si>
    <t>Радев</t>
  </si>
  <si>
    <t>Сияна</t>
  </si>
  <si>
    <t>Петрова</t>
  </si>
  <si>
    <t>Данова</t>
  </si>
  <si>
    <t>Николай</t>
  </si>
  <si>
    <t>Колев</t>
  </si>
  <si>
    <t>Недев</t>
  </si>
  <si>
    <t>Стефка</t>
  </si>
  <si>
    <t>Радева</t>
  </si>
  <si>
    <t>Костова</t>
  </si>
  <si>
    <t>Михаил</t>
  </si>
  <si>
    <t>Михаилов</t>
  </si>
  <si>
    <t>Генчо</t>
  </si>
  <si>
    <t>Георгиев</t>
  </si>
  <si>
    <t>Киров</t>
  </si>
  <si>
    <t>Николина</t>
  </si>
  <si>
    <t>Парушева</t>
  </si>
  <si>
    <t>Костадинова</t>
  </si>
  <si>
    <t>Аспарух</t>
  </si>
  <si>
    <t>Николов</t>
  </si>
  <si>
    <t>Димов</t>
  </si>
  <si>
    <t>Добри</t>
  </si>
  <si>
    <t>Василев</t>
  </si>
  <si>
    <t>Стаменов</t>
  </si>
  <si>
    <t>Чакъров</t>
  </si>
  <si>
    <t>Нели</t>
  </si>
  <si>
    <t>Стоянова</t>
  </si>
  <si>
    <t>Славова</t>
  </si>
  <si>
    <t>Нина</t>
  </si>
  <si>
    <t>Пеева</t>
  </si>
  <si>
    <t>Милева</t>
  </si>
  <si>
    <t>Стефан</t>
  </si>
  <si>
    <t>Стоев</t>
  </si>
  <si>
    <t>Костов</t>
  </si>
  <si>
    <t>Ина</t>
  </si>
  <si>
    <t>31/09/2018</t>
  </si>
  <si>
    <t>Трите имена</t>
  </si>
  <si>
    <t>Отстъпка</t>
  </si>
  <si>
    <t>Цена с отстъпка</t>
  </si>
  <si>
    <t>Grand Total</t>
  </si>
  <si>
    <t>(Multiple Items)</t>
  </si>
  <si>
    <t>Обща сума</t>
  </si>
  <si>
    <t>Средно реализиран трафик в MB</t>
  </si>
  <si>
    <t>Възраждане Total</t>
  </si>
  <si>
    <t>Левски Total</t>
  </si>
  <si>
    <t>Център Total</t>
  </si>
  <si>
    <t>Чайка Total</t>
  </si>
  <si>
    <t>Game зала Average</t>
  </si>
  <si>
    <t>Дом Average</t>
  </si>
  <si>
    <t>Фирма Average</t>
  </si>
  <si>
    <t>Grand Average</t>
  </si>
  <si>
    <t>&gt;100</t>
  </si>
  <si>
    <t>Цена над средната</t>
  </si>
  <si>
    <t>Брой клиенти от кв. Чайка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</si>
</sst>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\ &quot;лв&quot;_-;\-* #,##0.00\ &quot;лв&quot;_-;_-* &quot;-&quot;??\ &quot;лв&quot;_-;_-@_-"/>
    <numFmt numFmtId="165" formatCode="#,##0;\-#,##0;&quot;-&quot;"/>
    <numFmt numFmtId="166" formatCode="#,##0.00\ &quot;лв&quot;"/>
    <numFmt numFmtId="167" formatCode="#,##0.000\ &quot;лв&quot;"/>
    <numFmt numFmtId="168" formatCode="0.000"/>
    <numFmt numFmtId="169" formatCode="#,##0.00\ &quot;лв.&quot;"/>
    <numFmt numFmtId="170" formatCode="0&quot; MB&quot;"/>
    <numFmt numFmtId="171" formatCode="_-* #,##0.00\ [$лв.-402]_-;\-* #,##0.00\ [$лв.-402]_-;_-* &quot;-&quot;??\ [$лв.-402]_-;_-@_-"/>
    <numFmt numFmtId="172" formatCode="#,##0.00\ &quot;лв.&quot;;[Red]#,##0.00\ &quot;лв.&quot;"/>
    <numFmt numFmtId="173" formatCode="0;[Red]0"/>
    <numFmt numFmtId="174" formatCode="#,##0&quot; MB&quot;"/>
  </numFmts>
  <fonts count="17">
    <font>
      <sz val="11"/>
      <name val="Arial Cyr"/>
      <charset val="204"/>
    </font>
    <font>
      <sz val="10"/>
      <color indexed="8"/>
      <name val="Arial"/>
      <family val="2"/>
    </font>
    <font>
      <b/>
      <sz val="12"/>
      <name val="Arial"/>
      <family val="2"/>
    </font>
    <font>
      <sz val="9"/>
      <name val="Arial"/>
      <family val="2"/>
      <charset val="204"/>
    </font>
    <font>
      <b/>
      <sz val="9"/>
      <color indexed="21"/>
      <name val="Arial"/>
      <family val="2"/>
      <charset val="204"/>
    </font>
    <font>
      <b/>
      <sz val="9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color indexed="57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1"/>
      <name val="Arial"/>
      <family val="2"/>
      <charset val="204"/>
    </font>
    <font>
      <b/>
      <sz val="8"/>
      <color indexed="81"/>
      <name val="Arial"/>
      <family val="2"/>
      <charset val="204"/>
    </font>
    <font>
      <sz val="11"/>
      <name val="Arial Cyr"/>
      <charset val="204"/>
    </font>
    <font>
      <sz val="10"/>
      <color indexed="8"/>
      <name val="Arial"/>
      <family val="2"/>
      <charset val="204"/>
    </font>
    <font>
      <sz val="10"/>
      <name val="Timok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165" fontId="1" fillId="0" borderId="0" applyFill="0" applyBorder="0" applyAlignment="0"/>
    <xf numFmtId="164" fontId="11" fillId="0" borderId="0" applyFont="0" applyFill="0" applyBorder="0" applyAlignment="0" applyProtection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13" fillId="0" borderId="0"/>
    <xf numFmtId="9" fontId="11" fillId="0" borderId="0" applyFont="0" applyFill="0" applyBorder="0" applyAlignment="0" applyProtection="0"/>
  </cellStyleXfs>
  <cellXfs count="130">
    <xf numFmtId="0" fontId="0" fillId="0" borderId="0" xfId="0"/>
    <xf numFmtId="0" fontId="3" fillId="0" borderId="0" xfId="0" applyFont="1" applyProtection="1"/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 applyBorder="1" applyAlignment="1">
      <alignment horizontal="centerContinuous" vertical="center"/>
    </xf>
    <xf numFmtId="0" fontId="7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Continuous" vertical="center" wrapText="1"/>
    </xf>
    <xf numFmtId="0" fontId="8" fillId="0" borderId="0" xfId="0" quotePrefix="1" applyFont="1" applyFill="1" applyBorder="1" applyAlignment="1">
      <alignment horizontal="centerContinuous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top" wrapText="1"/>
    </xf>
    <xf numFmtId="0" fontId="3" fillId="0" borderId="3" xfId="0" applyFont="1" applyBorder="1" applyAlignment="1" applyProtection="1">
      <alignment horizontal="center"/>
    </xf>
    <xf numFmtId="0" fontId="8" fillId="0" borderId="3" xfId="0" quotePrefix="1" applyFont="1" applyFill="1" applyBorder="1" applyAlignment="1">
      <alignment horizontal="left"/>
    </xf>
    <xf numFmtId="0" fontId="3" fillId="0" borderId="3" xfId="0" applyFont="1" applyFill="1" applyBorder="1"/>
    <xf numFmtId="1" fontId="3" fillId="0" borderId="3" xfId="0" applyNumberFormat="1" applyFont="1" applyFill="1" applyBorder="1"/>
    <xf numFmtId="14" fontId="3" fillId="0" borderId="3" xfId="0" applyNumberFormat="1" applyFont="1" applyFill="1" applyBorder="1"/>
    <xf numFmtId="0" fontId="5" fillId="0" borderId="0" xfId="0" applyFont="1" applyBorder="1"/>
    <xf numFmtId="0" fontId="3" fillId="0" borderId="3" xfId="0" applyFont="1" applyFill="1" applyBorder="1" applyAlignment="1" applyProtection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quotePrefix="1" applyFont="1" applyFill="1" applyBorder="1" applyAlignment="1">
      <alignment horizontal="left"/>
    </xf>
    <xf numFmtId="0" fontId="3" fillId="0" borderId="0" xfId="0" applyFont="1" applyFill="1" applyBorder="1"/>
    <xf numFmtId="2" fontId="3" fillId="0" borderId="0" xfId="0" applyNumberFormat="1" applyFont="1" applyFill="1" applyBorder="1"/>
    <xf numFmtId="0" fontId="5" fillId="0" borderId="0" xfId="0" applyFont="1"/>
    <xf numFmtId="0" fontId="5" fillId="0" borderId="0" xfId="0" applyFont="1" applyFill="1"/>
    <xf numFmtId="0" fontId="5" fillId="0" borderId="0" xfId="0" applyFont="1" applyBorder="1" applyProtection="1"/>
    <xf numFmtId="0" fontId="4" fillId="0" borderId="0" xfId="0" applyFont="1" applyBorder="1" applyAlignment="1" applyProtection="1">
      <alignment horizontal="centerContinuous" vertical="top"/>
    </xf>
    <xf numFmtId="0" fontId="5" fillId="0" borderId="0" xfId="0" applyFont="1" applyBorder="1" applyAlignment="1" applyProtection="1">
      <alignment horizontal="centerContinuous" vertical="top"/>
    </xf>
    <xf numFmtId="0" fontId="5" fillId="0" borderId="0" xfId="0" applyFont="1" applyProtection="1"/>
    <xf numFmtId="0" fontId="5" fillId="0" borderId="0" xfId="0" applyFont="1" applyBorder="1" applyAlignment="1" applyProtection="1">
      <alignment horizontal="centerContinuous"/>
    </xf>
    <xf numFmtId="0" fontId="5" fillId="0" borderId="0" xfId="0" applyFont="1" applyProtection="1">
      <protection locked="0"/>
    </xf>
    <xf numFmtId="0" fontId="5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 vertical="top" wrapText="1"/>
    </xf>
    <xf numFmtId="0" fontId="5" fillId="0" borderId="0" xfId="0" applyFont="1" applyAlignment="1" applyProtection="1">
      <alignment horizontal="center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/>
      <protection locked="0"/>
    </xf>
    <xf numFmtId="0" fontId="3" fillId="0" borderId="0" xfId="0" applyFont="1" applyBorder="1" applyProtection="1"/>
    <xf numFmtId="0" fontId="3" fillId="0" borderId="3" xfId="0" applyFont="1" applyFill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167" fontId="3" fillId="0" borderId="0" xfId="0" applyNumberFormat="1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left"/>
    </xf>
    <xf numFmtId="0" fontId="3" fillId="0" borderId="3" xfId="0" applyFont="1" applyBorder="1" applyProtection="1"/>
    <xf numFmtId="0" fontId="3" fillId="0" borderId="0" xfId="0" applyFont="1" applyFill="1" applyBorder="1" applyAlignment="1" applyProtection="1">
      <alignment horizontal="right"/>
    </xf>
    <xf numFmtId="0" fontId="3" fillId="0" borderId="3" xfId="0" applyFont="1" applyFill="1" applyBorder="1" applyProtection="1"/>
    <xf numFmtId="9" fontId="3" fillId="0" borderId="0" xfId="0" applyNumberFormat="1" applyFont="1" applyFill="1" applyBorder="1" applyProtection="1"/>
    <xf numFmtId="14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wrapText="1"/>
    </xf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Continuous"/>
    </xf>
    <xf numFmtId="0" fontId="3" fillId="0" borderId="0" xfId="0" applyFont="1" applyBorder="1"/>
    <xf numFmtId="0" fontId="3" fillId="0" borderId="3" xfId="0" applyFont="1" applyBorder="1"/>
    <xf numFmtId="14" fontId="3" fillId="0" borderId="3" xfId="0" applyNumberFormat="1" applyFont="1" applyBorder="1"/>
    <xf numFmtId="0" fontId="5" fillId="0" borderId="3" xfId="0" applyFont="1" applyBorder="1" applyAlignment="1" applyProtection="1">
      <alignment horizontal="center" vertical="top" wrapText="1"/>
    </xf>
    <xf numFmtId="0" fontId="5" fillId="0" borderId="0" xfId="0" applyFont="1" applyBorder="1" applyAlignment="1" applyProtection="1">
      <alignment horizontal="center" vertical="top" wrapText="1"/>
    </xf>
    <xf numFmtId="166" fontId="3" fillId="0" borderId="3" xfId="2" applyNumberFormat="1" applyFont="1" applyFill="1" applyBorder="1"/>
    <xf numFmtId="164" fontId="3" fillId="0" borderId="3" xfId="0" applyNumberFormat="1" applyFont="1" applyFill="1" applyBorder="1"/>
    <xf numFmtId="0" fontId="12" fillId="0" borderId="4" xfId="0" applyNumberFormat="1" applyFont="1" applyFill="1" applyBorder="1" applyAlignment="1">
      <alignment horizontal="center" wrapText="1"/>
    </xf>
    <xf numFmtId="9" fontId="3" fillId="0" borderId="3" xfId="0" applyNumberFormat="1" applyFont="1" applyBorder="1" applyAlignment="1">
      <alignment horizontal="center"/>
    </xf>
    <xf numFmtId="166" fontId="3" fillId="0" borderId="3" xfId="0" applyNumberFormat="1" applyFont="1" applyFill="1" applyBorder="1"/>
    <xf numFmtId="0" fontId="3" fillId="0" borderId="0" xfId="0" applyFont="1" applyFill="1"/>
    <xf numFmtId="168" fontId="3" fillId="0" borderId="0" xfId="0" applyNumberFormat="1" applyFont="1" applyFill="1"/>
    <xf numFmtId="2" fontId="3" fillId="0" borderId="0" xfId="0" applyNumberFormat="1" applyFont="1" applyFill="1"/>
    <xf numFmtId="0" fontId="12" fillId="0" borderId="3" xfId="0" applyNumberFormat="1" applyFont="1" applyFill="1" applyBorder="1" applyAlignment="1">
      <alignment horizontal="center" wrapText="1"/>
    </xf>
    <xf numFmtId="14" fontId="3" fillId="0" borderId="0" xfId="0" applyNumberFormat="1" applyFont="1" applyBorder="1"/>
    <xf numFmtId="9" fontId="3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5" fillId="0" borderId="0" xfId="0" applyFont="1" applyBorder="1" applyAlignment="1">
      <alignment horizontal="centerContinuous" vertical="top"/>
    </xf>
    <xf numFmtId="169" fontId="3" fillId="0" borderId="3" xfId="0" applyNumberFormat="1" applyFont="1" applyFill="1" applyBorder="1"/>
    <xf numFmtId="169" fontId="3" fillId="0" borderId="3" xfId="2" applyNumberFormat="1" applyFont="1" applyFill="1" applyBorder="1"/>
    <xf numFmtId="0" fontId="12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/>
    <xf numFmtId="166" fontId="3" fillId="0" borderId="0" xfId="0" applyNumberFormat="1" applyFont="1" applyFill="1" applyBorder="1"/>
    <xf numFmtId="0" fontId="3" fillId="0" borderId="0" xfId="2" applyNumberFormat="1" applyFont="1" applyFill="1" applyBorder="1"/>
    <xf numFmtId="169" fontId="3" fillId="0" borderId="0" xfId="2" applyNumberFormat="1" applyFont="1" applyFill="1" applyBorder="1"/>
    <xf numFmtId="169" fontId="3" fillId="0" borderId="0" xfId="0" applyNumberFormat="1" applyFont="1" applyFill="1" applyBorder="1"/>
    <xf numFmtId="170" fontId="3" fillId="0" borderId="3" xfId="0" applyNumberFormat="1" applyFont="1" applyFill="1" applyBorder="1"/>
    <xf numFmtId="171" fontId="3" fillId="0" borderId="3" xfId="2" applyNumberFormat="1" applyFont="1" applyFill="1" applyBorder="1"/>
    <xf numFmtId="170" fontId="3" fillId="0" borderId="0" xfId="0" applyNumberFormat="1" applyFont="1" applyFill="1"/>
    <xf numFmtId="169" fontId="3" fillId="0" borderId="3" xfId="0" applyNumberFormat="1" applyFont="1" applyBorder="1" applyAlignment="1" applyProtection="1">
      <alignment horizontal="center" vertical="top" wrapText="1"/>
    </xf>
    <xf numFmtId="0" fontId="3" fillId="0" borderId="3" xfId="0" applyFont="1" applyBorder="1" applyAlignment="1" applyProtection="1">
      <alignment horizontal="left"/>
      <protection locked="0"/>
    </xf>
    <xf numFmtId="0" fontId="5" fillId="0" borderId="3" xfId="0" applyFont="1" applyFill="1" applyBorder="1" applyAlignment="1">
      <alignment horizontal="center" vertical="center" wrapText="1"/>
    </xf>
    <xf numFmtId="9" fontId="5" fillId="0" borderId="0" xfId="6" applyFont="1" applyFill="1" applyBorder="1" applyAlignment="1">
      <alignment horizontal="center" vertical="center" wrapText="1"/>
    </xf>
    <xf numFmtId="9" fontId="3" fillId="0" borderId="0" xfId="6" applyFont="1"/>
    <xf numFmtId="9" fontId="3" fillId="0" borderId="3" xfId="0" applyNumberFormat="1" applyFont="1" applyBorder="1"/>
    <xf numFmtId="169" fontId="3" fillId="0" borderId="3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72" fontId="0" fillId="0" borderId="0" xfId="0" applyNumberFormat="1"/>
    <xf numFmtId="173" fontId="0" fillId="0" borderId="0" xfId="0" applyNumberFormat="1"/>
    <xf numFmtId="0" fontId="0" fillId="0" borderId="3" xfId="0" applyBorder="1"/>
    <xf numFmtId="0" fontId="15" fillId="0" borderId="3" xfId="0" applyFont="1" applyBorder="1" applyAlignment="1">
      <alignment horizontal="center" vertical="center" wrapText="1"/>
    </xf>
    <xf numFmtId="0" fontId="16" fillId="0" borderId="0" xfId="0" applyFont="1"/>
    <xf numFmtId="14" fontId="15" fillId="0" borderId="3" xfId="0" applyNumberFormat="1" applyFont="1" applyBorder="1" applyAlignment="1">
      <alignment horizontal="center" vertical="center" wrapText="1"/>
    </xf>
    <xf numFmtId="14" fontId="0" fillId="0" borderId="3" xfId="0" applyNumberFormat="1" applyBorder="1"/>
    <xf numFmtId="14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9" fontId="0" fillId="0" borderId="3" xfId="0" applyNumberFormat="1" applyBorder="1"/>
    <xf numFmtId="174" fontId="0" fillId="0" borderId="3" xfId="0" applyNumberFormat="1" applyBorder="1"/>
    <xf numFmtId="174" fontId="14" fillId="0" borderId="3" xfId="0" applyNumberFormat="1" applyFont="1" applyBorder="1"/>
    <xf numFmtId="0" fontId="14" fillId="0" borderId="3" xfId="0" applyFont="1" applyBorder="1"/>
    <xf numFmtId="0" fontId="0" fillId="0" borderId="0" xfId="0" applyBorder="1"/>
    <xf numFmtId="174" fontId="0" fillId="0" borderId="0" xfId="0" applyNumberFormat="1" applyBorder="1"/>
    <xf numFmtId="169" fontId="0" fillId="0" borderId="0" xfId="0" applyNumberFormat="1" applyBorder="1"/>
    <xf numFmtId="14" fontId="0" fillId="0" borderId="0" xfId="0" applyNumberFormat="1" applyBorder="1"/>
    <xf numFmtId="0" fontId="14" fillId="0" borderId="0" xfId="0" applyFont="1" applyBorder="1"/>
    <xf numFmtId="0" fontId="16" fillId="0" borderId="0" xfId="0" applyFont="1" applyAlignment="1">
      <alignment wrapText="1"/>
    </xf>
    <xf numFmtId="169" fontId="0" fillId="0" borderId="0" xfId="0" applyNumberFormat="1"/>
    <xf numFmtId="0" fontId="15" fillId="0" borderId="7" xfId="0" applyFont="1" applyFill="1" applyBorder="1" applyAlignment="1">
      <alignment horizontal="center" vertical="center" wrapText="1"/>
    </xf>
    <xf numFmtId="14" fontId="15" fillId="0" borderId="7" xfId="0" applyNumberFormat="1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/>
    <xf numFmtId="174" fontId="0" fillId="0" borderId="7" xfId="0" applyNumberFormat="1" applyFont="1" applyFill="1" applyBorder="1"/>
    <xf numFmtId="169" fontId="0" fillId="0" borderId="7" xfId="0" applyNumberFormat="1" applyFont="1" applyFill="1" applyBorder="1"/>
    <xf numFmtId="14" fontId="0" fillId="0" borderId="7" xfId="0" applyNumberFormat="1" applyFont="1" applyFill="1" applyBorder="1"/>
    <xf numFmtId="169" fontId="0" fillId="0" borderId="6" xfId="0" applyNumberFormat="1" applyFont="1" applyFill="1" applyBorder="1"/>
    <xf numFmtId="0" fontId="0" fillId="0" borderId="5" xfId="0" applyFont="1" applyFill="1" applyBorder="1"/>
    <xf numFmtId="174" fontId="0" fillId="0" borderId="5" xfId="0" applyNumberFormat="1" applyFont="1" applyFill="1" applyBorder="1"/>
    <xf numFmtId="169" fontId="0" fillId="0" borderId="5" xfId="0" applyNumberFormat="1" applyFont="1" applyFill="1" applyBorder="1"/>
    <xf numFmtId="14" fontId="0" fillId="0" borderId="5" xfId="0" applyNumberFormat="1" applyFont="1" applyFill="1" applyBorder="1"/>
    <xf numFmtId="169" fontId="0" fillId="0" borderId="3" xfId="0" applyNumberFormat="1" applyFont="1" applyFill="1" applyBorder="1"/>
    <xf numFmtId="0" fontId="5" fillId="0" borderId="0" xfId="0" applyFont="1" applyBorder="1" applyAlignment="1">
      <alignment horizontal="center" vertical="top"/>
    </xf>
    <xf numFmtId="0" fontId="3" fillId="0" borderId="0" xfId="0" applyFont="1" applyFill="1" applyAlignment="1">
      <alignment horizontal="right"/>
    </xf>
  </cellXfs>
  <cellStyles count="7">
    <cellStyle name="Calc Currency (0)" xfId="1" xr:uid="{00000000-0005-0000-0000-000000000000}"/>
    <cellStyle name="Currency" xfId="2" builtinId="4"/>
    <cellStyle name="Header1" xfId="3" xr:uid="{00000000-0005-0000-0000-000002000000}"/>
    <cellStyle name="Header2" xfId="4" xr:uid="{00000000-0005-0000-0000-000003000000}"/>
    <cellStyle name="Normal" xfId="0" builtinId="0"/>
    <cellStyle name="Normal 2" xfId="5" xr:uid="{00000000-0005-0000-0000-000005000000}"/>
    <cellStyle name="Percent" xfId="6" builtinId="5"/>
  </cellStyles>
  <dxfs count="5">
    <dxf>
      <alignment horizontal="center"/>
    </dxf>
    <dxf>
      <alignment horizontal="center"/>
    </dxf>
    <dxf>
      <alignment wrapText="1"/>
    </dxf>
    <dxf>
      <numFmt numFmtId="173" formatCode="0;[Red]0"/>
    </dxf>
    <dxf>
      <numFmt numFmtId="172" formatCode="#,##0.00\ &quot;лв.&quot;;[Red]#,##0.00\ &quot;лв.&quot;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[Задача Каби 23.10.2018.xlsx]PivotTable!PivotTable1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Обща сума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PivotTable!$A$4:$A$8</c:f>
              <c:strCache>
                <c:ptCount val="4"/>
                <c:pt idx="0">
                  <c:v>Възраждане</c:v>
                </c:pt>
                <c:pt idx="1">
                  <c:v>Левски</c:v>
                </c:pt>
                <c:pt idx="2">
                  <c:v>Център</c:v>
                </c:pt>
                <c:pt idx="3">
                  <c:v>Чайка</c:v>
                </c:pt>
              </c:strCache>
            </c:strRef>
          </c:cat>
          <c:val>
            <c:numRef>
              <c:f>PivotTable!$B$4:$B$8</c:f>
              <c:numCache>
                <c:formatCode>#\ ##0.00\ "лв.";[Red]#\ ##0.00\ "лв."</c:formatCode>
                <c:ptCount val="4"/>
                <c:pt idx="0">
                  <c:v>46.2</c:v>
                </c:pt>
                <c:pt idx="1">
                  <c:v>251.82</c:v>
                </c:pt>
                <c:pt idx="2">
                  <c:v>101.88</c:v>
                </c:pt>
                <c:pt idx="3">
                  <c:v>616.02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B-4A53-9BAF-BD9FFC400E29}"/>
            </c:ext>
          </c:extLst>
        </c:ser>
        <c:ser>
          <c:idx val="1"/>
          <c:order val="1"/>
          <c:tx>
            <c:strRef>
              <c:f>PivotTable!$C$3</c:f>
              <c:strCache>
                <c:ptCount val="1"/>
                <c:pt idx="0">
                  <c:v>Средно реализиран трафик в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PivotTable!$A$4:$A$8</c:f>
              <c:strCache>
                <c:ptCount val="4"/>
                <c:pt idx="0">
                  <c:v>Възраждане</c:v>
                </c:pt>
                <c:pt idx="1">
                  <c:v>Левски</c:v>
                </c:pt>
                <c:pt idx="2">
                  <c:v>Център</c:v>
                </c:pt>
                <c:pt idx="3">
                  <c:v>Чайка</c:v>
                </c:pt>
              </c:strCache>
            </c:strRef>
          </c:cat>
          <c:val>
            <c:numRef>
              <c:f>PivotTable!$C$4:$C$8</c:f>
              <c:numCache>
                <c:formatCode>0;[Red]0</c:formatCode>
                <c:ptCount val="4"/>
                <c:pt idx="0">
                  <c:v>750</c:v>
                </c:pt>
                <c:pt idx="1">
                  <c:v>800.5</c:v>
                </c:pt>
                <c:pt idx="2">
                  <c:v>724</c:v>
                </c:pt>
                <c:pt idx="3">
                  <c:v>3482.25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3B-4A53-9BAF-BD9FFC400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516480"/>
        <c:axId val="448511232"/>
      </c:barChart>
      <c:catAx>
        <c:axId val="44851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8511232"/>
        <c:crosses val="autoZero"/>
        <c:auto val="1"/>
        <c:lblAlgn val="ctr"/>
        <c:lblOffset val="100"/>
        <c:noMultiLvlLbl val="0"/>
      </c:catAx>
      <c:valAx>
        <c:axId val="44851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лв.&quot;;[Red]#\ ##0.00\ &quot;лв.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44851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9</xdr:row>
      <xdr:rowOff>57150</xdr:rowOff>
    </xdr:from>
    <xdr:to>
      <xdr:col>6</xdr:col>
      <xdr:colOff>600075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7B4B40-91E6-4C27-BDE0-7573C826B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doranova" refreshedDate="43396.457357291663" createdVersion="6" refreshedVersion="6" minRefreshableVersion="3" recordCount="19" xr:uid="{880F5ABC-F96E-4881-BA1F-E11DD0366595}">
  <cacheSource type="worksheet">
    <worksheetSource ref="A3:Q22" sheet="Основен"/>
  </cacheSource>
  <cacheFields count="17">
    <cacheField name="№ на телефон" numFmtId="0">
      <sharedItems containsSemiMixedTypes="0" containsString="0" containsNumber="1" containsInteger="1" minValue="231025" maxValue="827011"/>
    </cacheField>
    <cacheField name="Име презиме фамилия" numFmtId="0">
      <sharedItems count="19">
        <s v="Векил Иванов Недялков"/>
        <s v="Георги Стефанов Дамянов"/>
        <s v="Стоянка Илиева Дечева"/>
        <s v="Илияна Василева Димитрова"/>
        <s v="Петя Димитрова Михайлова"/>
        <s v="Петър Петров Радев"/>
        <s v="Сияна Петрова Данова"/>
        <s v="Николай Колев Недев"/>
        <s v="Стефка Радева Костова"/>
        <s v="Михаил Михаилов Петров"/>
        <s v="Генчо Георгиев Киров"/>
        <s v="Николина Парушева Костадинова"/>
        <s v="Аспарух Николов Димов"/>
        <s v="Добри Василев Стаменов"/>
        <s v="Николай Стефанов Чакъров"/>
        <s v="Нели Стоянова Славова"/>
        <s v="Нина Пеева Милева"/>
        <s v="Стефан Стоев Костов"/>
        <s v="Ина Димитрова Стоянова"/>
      </sharedItems>
    </cacheField>
    <cacheField name="Квартал" numFmtId="0">
      <sharedItems count="4">
        <s v="Левски"/>
        <s v="Чайка"/>
        <s v="Център"/>
        <s v="Възраждане"/>
      </sharedItems>
    </cacheField>
    <cacheField name="Вид клиент" numFmtId="0">
      <sharedItems count="3">
        <s v="Game зала"/>
        <s v="Дом"/>
        <s v="Фирма"/>
      </sharedItems>
    </cacheField>
    <cacheField name="Абониран трафик в MB" numFmtId="1">
      <sharedItems containsSemiMixedTypes="0" containsString="0" containsNumber="1" containsInteger="1" minValue="250" maxValue="5000"/>
    </cacheField>
    <cacheField name="Цена" numFmtId="166">
      <sharedItems containsSemiMixedTypes="0" containsString="0" containsNumber="1" minValue="10.199999999999999" maxValue="115"/>
    </cacheField>
    <cacheField name="Дата на плащане" numFmtId="14">
      <sharedItems containsDate="1" containsMixedTypes="1" minDate="2018-08-01T00:00:00" maxDate="2018-12-23T00:00:00"/>
    </cacheField>
    <cacheField name="Реализиран трафик в MB" numFmtId="0">
      <sharedItems containsSemiMixedTypes="0" containsString="0" containsNumber="1" containsInteger="1" minValue="240" maxValue="5200"/>
    </cacheField>
    <cacheField name="Надвишаване" numFmtId="170">
      <sharedItems containsSemiMixedTypes="0" containsString="0" containsNumber="1" containsInteger="1" minValue="0" maxValue="300"/>
    </cacheField>
    <cacheField name="Стойност на надвишаване" numFmtId="171">
      <sharedItems containsSemiMixedTypes="0" containsString="0" containsNumber="1" minValue="0" maxValue="45"/>
    </cacheField>
    <cacheField name="Крайна стойност" numFmtId="169">
      <sharedItems containsSemiMixedTypes="0" containsString="0" containsNumber="1" minValue="10.199999999999999" maxValue="142"/>
    </cacheField>
    <cacheField name="ДДС" numFmtId="169">
      <sharedItems containsSemiMixedTypes="0" containsString="0" containsNumber="1" minValue="2.04" maxValue="28.400000000000002"/>
    </cacheField>
    <cacheField name="Крайна сума" numFmtId="169">
      <sharedItems containsSemiMixedTypes="0" containsString="0" containsNumber="1" minValue="12.239999999999998" maxValue="170.4"/>
    </cacheField>
    <cacheField name="Отстъпка" numFmtId="9">
      <sharedItems containsSemiMixedTypes="0" containsString="0" containsNumber="1" minValue="0.1" maxValue="0.25"/>
    </cacheField>
    <cacheField name="Цена с отстъпка" numFmtId="169">
      <sharedItems containsSemiMixedTypes="0" containsString="0" containsNumber="1" minValue="11.015999999999998" maxValue="127.80000000000001"/>
    </cacheField>
    <cacheField name="0" numFmtId="0">
      <sharedItems containsString="0" containsBlank="1" containsNumber="1" containsInteger="1" minValue="70" maxValue="150"/>
    </cacheField>
    <cacheField name="10%" numFmtId="0">
      <sharedItems containsString="0" containsBlank="1" containsNumber="1" minValue="0.15" maxValue="0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231025"/>
    <x v="0"/>
    <x v="0"/>
    <x v="0"/>
    <n v="1000"/>
    <n v="45.5"/>
    <d v="2018-08-01T00:00:00"/>
    <n v="1080"/>
    <n v="80"/>
    <n v="12"/>
    <n v="57.5"/>
    <n v="11.5"/>
    <n v="69"/>
    <n v="0.1"/>
    <n v="62.1"/>
    <n v="70"/>
    <n v="0.15"/>
  </r>
  <r>
    <n v="236567"/>
    <x v="1"/>
    <x v="0"/>
    <x v="1"/>
    <n v="250"/>
    <n v="10.199999999999999"/>
    <d v="2018-09-29T00:00:00"/>
    <n v="255"/>
    <n v="5"/>
    <n v="0.75"/>
    <n v="10.95"/>
    <n v="2.19"/>
    <n v="13.139999999999999"/>
    <n v="0.1"/>
    <n v="11.825999999999999"/>
    <n v="100"/>
    <n v="0.2"/>
  </r>
  <r>
    <n v="236789"/>
    <x v="2"/>
    <x v="1"/>
    <x v="2"/>
    <n v="5000"/>
    <n v="115"/>
    <d v="2018-08-01T00:00:00"/>
    <n v="5079"/>
    <n v="79"/>
    <n v="11.85"/>
    <n v="126.85"/>
    <n v="25.37"/>
    <n v="152.22"/>
    <n v="0.25"/>
    <n v="114.16499999999999"/>
    <n v="150"/>
    <n v="0.25"/>
  </r>
  <r>
    <n v="238543"/>
    <x v="3"/>
    <x v="1"/>
    <x v="2"/>
    <n v="5000"/>
    <n v="112"/>
    <d v="2018-08-02T00:00:00"/>
    <n v="5200"/>
    <n v="200"/>
    <n v="30"/>
    <n v="142"/>
    <n v="28.400000000000002"/>
    <n v="170.4"/>
    <n v="0.25"/>
    <n v="127.80000000000001"/>
    <m/>
    <m/>
  </r>
  <r>
    <n v="651701"/>
    <x v="4"/>
    <x v="0"/>
    <x v="2"/>
    <n v="2000"/>
    <n v="90"/>
    <d v="2018-09-25T00:00:00"/>
    <n v="1800"/>
    <n v="0"/>
    <n v="0"/>
    <n v="90"/>
    <n v="18"/>
    <n v="108"/>
    <n v="0.2"/>
    <n v="86.4"/>
    <m/>
    <m/>
  </r>
  <r>
    <n v="652101"/>
    <x v="5"/>
    <x v="2"/>
    <x v="1"/>
    <n v="250"/>
    <n v="10.199999999999999"/>
    <s v="31/09/2018"/>
    <n v="240"/>
    <n v="0"/>
    <n v="0"/>
    <n v="10.199999999999999"/>
    <n v="2.04"/>
    <n v="12.239999999999998"/>
    <n v="0.1"/>
    <n v="11.015999999999998"/>
    <m/>
    <m/>
  </r>
  <r>
    <n v="652501"/>
    <x v="6"/>
    <x v="3"/>
    <x v="0"/>
    <n v="1000"/>
    <n v="50.5"/>
    <d v="2018-08-05T00:00:00"/>
    <n v="1200"/>
    <n v="200"/>
    <n v="30"/>
    <n v="80.5"/>
    <n v="16.100000000000001"/>
    <n v="96.6"/>
    <n v="0.15"/>
    <n v="82.11"/>
    <m/>
    <m/>
  </r>
  <r>
    <n v="652508"/>
    <x v="7"/>
    <x v="3"/>
    <x v="1"/>
    <n v="1000"/>
    <n v="38.5"/>
    <d v="2018-09-28T00:00:00"/>
    <n v="750"/>
    <n v="0"/>
    <n v="0"/>
    <n v="38.5"/>
    <n v="7.7"/>
    <n v="46.2"/>
    <n v="0.1"/>
    <n v="41.580000000000005"/>
    <m/>
    <m/>
  </r>
  <r>
    <n v="660301"/>
    <x v="8"/>
    <x v="0"/>
    <x v="1"/>
    <n v="600"/>
    <n v="25.5"/>
    <d v="2018-09-28T00:00:00"/>
    <n v="550"/>
    <n v="0"/>
    <n v="0"/>
    <n v="25.5"/>
    <n v="5.1000000000000005"/>
    <n v="30.6"/>
    <n v="0.1"/>
    <n v="27.54"/>
    <m/>
    <m/>
  </r>
  <r>
    <n v="661815"/>
    <x v="9"/>
    <x v="3"/>
    <x v="0"/>
    <n v="2000"/>
    <n v="77"/>
    <d v="2018-09-28T00:00:00"/>
    <n v="1990"/>
    <n v="0"/>
    <n v="0"/>
    <n v="77"/>
    <n v="15.4"/>
    <n v="92.4"/>
    <n v="0.15"/>
    <n v="78.540000000000006"/>
    <m/>
    <m/>
  </r>
  <r>
    <n v="666925"/>
    <x v="10"/>
    <x v="3"/>
    <x v="0"/>
    <n v="2000"/>
    <n v="77"/>
    <d v="2018-09-30T00:00:00"/>
    <n v="1800"/>
    <n v="0"/>
    <n v="0"/>
    <n v="77"/>
    <n v="15.4"/>
    <n v="92.4"/>
    <n v="0.15"/>
    <n v="78.540000000000006"/>
    <m/>
    <m/>
  </r>
  <r>
    <n v="822453"/>
    <x v="11"/>
    <x v="3"/>
    <x v="0"/>
    <n v="5000"/>
    <n v="87"/>
    <d v="2018-08-09T00:00:00"/>
    <n v="5001"/>
    <n v="1"/>
    <n v="0.15"/>
    <n v="87.15"/>
    <n v="17.430000000000003"/>
    <n v="104.58000000000001"/>
    <n v="0.2"/>
    <n v="83.664000000000016"/>
    <m/>
    <m/>
  </r>
  <r>
    <n v="826234"/>
    <x v="12"/>
    <x v="3"/>
    <x v="0"/>
    <n v="1000"/>
    <n v="45.5"/>
    <d v="2018-08-02T00:00:00"/>
    <n v="920"/>
    <n v="0"/>
    <n v="0"/>
    <n v="45.5"/>
    <n v="9.1"/>
    <n v="54.6"/>
    <n v="0.1"/>
    <n v="49.14"/>
    <m/>
    <m/>
  </r>
  <r>
    <n v="826345"/>
    <x v="13"/>
    <x v="0"/>
    <x v="1"/>
    <n v="600"/>
    <n v="20.5"/>
    <d v="2018-09-29T00:00:00"/>
    <n v="608"/>
    <n v="8"/>
    <n v="1.2"/>
    <n v="21.7"/>
    <n v="4.34"/>
    <n v="26.04"/>
    <n v="0.1"/>
    <n v="23.436"/>
    <m/>
    <m/>
  </r>
  <r>
    <n v="826678"/>
    <x v="14"/>
    <x v="0"/>
    <x v="1"/>
    <n v="250"/>
    <n v="10.199999999999999"/>
    <d v="2018-12-22T00:00:00"/>
    <n v="290"/>
    <n v="40"/>
    <n v="6"/>
    <n v="16.2"/>
    <n v="3.24"/>
    <n v="19.439999999999998"/>
    <n v="0.1"/>
    <n v="17.495999999999999"/>
    <m/>
    <m/>
  </r>
  <r>
    <n v="827011"/>
    <x v="15"/>
    <x v="2"/>
    <x v="1"/>
    <n v="1000"/>
    <n v="43.5"/>
    <d v="2018-09-28T00:00:00"/>
    <n v="1208"/>
    <n v="208"/>
    <n v="31.2"/>
    <n v="74.7"/>
    <n v="14.940000000000001"/>
    <n v="89.64"/>
    <n v="0.15"/>
    <n v="76.194000000000003"/>
    <m/>
    <m/>
  </r>
  <r>
    <n v="235568"/>
    <x v="16"/>
    <x v="0"/>
    <x v="1"/>
    <n v="1200"/>
    <n v="30.5"/>
    <d v="2018-08-09T00:00:00"/>
    <n v="1300"/>
    <n v="100"/>
    <n v="15"/>
    <n v="45.5"/>
    <n v="9.1"/>
    <n v="54.6"/>
    <n v="0.1"/>
    <n v="49.14"/>
    <m/>
    <m/>
  </r>
  <r>
    <n v="235789"/>
    <x v="17"/>
    <x v="1"/>
    <x v="2"/>
    <n v="2200"/>
    <n v="90"/>
    <d v="2018-08-29T00:00:00"/>
    <n v="2500"/>
    <n v="300"/>
    <n v="45"/>
    <n v="135"/>
    <n v="27"/>
    <n v="162"/>
    <n v="0.25"/>
    <n v="121.5"/>
    <m/>
    <m/>
  </r>
  <r>
    <n v="238285"/>
    <x v="18"/>
    <x v="1"/>
    <x v="2"/>
    <n v="1020"/>
    <n v="90"/>
    <d v="2018-08-01T00:00:00"/>
    <n v="1150"/>
    <n v="130"/>
    <n v="19.5"/>
    <n v="109.5"/>
    <n v="21.900000000000002"/>
    <n v="131.4"/>
    <n v="0.2"/>
    <n v="105.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7238D-50FF-4F8F-BA57-433EFBD3B73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Квартал">
  <location ref="A3:C8" firstHeaderRow="0" firstDataRow="1" firstDataCol="1" rowPageCount="1" colPageCount="1"/>
  <pivotFields count="17">
    <pivotField showAll="0"/>
    <pivotField showAll="0">
      <items count="20">
        <item x="12"/>
        <item x="0"/>
        <item x="10"/>
        <item x="1"/>
        <item x="13"/>
        <item x="3"/>
        <item x="18"/>
        <item x="9"/>
        <item x="15"/>
        <item x="7"/>
        <item x="14"/>
        <item x="11"/>
        <item x="16"/>
        <item x="5"/>
        <item x="4"/>
        <item x="6"/>
        <item x="17"/>
        <item x="8"/>
        <item x="2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axis="axisPage" multipleItemSelectionAllowed="1" showAll="0">
      <items count="4">
        <item h="1" x="0"/>
        <item x="1"/>
        <item x="2"/>
        <item t="default"/>
      </items>
    </pivotField>
    <pivotField numFmtId="1" showAll="0"/>
    <pivotField numFmtId="166" showAll="0"/>
    <pivotField showAll="0"/>
    <pivotField dataField="1" showAll="0"/>
    <pivotField numFmtId="170" showAll="0"/>
    <pivotField numFmtId="171" showAll="0"/>
    <pivotField numFmtId="169" showAll="0"/>
    <pivotField numFmtId="169" showAll="0"/>
    <pivotField dataField="1" numFmtId="169" showAll="0"/>
    <pivotField numFmtId="9" showAll="0"/>
    <pivotField numFmtId="169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Обща сума" fld="12" baseField="0" baseItem="0" numFmtId="172"/>
    <dataField name="Средно реализиран трафик в MB" fld="7" subtotal="average" baseField="2" baseItem="0" numFmtId="173"/>
  </dataFields>
  <formats count="5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field="2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4"/>
  <sheetViews>
    <sheetView workbookViewId="0">
      <selection activeCell="A2" sqref="A2"/>
    </sheetView>
  </sheetViews>
  <sheetFormatPr defaultRowHeight="12"/>
  <cols>
    <col min="1" max="1" width="7.375" style="25" bestFit="1" customWidth="1"/>
    <col min="2" max="2" width="25.5" style="25" bestFit="1" customWidth="1"/>
    <col min="3" max="3" width="10" style="25" bestFit="1" customWidth="1"/>
    <col min="4" max="4" width="10" style="25" customWidth="1"/>
    <col min="5" max="5" width="10.125" style="25" bestFit="1" customWidth="1"/>
    <col min="6" max="6" width="7.625" style="25" bestFit="1" customWidth="1"/>
    <col min="7" max="7" width="8.625" style="25" bestFit="1" customWidth="1"/>
    <col min="8" max="8" width="10.125" style="25" bestFit="1" customWidth="1"/>
    <col min="9" max="9" width="17.625" style="25" customWidth="1"/>
    <col min="10" max="10" width="10.875" style="25" bestFit="1" customWidth="1"/>
    <col min="11" max="11" width="10.875" style="25" customWidth="1"/>
    <col min="12" max="12" width="7.75" style="25" customWidth="1"/>
    <col min="13" max="13" width="9.25" style="25" bestFit="1" customWidth="1"/>
    <col min="14" max="16384" width="9" style="25"/>
  </cols>
  <sheetData>
    <row r="1" spans="1:31" s="5" customFormat="1">
      <c r="A1" s="128" t="str">
        <f ca="1">TEXT(TODAY(),"dd.mm.yy г.")&amp;" "&amp;"Интернет от Каби ТВ"</f>
        <v>23.10.18 г. Интернет от Каби ТВ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31" s="12" customFormat="1">
      <c r="A2" s="6"/>
      <c r="B2" s="7"/>
      <c r="C2" s="7"/>
      <c r="D2" s="7"/>
      <c r="E2" s="9"/>
      <c r="F2" s="9"/>
      <c r="G2" s="9"/>
      <c r="H2" s="8"/>
      <c r="I2" s="7"/>
      <c r="J2" s="8"/>
      <c r="K2" s="8"/>
      <c r="L2" s="10"/>
      <c r="M2" s="10"/>
      <c r="N2" s="11"/>
      <c r="O2" s="11"/>
      <c r="P2" s="11"/>
      <c r="Q2" s="11"/>
      <c r="R2" s="11"/>
      <c r="S2" s="11"/>
    </row>
    <row r="3" spans="1:31" s="12" customFormat="1" ht="24">
      <c r="A3" s="13" t="s">
        <v>8</v>
      </c>
      <c r="B3" s="13" t="s">
        <v>38</v>
      </c>
      <c r="C3" s="58" t="s">
        <v>1</v>
      </c>
      <c r="D3" s="58" t="s">
        <v>42</v>
      </c>
      <c r="E3" s="13" t="s">
        <v>11</v>
      </c>
      <c r="F3" s="13" t="s">
        <v>9</v>
      </c>
      <c r="G3" s="13" t="s">
        <v>13</v>
      </c>
      <c r="H3" s="13" t="s">
        <v>10</v>
      </c>
      <c r="I3" s="13" t="s">
        <v>7</v>
      </c>
      <c r="J3" s="13" t="s">
        <v>17</v>
      </c>
      <c r="K3" s="13" t="s">
        <v>18</v>
      </c>
      <c r="L3" s="13" t="s">
        <v>0</v>
      </c>
      <c r="M3" s="13" t="s">
        <v>15</v>
      </c>
      <c r="N3" s="86" t="s">
        <v>102</v>
      </c>
      <c r="O3" s="86" t="s">
        <v>103</v>
      </c>
      <c r="P3" s="11">
        <v>0</v>
      </c>
      <c r="Q3" s="87">
        <v>0.1</v>
      </c>
      <c r="R3" s="11"/>
      <c r="S3" s="11"/>
    </row>
    <row r="4" spans="1:31" s="19" customFormat="1">
      <c r="A4" s="14">
        <v>231025</v>
      </c>
      <c r="B4" s="15" t="str">
        <f>VLOOKUP(A4,Справочен!$B$3:$H$22,5,0)</f>
        <v>Векил Иванов Недялков</v>
      </c>
      <c r="C4" s="15" t="str">
        <f>VLOOKUP(Основен!A4,Справочен!$B$3:$H$22,6,0)</f>
        <v>Левски</v>
      </c>
      <c r="D4" s="15" t="str">
        <f>VLOOKUP(Основен!A4,Справочен!$B$3:$H$22,7,0)</f>
        <v>Game зала</v>
      </c>
      <c r="E4" s="17">
        <v>1000</v>
      </c>
      <c r="F4" s="64">
        <v>45.5</v>
      </c>
      <c r="G4" s="18">
        <v>43313</v>
      </c>
      <c r="H4" s="16">
        <v>1080</v>
      </c>
      <c r="I4" s="81">
        <f>IF(H4&gt;E4,H4-E4,0)</f>
        <v>80</v>
      </c>
      <c r="J4" s="82">
        <f>I4*Абонамент!$B$2</f>
        <v>12</v>
      </c>
      <c r="K4" s="74">
        <f>F4+J4</f>
        <v>57.5</v>
      </c>
      <c r="L4" s="73">
        <f>K4*Абонамент!$B$5</f>
        <v>11.5</v>
      </c>
      <c r="M4" s="73">
        <f>K4+L4</f>
        <v>69</v>
      </c>
      <c r="N4" s="89">
        <f>VLOOKUP(M4,$P$3:$Q$6,2,1)</f>
        <v>0.1</v>
      </c>
      <c r="O4" s="90">
        <f>M4-N4*M4</f>
        <v>62.1</v>
      </c>
      <c r="P4" s="3">
        <v>70</v>
      </c>
      <c r="Q4" s="88">
        <v>0.15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19" customFormat="1">
      <c r="A5" s="14">
        <v>236567</v>
      </c>
      <c r="B5" s="15" t="str">
        <f>VLOOKUP(A5,Справочен!$B$3:$H$22,5,0)</f>
        <v>Георги Стефанов Дамянов</v>
      </c>
      <c r="C5" s="15" t="str">
        <f>VLOOKUP(Основен!A5,Справочен!$B$3:$H$22,6,0)</f>
        <v>Левски</v>
      </c>
      <c r="D5" s="15" t="str">
        <f>VLOOKUP(Основен!A5,Справочен!$B$3:$H$22,7,0)</f>
        <v>Дом</v>
      </c>
      <c r="E5" s="17">
        <v>250</v>
      </c>
      <c r="F5" s="64">
        <v>10.199999999999999</v>
      </c>
      <c r="G5" s="18">
        <v>43372</v>
      </c>
      <c r="H5" s="16">
        <v>255</v>
      </c>
      <c r="I5" s="81">
        <f t="shared" ref="I5:I22" si="0">IF(H5&gt;E5,H5-E5,0)</f>
        <v>5</v>
      </c>
      <c r="J5" s="82">
        <f>I5*Абонамент!$B$2</f>
        <v>0.75</v>
      </c>
      <c r="K5" s="74">
        <f t="shared" ref="K5:K22" si="1">F5+J5</f>
        <v>10.95</v>
      </c>
      <c r="L5" s="73">
        <f>K5*Абонамент!$B$5</f>
        <v>2.19</v>
      </c>
      <c r="M5" s="73">
        <f t="shared" ref="M5:M22" si="2">K5+L5</f>
        <v>13.139999999999999</v>
      </c>
      <c r="N5" s="89">
        <f t="shared" ref="N5:N22" si="3">VLOOKUP(M5,$P$3:$Q$6,2,1)</f>
        <v>0.1</v>
      </c>
      <c r="O5" s="90">
        <f t="shared" ref="O5:O22" si="4">M5-N5*M5</f>
        <v>11.825999999999999</v>
      </c>
      <c r="P5" s="3">
        <v>100</v>
      </c>
      <c r="Q5" s="88">
        <v>0.2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s="19" customFormat="1">
      <c r="A6" s="14">
        <v>236789</v>
      </c>
      <c r="B6" s="15" t="str">
        <f>VLOOKUP(A6,Справочен!$B$3:$H$22,5,0)</f>
        <v>Стоянка Илиева Дечева</v>
      </c>
      <c r="C6" s="15" t="str">
        <f>VLOOKUP(Основен!A6,Справочен!$B$3:$H$22,6,0)</f>
        <v>Чайка</v>
      </c>
      <c r="D6" s="15" t="str">
        <f>VLOOKUP(Основен!A6,Справочен!$B$3:$H$22,7,0)</f>
        <v>Фирма</v>
      </c>
      <c r="E6" s="17">
        <v>5000</v>
      </c>
      <c r="F6" s="64">
        <v>115</v>
      </c>
      <c r="G6" s="18">
        <v>43313</v>
      </c>
      <c r="H6" s="16">
        <v>5079</v>
      </c>
      <c r="I6" s="81">
        <f t="shared" si="0"/>
        <v>79</v>
      </c>
      <c r="J6" s="82">
        <f>I6*Абонамент!$B$2</f>
        <v>11.85</v>
      </c>
      <c r="K6" s="74">
        <f t="shared" si="1"/>
        <v>126.85</v>
      </c>
      <c r="L6" s="73">
        <f>K6*Абонамент!$B$5</f>
        <v>25.37</v>
      </c>
      <c r="M6" s="73">
        <f t="shared" si="2"/>
        <v>152.22</v>
      </c>
      <c r="N6" s="89">
        <f t="shared" si="3"/>
        <v>0.25</v>
      </c>
      <c r="O6" s="90">
        <f t="shared" si="4"/>
        <v>114.16499999999999</v>
      </c>
      <c r="P6" s="3">
        <v>150</v>
      </c>
      <c r="Q6" s="88">
        <v>0.25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s="19" customFormat="1">
      <c r="A7" s="14">
        <v>238543</v>
      </c>
      <c r="B7" s="15" t="str">
        <f>VLOOKUP(A7,Справочен!$B$3:$H$22,5,0)</f>
        <v>Илияна Василева Димитрова</v>
      </c>
      <c r="C7" s="15" t="str">
        <f>VLOOKUP(Основен!A7,Справочен!$B$3:$H$22,6,0)</f>
        <v>Чайка</v>
      </c>
      <c r="D7" s="15" t="str">
        <f>VLOOKUP(Основен!A7,Справочен!$B$3:$H$22,7,0)</f>
        <v>Фирма</v>
      </c>
      <c r="E7" s="17">
        <v>5000</v>
      </c>
      <c r="F7" s="64">
        <v>112</v>
      </c>
      <c r="G7" s="18">
        <v>43314</v>
      </c>
      <c r="H7" s="16">
        <v>5200</v>
      </c>
      <c r="I7" s="81">
        <f t="shared" si="0"/>
        <v>200</v>
      </c>
      <c r="J7" s="82">
        <f>I7*Абонамент!$B$2</f>
        <v>30</v>
      </c>
      <c r="K7" s="74">
        <f t="shared" si="1"/>
        <v>142</v>
      </c>
      <c r="L7" s="73">
        <f>K7*Абонамент!$B$5</f>
        <v>28.400000000000002</v>
      </c>
      <c r="M7" s="73">
        <f t="shared" si="2"/>
        <v>170.4</v>
      </c>
      <c r="N7" s="89">
        <f t="shared" si="3"/>
        <v>0.25</v>
      </c>
      <c r="O7" s="90">
        <f t="shared" si="4"/>
        <v>127.80000000000001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s="19" customFormat="1">
      <c r="A8" s="20">
        <v>651701</v>
      </c>
      <c r="B8" s="15" t="str">
        <f>VLOOKUP(A8,Справочен!$B$3:$H$22,5,0)</f>
        <v>Петя Димитрова Михайлова</v>
      </c>
      <c r="C8" s="15" t="str">
        <f>VLOOKUP(Основен!A8,Справочен!$B$3:$H$22,6,0)</f>
        <v>Левски</v>
      </c>
      <c r="D8" s="15" t="str">
        <f>VLOOKUP(Основен!A8,Справочен!$B$3:$H$22,7,0)</f>
        <v>Фирма</v>
      </c>
      <c r="E8" s="17">
        <v>2000</v>
      </c>
      <c r="F8" s="64">
        <v>90</v>
      </c>
      <c r="G8" s="18">
        <v>43368</v>
      </c>
      <c r="H8" s="16">
        <v>1800</v>
      </c>
      <c r="I8" s="81">
        <f t="shared" si="0"/>
        <v>0</v>
      </c>
      <c r="J8" s="82">
        <f>I8*Абонамент!$B$2</f>
        <v>0</v>
      </c>
      <c r="K8" s="74">
        <f t="shared" si="1"/>
        <v>90</v>
      </c>
      <c r="L8" s="73">
        <f>K8*Абонамент!$B$5</f>
        <v>18</v>
      </c>
      <c r="M8" s="73">
        <f t="shared" si="2"/>
        <v>108</v>
      </c>
      <c r="N8" s="89">
        <f t="shared" si="3"/>
        <v>0.2</v>
      </c>
      <c r="O8" s="90">
        <f t="shared" si="4"/>
        <v>86.4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s="19" customFormat="1">
      <c r="A9" s="14">
        <v>652101</v>
      </c>
      <c r="B9" s="15" t="str">
        <f>VLOOKUP(A9,Справочен!$B$3:$H$22,5,0)</f>
        <v>Петър Петров Радев</v>
      </c>
      <c r="C9" s="15" t="str">
        <f>VLOOKUP(Основен!A9,Справочен!$B$3:$H$22,6,0)</f>
        <v>Център</v>
      </c>
      <c r="D9" s="15" t="str">
        <f>VLOOKUP(Основен!A9,Справочен!$B$3:$H$22,7,0)</f>
        <v>Дом</v>
      </c>
      <c r="E9" s="17">
        <v>250</v>
      </c>
      <c r="F9" s="64">
        <v>10.199999999999999</v>
      </c>
      <c r="G9" s="18" t="s">
        <v>100</v>
      </c>
      <c r="H9" s="16">
        <v>240</v>
      </c>
      <c r="I9" s="81">
        <f t="shared" si="0"/>
        <v>0</v>
      </c>
      <c r="J9" s="82">
        <f>I9*Абонамент!$B$2</f>
        <v>0</v>
      </c>
      <c r="K9" s="74">
        <f t="shared" si="1"/>
        <v>10.199999999999999</v>
      </c>
      <c r="L9" s="73">
        <f>K9*Абонамент!$B$5</f>
        <v>2.04</v>
      </c>
      <c r="M9" s="73">
        <f t="shared" si="2"/>
        <v>12.239999999999998</v>
      </c>
      <c r="N9" s="89">
        <f t="shared" si="3"/>
        <v>0.1</v>
      </c>
      <c r="O9" s="90">
        <f t="shared" si="4"/>
        <v>11.015999999999998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s="19" customFormat="1">
      <c r="A10" s="14">
        <v>652501</v>
      </c>
      <c r="B10" s="15" t="str">
        <f>VLOOKUP(A10,Справочен!$B$3:$H$22,5,0)</f>
        <v>Сияна Петрова Данова</v>
      </c>
      <c r="C10" s="15" t="str">
        <f>VLOOKUP(Основен!A10,Справочен!$B$3:$H$22,6,0)</f>
        <v>Възраждане</v>
      </c>
      <c r="D10" s="15" t="str">
        <f>VLOOKUP(Основен!A10,Справочен!$B$3:$H$22,7,0)</f>
        <v>Game зала</v>
      </c>
      <c r="E10" s="17">
        <v>1000</v>
      </c>
      <c r="F10" s="64">
        <v>50.5</v>
      </c>
      <c r="G10" s="18">
        <v>43317</v>
      </c>
      <c r="H10" s="16">
        <v>1200</v>
      </c>
      <c r="I10" s="81">
        <f t="shared" si="0"/>
        <v>200</v>
      </c>
      <c r="J10" s="82">
        <f>I10*Абонамент!$B$2</f>
        <v>30</v>
      </c>
      <c r="K10" s="74">
        <f t="shared" si="1"/>
        <v>80.5</v>
      </c>
      <c r="L10" s="73">
        <f>K10*Абонамент!$B$5</f>
        <v>16.100000000000001</v>
      </c>
      <c r="M10" s="73">
        <f t="shared" si="2"/>
        <v>96.6</v>
      </c>
      <c r="N10" s="89">
        <f t="shared" si="3"/>
        <v>0.15</v>
      </c>
      <c r="O10" s="90">
        <f t="shared" si="4"/>
        <v>82.11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s="19" customFormat="1">
      <c r="A11" s="14">
        <v>652508</v>
      </c>
      <c r="B11" s="15" t="str">
        <f>VLOOKUP(A11,Справочен!$B$3:$H$22,5,0)</f>
        <v>Николай Колев Недев</v>
      </c>
      <c r="C11" s="15" t="str">
        <f>VLOOKUP(Основен!A11,Справочен!$B$3:$H$22,6,0)</f>
        <v>Възраждане</v>
      </c>
      <c r="D11" s="15" t="str">
        <f>VLOOKUP(Основен!A11,Справочен!$B$3:$H$22,7,0)</f>
        <v>Дом</v>
      </c>
      <c r="E11" s="17">
        <v>1000</v>
      </c>
      <c r="F11" s="64">
        <v>38.5</v>
      </c>
      <c r="G11" s="18">
        <v>43371</v>
      </c>
      <c r="H11" s="16">
        <v>750</v>
      </c>
      <c r="I11" s="81">
        <f t="shared" si="0"/>
        <v>0</v>
      </c>
      <c r="J11" s="82">
        <f>I11*Абонамент!$B$2</f>
        <v>0</v>
      </c>
      <c r="K11" s="74">
        <f t="shared" si="1"/>
        <v>38.5</v>
      </c>
      <c r="L11" s="73">
        <f>K11*Абонамент!$B$5</f>
        <v>7.7</v>
      </c>
      <c r="M11" s="73">
        <f t="shared" si="2"/>
        <v>46.2</v>
      </c>
      <c r="N11" s="89">
        <f t="shared" si="3"/>
        <v>0.1</v>
      </c>
      <c r="O11" s="90">
        <f t="shared" si="4"/>
        <v>41.580000000000005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s="19" customFormat="1">
      <c r="A12" s="20">
        <v>660301</v>
      </c>
      <c r="B12" s="15" t="str">
        <f>VLOOKUP(A12,Справочен!$B$3:$H$22,5,0)</f>
        <v>Стефка Радева Костова</v>
      </c>
      <c r="C12" s="15" t="str">
        <f>VLOOKUP(Основен!A12,Справочен!$B$3:$H$22,6,0)</f>
        <v>Левски</v>
      </c>
      <c r="D12" s="15" t="str">
        <f>VLOOKUP(Основен!A12,Справочен!$B$3:$H$22,7,0)</f>
        <v>Дом</v>
      </c>
      <c r="E12" s="17">
        <v>600</v>
      </c>
      <c r="F12" s="64">
        <v>25.5</v>
      </c>
      <c r="G12" s="18">
        <v>43371</v>
      </c>
      <c r="H12" s="16">
        <v>550</v>
      </c>
      <c r="I12" s="81">
        <f t="shared" si="0"/>
        <v>0</v>
      </c>
      <c r="J12" s="82">
        <f>I12*Абонамент!$B$2</f>
        <v>0</v>
      </c>
      <c r="K12" s="74">
        <f t="shared" si="1"/>
        <v>25.5</v>
      </c>
      <c r="L12" s="73">
        <f>K12*Абонамент!$B$5</f>
        <v>5.1000000000000005</v>
      </c>
      <c r="M12" s="73">
        <f t="shared" si="2"/>
        <v>30.6</v>
      </c>
      <c r="N12" s="89">
        <f t="shared" si="3"/>
        <v>0.1</v>
      </c>
      <c r="O12" s="90">
        <f t="shared" si="4"/>
        <v>27.54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s="19" customFormat="1">
      <c r="A13" s="20">
        <v>661815</v>
      </c>
      <c r="B13" s="15" t="str">
        <f>VLOOKUP(A13,Справочен!$B$3:$H$22,5,0)</f>
        <v>Михаил Михаилов Петров</v>
      </c>
      <c r="C13" s="15" t="str">
        <f>VLOOKUP(Основен!A13,Справочен!$B$3:$H$22,6,0)</f>
        <v>Възраждане</v>
      </c>
      <c r="D13" s="15" t="str">
        <f>VLOOKUP(Основен!A13,Справочен!$B$3:$H$22,7,0)</f>
        <v>Game зала</v>
      </c>
      <c r="E13" s="17">
        <v>2000</v>
      </c>
      <c r="F13" s="64">
        <v>77</v>
      </c>
      <c r="G13" s="18">
        <v>43371</v>
      </c>
      <c r="H13" s="16">
        <v>1990</v>
      </c>
      <c r="I13" s="81">
        <f t="shared" si="0"/>
        <v>0</v>
      </c>
      <c r="J13" s="82">
        <f>I13*Абонамент!$B$2</f>
        <v>0</v>
      </c>
      <c r="K13" s="74">
        <f t="shared" si="1"/>
        <v>77</v>
      </c>
      <c r="L13" s="73">
        <f>K13*Абонамент!$B$5</f>
        <v>15.4</v>
      </c>
      <c r="M13" s="73">
        <f t="shared" si="2"/>
        <v>92.4</v>
      </c>
      <c r="N13" s="89">
        <f t="shared" si="3"/>
        <v>0.15</v>
      </c>
      <c r="O13" s="90">
        <f t="shared" si="4"/>
        <v>78.540000000000006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s="19" customFormat="1">
      <c r="A14" s="14">
        <v>666925</v>
      </c>
      <c r="B14" s="15" t="str">
        <f>VLOOKUP(A14,Справочен!$B$3:$H$22,5,0)</f>
        <v>Генчо Георгиев Киров</v>
      </c>
      <c r="C14" s="15" t="str">
        <f>VLOOKUP(Основен!A14,Справочен!$B$3:$H$22,6,0)</f>
        <v>Възраждане</v>
      </c>
      <c r="D14" s="15" t="str">
        <f>VLOOKUP(Основен!A14,Справочен!$B$3:$H$22,7,0)</f>
        <v>Game зала</v>
      </c>
      <c r="E14" s="17">
        <v>2000</v>
      </c>
      <c r="F14" s="64">
        <v>77</v>
      </c>
      <c r="G14" s="18">
        <v>43373</v>
      </c>
      <c r="H14" s="16">
        <v>1800</v>
      </c>
      <c r="I14" s="81">
        <f t="shared" si="0"/>
        <v>0</v>
      </c>
      <c r="J14" s="82">
        <f>I14*Абонамент!$B$2</f>
        <v>0</v>
      </c>
      <c r="K14" s="74">
        <f t="shared" si="1"/>
        <v>77</v>
      </c>
      <c r="L14" s="73">
        <f>K14*Абонамент!$B$5</f>
        <v>15.4</v>
      </c>
      <c r="M14" s="73">
        <f t="shared" si="2"/>
        <v>92.4</v>
      </c>
      <c r="N14" s="89">
        <f t="shared" si="3"/>
        <v>0.15</v>
      </c>
      <c r="O14" s="90">
        <f t="shared" si="4"/>
        <v>78.540000000000006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s="19" customFormat="1">
      <c r="A15" s="14">
        <v>822453</v>
      </c>
      <c r="B15" s="15" t="str">
        <f>VLOOKUP(A15,Справочен!$B$3:$H$22,5,0)</f>
        <v>Николина Парушева Костадинова</v>
      </c>
      <c r="C15" s="15" t="str">
        <f>VLOOKUP(Основен!A15,Справочен!$B$3:$H$22,6,0)</f>
        <v>Възраждане</v>
      </c>
      <c r="D15" s="15" t="str">
        <f>VLOOKUP(Основен!A15,Справочен!$B$3:$H$22,7,0)</f>
        <v>Game зала</v>
      </c>
      <c r="E15" s="17">
        <v>5000</v>
      </c>
      <c r="F15" s="64">
        <v>87</v>
      </c>
      <c r="G15" s="18">
        <v>43321</v>
      </c>
      <c r="H15" s="16">
        <v>5001</v>
      </c>
      <c r="I15" s="81">
        <f t="shared" si="0"/>
        <v>1</v>
      </c>
      <c r="J15" s="82">
        <f>I15*Абонамент!$B$2</f>
        <v>0.15</v>
      </c>
      <c r="K15" s="74">
        <f t="shared" si="1"/>
        <v>87.15</v>
      </c>
      <c r="L15" s="73">
        <f>K15*Абонамент!$B$5</f>
        <v>17.430000000000003</v>
      </c>
      <c r="M15" s="73">
        <f t="shared" si="2"/>
        <v>104.58000000000001</v>
      </c>
      <c r="N15" s="89">
        <f t="shared" si="3"/>
        <v>0.2</v>
      </c>
      <c r="O15" s="90">
        <f t="shared" si="4"/>
        <v>83.664000000000016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s="19" customFormat="1">
      <c r="A16" s="14">
        <v>826234</v>
      </c>
      <c r="B16" s="15" t="str">
        <f>VLOOKUP(A16,Справочен!$B$3:$H$22,5,0)</f>
        <v>Аспарух Николов Димов</v>
      </c>
      <c r="C16" s="15" t="str">
        <f>VLOOKUP(Основен!A16,Справочен!$B$3:$H$22,6,0)</f>
        <v>Възраждане</v>
      </c>
      <c r="D16" s="15" t="str">
        <f>VLOOKUP(Основен!A16,Справочен!$B$3:$H$22,7,0)</f>
        <v>Game зала</v>
      </c>
      <c r="E16" s="17">
        <v>1000</v>
      </c>
      <c r="F16" s="64">
        <v>45.5</v>
      </c>
      <c r="G16" s="18">
        <v>43314</v>
      </c>
      <c r="H16" s="16">
        <v>920</v>
      </c>
      <c r="I16" s="81">
        <f t="shared" si="0"/>
        <v>0</v>
      </c>
      <c r="J16" s="82">
        <f>I16*Абонамент!$B$2</f>
        <v>0</v>
      </c>
      <c r="K16" s="74">
        <f t="shared" si="1"/>
        <v>45.5</v>
      </c>
      <c r="L16" s="73">
        <f>K16*Абонамент!$B$5</f>
        <v>9.1</v>
      </c>
      <c r="M16" s="73">
        <f t="shared" si="2"/>
        <v>54.6</v>
      </c>
      <c r="N16" s="89">
        <f t="shared" si="3"/>
        <v>0.1</v>
      </c>
      <c r="O16" s="90">
        <f t="shared" si="4"/>
        <v>49.14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s="19" customFormat="1">
      <c r="A17" s="14">
        <v>826345</v>
      </c>
      <c r="B17" s="15" t="str">
        <f>VLOOKUP(A17,Справочен!$B$3:$H$22,5,0)</f>
        <v>Добри Василев Стаменов</v>
      </c>
      <c r="C17" s="15" t="str">
        <f>VLOOKUP(Основен!A17,Справочен!$B$3:$H$22,6,0)</f>
        <v>Левски</v>
      </c>
      <c r="D17" s="15" t="str">
        <f>VLOOKUP(Основен!A17,Справочен!$B$3:$H$22,7,0)</f>
        <v>Дом</v>
      </c>
      <c r="E17" s="17">
        <v>600</v>
      </c>
      <c r="F17" s="64">
        <v>20.5</v>
      </c>
      <c r="G17" s="18">
        <v>43372</v>
      </c>
      <c r="H17" s="16">
        <v>608</v>
      </c>
      <c r="I17" s="81">
        <f t="shared" si="0"/>
        <v>8</v>
      </c>
      <c r="J17" s="82">
        <f>I17*Абонамент!$B$2</f>
        <v>1.2</v>
      </c>
      <c r="K17" s="74">
        <f t="shared" si="1"/>
        <v>21.7</v>
      </c>
      <c r="L17" s="73">
        <f>K17*Абонамент!$B$5</f>
        <v>4.34</v>
      </c>
      <c r="M17" s="73">
        <f t="shared" si="2"/>
        <v>26.04</v>
      </c>
      <c r="N17" s="89">
        <f t="shared" si="3"/>
        <v>0.1</v>
      </c>
      <c r="O17" s="90">
        <f t="shared" si="4"/>
        <v>23.436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s="19" customFormat="1">
      <c r="A18" s="14">
        <v>826678</v>
      </c>
      <c r="B18" s="15" t="str">
        <f>VLOOKUP(A18,Справочен!$B$3:$H$22,5,0)</f>
        <v>Николай Стефанов Чакъров</v>
      </c>
      <c r="C18" s="15" t="str">
        <f>VLOOKUP(Основен!A18,Справочен!$B$3:$H$22,6,0)</f>
        <v>Левски</v>
      </c>
      <c r="D18" s="15" t="str">
        <f>VLOOKUP(Основен!A18,Справочен!$B$3:$H$22,7,0)</f>
        <v>Дом</v>
      </c>
      <c r="E18" s="17">
        <v>250</v>
      </c>
      <c r="F18" s="64">
        <v>10.199999999999999</v>
      </c>
      <c r="G18" s="18">
        <v>43456</v>
      </c>
      <c r="H18" s="16">
        <v>290</v>
      </c>
      <c r="I18" s="81">
        <f t="shared" si="0"/>
        <v>40</v>
      </c>
      <c r="J18" s="82">
        <f>I18*Абонамент!$B$2</f>
        <v>6</v>
      </c>
      <c r="K18" s="74">
        <f t="shared" si="1"/>
        <v>16.2</v>
      </c>
      <c r="L18" s="73">
        <f>K18*Абонамент!$B$5</f>
        <v>3.24</v>
      </c>
      <c r="M18" s="73">
        <f t="shared" si="2"/>
        <v>19.439999999999998</v>
      </c>
      <c r="N18" s="89">
        <f t="shared" si="3"/>
        <v>0.1</v>
      </c>
      <c r="O18" s="90">
        <f t="shared" si="4"/>
        <v>17.495999999999999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s="19" customFormat="1">
      <c r="A19" s="14">
        <v>827011</v>
      </c>
      <c r="B19" s="15" t="str">
        <f>VLOOKUP(A19,Справочен!$B$3:$H$22,5,0)</f>
        <v>Нели Стоянова Славова</v>
      </c>
      <c r="C19" s="15" t="str">
        <f>VLOOKUP(Основен!A19,Справочен!$B$3:$H$22,6,0)</f>
        <v>Център</v>
      </c>
      <c r="D19" s="15" t="str">
        <f>VLOOKUP(Основен!A19,Справочен!$B$3:$H$22,7,0)</f>
        <v>Дом</v>
      </c>
      <c r="E19" s="17">
        <v>1000</v>
      </c>
      <c r="F19" s="64">
        <v>43.5</v>
      </c>
      <c r="G19" s="18">
        <v>43371</v>
      </c>
      <c r="H19" s="16">
        <v>1208</v>
      </c>
      <c r="I19" s="81">
        <f t="shared" si="0"/>
        <v>208</v>
      </c>
      <c r="J19" s="82">
        <f>I19*Абонамент!$B$2</f>
        <v>31.2</v>
      </c>
      <c r="K19" s="74">
        <f t="shared" si="1"/>
        <v>74.7</v>
      </c>
      <c r="L19" s="73">
        <f>K19*Абонамент!$B$5</f>
        <v>14.940000000000001</v>
      </c>
      <c r="M19" s="73">
        <f t="shared" si="2"/>
        <v>89.64</v>
      </c>
      <c r="N19" s="89">
        <f t="shared" si="3"/>
        <v>0.15</v>
      </c>
      <c r="O19" s="90">
        <f t="shared" si="4"/>
        <v>76.194000000000003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s="19" customFormat="1" ht="12.75">
      <c r="A20" s="62">
        <v>235568</v>
      </c>
      <c r="B20" s="15" t="str">
        <f>VLOOKUP(A20,Справочен!$B$3:$H$22,5,0)</f>
        <v>Нина Пеева Милева</v>
      </c>
      <c r="C20" s="15" t="str">
        <f>VLOOKUP(Основен!A20,Справочен!$B$3:$H$22,6,0)</f>
        <v>Левски</v>
      </c>
      <c r="D20" s="15" t="str">
        <f>VLOOKUP(Основен!A20,Справочен!$B$3:$H$22,7,0)</f>
        <v>Дом</v>
      </c>
      <c r="E20" s="17">
        <v>1200</v>
      </c>
      <c r="F20" s="64">
        <v>30.5</v>
      </c>
      <c r="G20" s="18">
        <v>43321</v>
      </c>
      <c r="H20" s="16">
        <v>1300</v>
      </c>
      <c r="I20" s="81">
        <f t="shared" si="0"/>
        <v>100</v>
      </c>
      <c r="J20" s="82">
        <f>I20*Абонамент!$B$2</f>
        <v>15</v>
      </c>
      <c r="K20" s="74">
        <f t="shared" si="1"/>
        <v>45.5</v>
      </c>
      <c r="L20" s="73">
        <f>K20*Абонамент!$B$5</f>
        <v>9.1</v>
      </c>
      <c r="M20" s="73">
        <f t="shared" si="2"/>
        <v>54.6</v>
      </c>
      <c r="N20" s="89">
        <f t="shared" si="3"/>
        <v>0.1</v>
      </c>
      <c r="O20" s="90">
        <f t="shared" si="4"/>
        <v>49.14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2.75">
      <c r="A21" s="62">
        <v>235789</v>
      </c>
      <c r="B21" s="15" t="str">
        <f>VLOOKUP(A21,Справочен!$B$3:$H$22,5,0)</f>
        <v>Стефан Стоев Костов</v>
      </c>
      <c r="C21" s="15" t="str">
        <f>VLOOKUP(Основен!A21,Справочен!$B$3:$H$22,6,0)</f>
        <v>Чайка</v>
      </c>
      <c r="D21" s="15" t="str">
        <f>VLOOKUP(Основен!A21,Справочен!$B$3:$H$22,7,0)</f>
        <v>Фирма</v>
      </c>
      <c r="E21" s="17">
        <v>2200</v>
      </c>
      <c r="F21" s="64">
        <v>90</v>
      </c>
      <c r="G21" s="18">
        <v>43341</v>
      </c>
      <c r="H21" s="16">
        <v>2500</v>
      </c>
      <c r="I21" s="81">
        <f t="shared" si="0"/>
        <v>300</v>
      </c>
      <c r="J21" s="82">
        <f>I21*Абонамент!$B$2</f>
        <v>45</v>
      </c>
      <c r="K21" s="74">
        <f t="shared" si="1"/>
        <v>135</v>
      </c>
      <c r="L21" s="73">
        <f>K21*Абонамент!$B$5</f>
        <v>27</v>
      </c>
      <c r="M21" s="73">
        <f t="shared" si="2"/>
        <v>162</v>
      </c>
      <c r="N21" s="89">
        <f t="shared" si="3"/>
        <v>0.25</v>
      </c>
      <c r="O21" s="90">
        <f t="shared" si="4"/>
        <v>121.5</v>
      </c>
    </row>
    <row r="22" spans="1:31" ht="12.75">
      <c r="A22" s="62">
        <v>238285</v>
      </c>
      <c r="B22" s="15" t="str">
        <f>VLOOKUP(A22,Справочен!$B$3:$H$22,5,0)</f>
        <v>Ина Димитрова Стоянова</v>
      </c>
      <c r="C22" s="15" t="str">
        <f>VLOOKUP(Основен!A22,Справочен!$B$3:$H$22,6,0)</f>
        <v>Чайка</v>
      </c>
      <c r="D22" s="15" t="str">
        <f>VLOOKUP(Основен!A22,Справочен!$B$3:$H$22,7,0)</f>
        <v>Фирма</v>
      </c>
      <c r="E22" s="17">
        <v>1020</v>
      </c>
      <c r="F22" s="64">
        <v>90</v>
      </c>
      <c r="G22" s="57">
        <v>43313</v>
      </c>
      <c r="H22" s="16">
        <v>1150</v>
      </c>
      <c r="I22" s="81">
        <f t="shared" si="0"/>
        <v>130</v>
      </c>
      <c r="J22" s="82">
        <f>I22*Абонамент!$B$2</f>
        <v>19.5</v>
      </c>
      <c r="K22" s="74">
        <f t="shared" si="1"/>
        <v>109.5</v>
      </c>
      <c r="L22" s="73">
        <f>K22*Абонамент!$B$5</f>
        <v>21.900000000000002</v>
      </c>
      <c r="M22" s="73">
        <f t="shared" si="2"/>
        <v>131.4</v>
      </c>
      <c r="N22" s="89">
        <f t="shared" si="3"/>
        <v>0.2</v>
      </c>
      <c r="O22" s="90">
        <f t="shared" si="4"/>
        <v>105.12</v>
      </c>
      <c r="P22" s="26"/>
      <c r="Q22" s="26"/>
      <c r="R22" s="26"/>
      <c r="S22" s="26"/>
    </row>
    <row r="23" spans="1:31" ht="12.75">
      <c r="A23" s="75"/>
      <c r="B23" s="22"/>
      <c r="C23" s="22"/>
      <c r="D23" s="22"/>
      <c r="E23" s="76"/>
      <c r="F23" s="77"/>
      <c r="G23" s="69"/>
      <c r="H23" s="23"/>
      <c r="I23" s="76"/>
      <c r="J23" s="78"/>
      <c r="K23" s="79"/>
      <c r="L23" s="80"/>
      <c r="M23" s="80"/>
      <c r="N23" s="26"/>
      <c r="O23" s="26"/>
      <c r="P23" s="26"/>
      <c r="Q23" s="26"/>
      <c r="R23" s="26"/>
      <c r="S23" s="26"/>
    </row>
    <row r="24" spans="1:31" s="3" customFormat="1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71" t="s">
        <v>39</v>
      </c>
      <c r="M24" s="73">
        <f>SUM(M4:M22)</f>
        <v>1525.5000000000002</v>
      </c>
      <c r="N24" s="65"/>
      <c r="O24" s="65"/>
      <c r="P24" s="65"/>
      <c r="Q24" s="65"/>
      <c r="R24" s="65"/>
      <c r="S24" s="65"/>
    </row>
    <row r="25" spans="1:31" s="3" customFormat="1">
      <c r="B25" s="65"/>
      <c r="C25" s="83"/>
      <c r="D25" s="65"/>
      <c r="E25" s="65"/>
      <c r="F25" s="65"/>
      <c r="G25" s="65"/>
      <c r="H25" s="65"/>
      <c r="I25" s="65"/>
      <c r="J25" s="65"/>
      <c r="K25" s="65"/>
      <c r="L25" s="71" t="s">
        <v>40</v>
      </c>
      <c r="M25" s="73">
        <f>AVERAGE(M4:M22)</f>
        <v>80.289473684210535</v>
      </c>
      <c r="N25" s="65"/>
      <c r="O25" s="65"/>
      <c r="P25" s="65"/>
      <c r="Q25" s="65"/>
      <c r="R25" s="65"/>
      <c r="S25" s="65"/>
    </row>
    <row r="26" spans="1:31" s="3" customFormat="1">
      <c r="B26" s="65"/>
      <c r="C26" s="65"/>
      <c r="D26" s="65"/>
      <c r="E26" s="65"/>
      <c r="F26" s="65"/>
      <c r="G26" s="65"/>
      <c r="H26" s="66"/>
      <c r="I26" s="67"/>
      <c r="J26" s="65"/>
      <c r="K26" s="65"/>
      <c r="L26" s="71" t="s">
        <v>41</v>
      </c>
      <c r="M26" s="73">
        <f>MAX(M4:M22)</f>
        <v>170.4</v>
      </c>
      <c r="N26" s="65"/>
      <c r="O26" s="65"/>
      <c r="P26" s="65"/>
      <c r="Q26" s="65"/>
      <c r="R26" s="65"/>
      <c r="S26" s="65"/>
    </row>
    <row r="27" spans="1:31" s="3" customFormat="1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71" t="s">
        <v>46</v>
      </c>
      <c r="M27" s="73">
        <f>SUMIF(D4:D22,"Game зала",M4:M22)</f>
        <v>509.58000000000004</v>
      </c>
      <c r="N27" s="65"/>
      <c r="O27" s="65"/>
      <c r="P27" s="65"/>
      <c r="Q27" s="65"/>
      <c r="R27" s="65"/>
      <c r="S27" s="65"/>
    </row>
    <row r="28" spans="1:31" s="3" customFormat="1" ht="14.25" customHeight="1">
      <c r="B28" s="65"/>
      <c r="C28" s="65"/>
      <c r="D28" s="65"/>
      <c r="E28" s="65"/>
      <c r="F28" s="65"/>
      <c r="G28" s="65"/>
      <c r="H28" s="65"/>
      <c r="I28" s="65"/>
      <c r="J28" s="129" t="s">
        <v>118</v>
      </c>
      <c r="K28" s="129"/>
      <c r="L28" s="129"/>
      <c r="M28" s="16">
        <f>COUNTIF(C4:C22,"Чайка")</f>
        <v>4</v>
      </c>
      <c r="N28" s="65"/>
      <c r="O28" s="65"/>
      <c r="P28" s="65"/>
      <c r="Q28" s="65"/>
      <c r="R28" s="65"/>
      <c r="S28" s="65"/>
    </row>
    <row r="29" spans="1:31" s="3" customFormat="1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</row>
    <row r="30" spans="1:31" s="3" customFormat="1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</row>
    <row r="31" spans="1:31" s="3" customFormat="1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</row>
    <row r="32" spans="1:31" s="3" customFormat="1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</row>
    <row r="33" spans="2:19" s="3" customFormat="1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</row>
    <row r="34" spans="2:19" s="3" customFormat="1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</row>
    <row r="35" spans="2:19" s="3" customFormat="1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</row>
    <row r="36" spans="2:19" s="3" customFormat="1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</row>
    <row r="37" spans="2:19" s="3" customFormat="1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</row>
    <row r="38" spans="2:19" s="3" customFormat="1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39" spans="2:19" s="3" customFormat="1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2:19" s="3" customFormat="1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</row>
    <row r="41" spans="2:19" s="3" customFormat="1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</row>
    <row r="42" spans="2:19" s="3" customFormat="1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</row>
    <row r="43" spans="2:19" s="3" customFormat="1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2:19" s="3" customFormat="1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</row>
    <row r="45" spans="2:19" s="3" customFormat="1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</row>
    <row r="46" spans="2:19" s="3" customFormat="1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</row>
    <row r="47" spans="2:19" s="3" customFormat="1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</row>
    <row r="48" spans="2:19" s="3" customFormat="1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</row>
    <row r="49" spans="2:19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</row>
    <row r="50" spans="2:19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2:19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spans="2:19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2:19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</row>
    <row r="54" spans="2:19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</row>
    <row r="55" spans="2:19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 spans="2:19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</row>
    <row r="57" spans="2:19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 spans="2:19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</row>
    <row r="59" spans="2:19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0" spans="2:19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 spans="2:19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 spans="2:19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2:19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 spans="2:19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2:19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 spans="2:19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pans="2:19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</row>
    <row r="68" spans="2:19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2:19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2:19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spans="2:19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2:19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</row>
    <row r="73" spans="2:19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</row>
    <row r="74" spans="2:19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</row>
  </sheetData>
  <mergeCells count="2">
    <mergeCell ref="A1:M1"/>
    <mergeCell ref="J28:L28"/>
  </mergeCells>
  <phoneticPr fontId="0" type="noConversion"/>
  <dataValidations count="1">
    <dataValidation type="textLength" operator="equal" allowBlank="1" showInputMessage="1" showErrorMessage="1" errorTitle="Грешка" error="Невалидна дължина" sqref="A4:A23" xr:uid="{00000000-0002-0000-0100-000000000000}">
      <formula1>6</formula1>
    </dataValidation>
  </dataValidations>
  <printOptions headings="1"/>
  <pageMargins left="0.15748031496062992" right="0.15748031496062992" top="0.19685039370078741" bottom="0.19685039370078741" header="0.51181102362204722" footer="0.19685039370078741"/>
  <pageSetup paperSize="9" scale="75" orientation="landscape" r:id="rId1"/>
  <headerFooter alignWithMargins="0">
    <oddFooter xml:space="preserve">&amp;CСтр.&amp;[1
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2BED-E253-49F7-A2DC-B9563024EE2B}">
  <dimension ref="A1:O33"/>
  <sheetViews>
    <sheetView topLeftCell="B1" workbookViewId="0">
      <selection activeCell="D5" sqref="D5"/>
    </sheetView>
  </sheetViews>
  <sheetFormatPr defaultRowHeight="14.25" outlineLevelRow="3"/>
  <cols>
    <col min="1" max="1" width="10.375" customWidth="1"/>
    <col min="2" max="2" width="30.25" bestFit="1" customWidth="1"/>
    <col min="3" max="3" width="11.375" bestFit="1" customWidth="1"/>
    <col min="4" max="4" width="10.5" bestFit="1" customWidth="1"/>
    <col min="5" max="5" width="11.625" customWidth="1"/>
    <col min="6" max="6" width="9.375" bestFit="1" customWidth="1"/>
    <col min="7" max="7" width="9.875" style="100" bestFit="1" customWidth="1"/>
    <col min="8" max="8" width="11.5" customWidth="1"/>
    <col min="9" max="9" width="12.25" bestFit="1" customWidth="1"/>
    <col min="10" max="10" width="12.625" customWidth="1"/>
    <col min="11" max="11" width="9.375" bestFit="1" customWidth="1"/>
    <col min="12" max="12" width="9.125" bestFit="1" customWidth="1"/>
    <col min="13" max="13" width="10.875" bestFit="1" customWidth="1"/>
    <col min="14" max="14" width="9.125" bestFit="1" customWidth="1"/>
    <col min="15" max="15" width="9.375" bestFit="1" customWidth="1"/>
  </cols>
  <sheetData>
    <row r="1" spans="1:15" s="97" customFormat="1" ht="25.5">
      <c r="A1" s="96" t="s">
        <v>8</v>
      </c>
      <c r="B1" s="96" t="s">
        <v>38</v>
      </c>
      <c r="C1" s="96" t="s">
        <v>1</v>
      </c>
      <c r="D1" s="96" t="s">
        <v>42</v>
      </c>
      <c r="E1" s="96" t="s">
        <v>11</v>
      </c>
      <c r="F1" s="96" t="s">
        <v>9</v>
      </c>
      <c r="G1" s="98" t="s">
        <v>13</v>
      </c>
      <c r="H1" s="96" t="s">
        <v>10</v>
      </c>
      <c r="I1" s="96" t="s">
        <v>7</v>
      </c>
      <c r="J1" s="96" t="s">
        <v>17</v>
      </c>
      <c r="K1" s="96" t="s">
        <v>18</v>
      </c>
      <c r="L1" s="96" t="s">
        <v>0</v>
      </c>
      <c r="M1" s="96" t="s">
        <v>15</v>
      </c>
      <c r="N1" s="96" t="s">
        <v>102</v>
      </c>
      <c r="O1" s="96" t="s">
        <v>103</v>
      </c>
    </row>
    <row r="2" spans="1:15" outlineLevel="3">
      <c r="A2" s="95">
        <v>652501</v>
      </c>
      <c r="B2" s="95" t="s">
        <v>25</v>
      </c>
      <c r="C2" s="95" t="s">
        <v>4</v>
      </c>
      <c r="D2" s="95" t="s">
        <v>43</v>
      </c>
      <c r="E2" s="105">
        <v>1000</v>
      </c>
      <c r="F2" s="104">
        <v>50.5</v>
      </c>
      <c r="G2" s="99">
        <v>43317</v>
      </c>
      <c r="H2" s="105">
        <v>1200</v>
      </c>
      <c r="I2" s="105">
        <v>200</v>
      </c>
      <c r="J2" s="104">
        <v>30</v>
      </c>
      <c r="K2" s="104">
        <v>80.5</v>
      </c>
      <c r="L2" s="104">
        <v>16.100000000000001</v>
      </c>
      <c r="M2" s="104">
        <v>96.6</v>
      </c>
      <c r="N2" s="104">
        <v>0.15</v>
      </c>
      <c r="O2" s="104">
        <v>82.11</v>
      </c>
    </row>
    <row r="3" spans="1:15" outlineLevel="3">
      <c r="A3" s="95">
        <v>661815</v>
      </c>
      <c r="B3" s="95" t="s">
        <v>28</v>
      </c>
      <c r="C3" s="95" t="s">
        <v>4</v>
      </c>
      <c r="D3" s="95" t="s">
        <v>43</v>
      </c>
      <c r="E3" s="105">
        <v>2000</v>
      </c>
      <c r="F3" s="104">
        <v>77</v>
      </c>
      <c r="G3" s="99">
        <v>43371</v>
      </c>
      <c r="H3" s="105">
        <v>1990</v>
      </c>
      <c r="I3" s="105">
        <v>0</v>
      </c>
      <c r="J3" s="104">
        <v>0</v>
      </c>
      <c r="K3" s="104">
        <v>77</v>
      </c>
      <c r="L3" s="104">
        <v>15.4</v>
      </c>
      <c r="M3" s="104">
        <v>92.4</v>
      </c>
      <c r="N3" s="104">
        <v>0.15</v>
      </c>
      <c r="O3" s="104">
        <v>78.540000000000006</v>
      </c>
    </row>
    <row r="4" spans="1:15" outlineLevel="3">
      <c r="A4" s="95">
        <v>666925</v>
      </c>
      <c r="B4" s="95" t="s">
        <v>29</v>
      </c>
      <c r="C4" s="95" t="s">
        <v>4</v>
      </c>
      <c r="D4" s="95" t="s">
        <v>43</v>
      </c>
      <c r="E4" s="105">
        <v>2000</v>
      </c>
      <c r="F4" s="104">
        <v>77</v>
      </c>
      <c r="G4" s="99">
        <v>43373</v>
      </c>
      <c r="H4" s="105">
        <v>1800</v>
      </c>
      <c r="I4" s="105">
        <v>0</v>
      </c>
      <c r="J4" s="104">
        <v>0</v>
      </c>
      <c r="K4" s="104">
        <v>77</v>
      </c>
      <c r="L4" s="104">
        <v>15.4</v>
      </c>
      <c r="M4" s="104">
        <v>92.4</v>
      </c>
      <c r="N4" s="104">
        <v>0.15</v>
      </c>
      <c r="O4" s="104">
        <v>78.540000000000006</v>
      </c>
    </row>
    <row r="5" spans="1:15" outlineLevel="3">
      <c r="A5" s="95">
        <v>822453</v>
      </c>
      <c r="B5" s="95" t="s">
        <v>30</v>
      </c>
      <c r="C5" s="95" t="s">
        <v>4</v>
      </c>
      <c r="D5" s="95" t="s">
        <v>43</v>
      </c>
      <c r="E5" s="105">
        <v>5000</v>
      </c>
      <c r="F5" s="104">
        <v>87</v>
      </c>
      <c r="G5" s="99">
        <v>43321</v>
      </c>
      <c r="H5" s="105">
        <v>5001</v>
      </c>
      <c r="I5" s="105">
        <v>1</v>
      </c>
      <c r="J5" s="104">
        <v>0.15</v>
      </c>
      <c r="K5" s="104">
        <v>87.15</v>
      </c>
      <c r="L5" s="104">
        <v>17.430000000000003</v>
      </c>
      <c r="M5" s="104">
        <v>104.58000000000001</v>
      </c>
      <c r="N5" s="104">
        <v>0.2</v>
      </c>
      <c r="O5" s="104">
        <v>83.664000000000016</v>
      </c>
    </row>
    <row r="6" spans="1:15" outlineLevel="3">
      <c r="A6" s="95">
        <v>826234</v>
      </c>
      <c r="B6" s="95" t="s">
        <v>31</v>
      </c>
      <c r="C6" s="95" t="s">
        <v>4</v>
      </c>
      <c r="D6" s="95" t="s">
        <v>43</v>
      </c>
      <c r="E6" s="105">
        <v>1000</v>
      </c>
      <c r="F6" s="104">
        <v>45.5</v>
      </c>
      <c r="G6" s="99">
        <v>43314</v>
      </c>
      <c r="H6" s="105">
        <v>920</v>
      </c>
      <c r="I6" s="105">
        <v>0</v>
      </c>
      <c r="J6" s="104">
        <v>0</v>
      </c>
      <c r="K6" s="104">
        <v>45.5</v>
      </c>
      <c r="L6" s="104">
        <v>9.1</v>
      </c>
      <c r="M6" s="104">
        <v>54.6</v>
      </c>
      <c r="N6" s="104">
        <v>0.1</v>
      </c>
      <c r="O6" s="104">
        <v>49.14</v>
      </c>
    </row>
    <row r="7" spans="1:15" ht="15" outlineLevel="2">
      <c r="A7" s="95"/>
      <c r="B7" s="95"/>
      <c r="C7" s="95"/>
      <c r="D7" s="107" t="s">
        <v>112</v>
      </c>
      <c r="E7" s="105"/>
      <c r="F7" s="104"/>
      <c r="G7" s="99"/>
      <c r="H7" s="105">
        <f>SUBTOTAL(1,H2:H6)</f>
        <v>2182.1999999999998</v>
      </c>
      <c r="I7" s="105"/>
      <c r="J7" s="104"/>
      <c r="K7" s="104"/>
      <c r="L7" s="104"/>
      <c r="M7" s="104"/>
      <c r="N7" s="104"/>
      <c r="O7" s="104"/>
    </row>
    <row r="8" spans="1:15" outlineLevel="3">
      <c r="A8" s="95">
        <v>652508</v>
      </c>
      <c r="B8" s="95" t="s">
        <v>26</v>
      </c>
      <c r="C8" s="95" t="s">
        <v>4</v>
      </c>
      <c r="D8" s="95" t="s">
        <v>44</v>
      </c>
      <c r="E8" s="105">
        <v>1000</v>
      </c>
      <c r="F8" s="104">
        <v>38.5</v>
      </c>
      <c r="G8" s="99">
        <v>43371</v>
      </c>
      <c r="H8" s="105">
        <v>750</v>
      </c>
      <c r="I8" s="105">
        <v>0</v>
      </c>
      <c r="J8" s="104">
        <v>0</v>
      </c>
      <c r="K8" s="104">
        <v>38.5</v>
      </c>
      <c r="L8" s="104">
        <v>7.7</v>
      </c>
      <c r="M8" s="104">
        <v>46.2</v>
      </c>
      <c r="N8" s="104">
        <v>0.1</v>
      </c>
      <c r="O8" s="104">
        <v>41.580000000000005</v>
      </c>
    </row>
    <row r="9" spans="1:15" ht="15" outlineLevel="2">
      <c r="A9" s="95"/>
      <c r="B9" s="95"/>
      <c r="C9" s="95"/>
      <c r="D9" s="107" t="s">
        <v>113</v>
      </c>
      <c r="E9" s="105"/>
      <c r="F9" s="104"/>
      <c r="G9" s="99"/>
      <c r="H9" s="105">
        <f>SUBTOTAL(1,H8:H8)</f>
        <v>750</v>
      </c>
      <c r="I9" s="105"/>
      <c r="J9" s="104"/>
      <c r="K9" s="104"/>
      <c r="L9" s="104"/>
      <c r="M9" s="104"/>
      <c r="N9" s="104"/>
      <c r="O9" s="104"/>
    </row>
    <row r="10" spans="1:15" ht="15" outlineLevel="1">
      <c r="A10" s="95"/>
      <c r="B10" s="95"/>
      <c r="C10" s="106" t="s">
        <v>108</v>
      </c>
      <c r="D10" s="95"/>
      <c r="E10" s="105"/>
      <c r="F10" s="104"/>
      <c r="G10" s="99"/>
      <c r="H10" s="105"/>
      <c r="I10" s="105"/>
      <c r="J10" s="104"/>
      <c r="K10" s="104"/>
      <c r="L10" s="104"/>
      <c r="M10" s="104">
        <f>SUBTOTAL(9,M2:M8)</f>
        <v>486.78000000000003</v>
      </c>
      <c r="N10" s="104"/>
      <c r="O10" s="104"/>
    </row>
    <row r="11" spans="1:15" outlineLevel="3">
      <c r="A11" s="95">
        <v>231025</v>
      </c>
      <c r="B11" s="95" t="s">
        <v>19</v>
      </c>
      <c r="C11" s="95" t="s">
        <v>5</v>
      </c>
      <c r="D11" s="95" t="s">
        <v>43</v>
      </c>
      <c r="E11" s="105">
        <v>1000</v>
      </c>
      <c r="F11" s="104">
        <v>45.5</v>
      </c>
      <c r="G11" s="99">
        <v>43313</v>
      </c>
      <c r="H11" s="105">
        <v>1080</v>
      </c>
      <c r="I11" s="105">
        <v>80</v>
      </c>
      <c r="J11" s="104">
        <v>12</v>
      </c>
      <c r="K11" s="104">
        <v>57.5</v>
      </c>
      <c r="L11" s="104">
        <v>11.5</v>
      </c>
      <c r="M11" s="104">
        <v>69</v>
      </c>
      <c r="N11" s="104">
        <v>0.1</v>
      </c>
      <c r="O11" s="104">
        <v>62.1</v>
      </c>
    </row>
    <row r="12" spans="1:15" ht="15" outlineLevel="2">
      <c r="A12" s="95"/>
      <c r="B12" s="95"/>
      <c r="C12" s="95"/>
      <c r="D12" s="107" t="s">
        <v>112</v>
      </c>
      <c r="E12" s="105"/>
      <c r="F12" s="104"/>
      <c r="G12" s="99"/>
      <c r="H12" s="105">
        <f>SUBTOTAL(1,H11:H11)</f>
        <v>1080</v>
      </c>
      <c r="I12" s="105"/>
      <c r="J12" s="104"/>
      <c r="K12" s="104"/>
      <c r="L12" s="104"/>
      <c r="M12" s="104"/>
      <c r="N12" s="104"/>
      <c r="O12" s="104"/>
    </row>
    <row r="13" spans="1:15" outlineLevel="3">
      <c r="A13" s="95">
        <v>236567</v>
      </c>
      <c r="B13" s="95" t="s">
        <v>20</v>
      </c>
      <c r="C13" s="95" t="s">
        <v>5</v>
      </c>
      <c r="D13" s="95" t="s">
        <v>44</v>
      </c>
      <c r="E13" s="105">
        <v>250</v>
      </c>
      <c r="F13" s="104">
        <v>10.199999999999999</v>
      </c>
      <c r="G13" s="99">
        <v>43372</v>
      </c>
      <c r="H13" s="105">
        <v>255</v>
      </c>
      <c r="I13" s="105">
        <v>5</v>
      </c>
      <c r="J13" s="104">
        <v>0.75</v>
      </c>
      <c r="K13" s="104">
        <v>10.95</v>
      </c>
      <c r="L13" s="104">
        <v>2.19</v>
      </c>
      <c r="M13" s="104">
        <v>13.139999999999999</v>
      </c>
      <c r="N13" s="104">
        <v>0.1</v>
      </c>
      <c r="O13" s="104">
        <v>11.825999999999999</v>
      </c>
    </row>
    <row r="14" spans="1:15" outlineLevel="3">
      <c r="A14" s="95">
        <v>660301</v>
      </c>
      <c r="B14" s="95" t="s">
        <v>27</v>
      </c>
      <c r="C14" s="95" t="s">
        <v>5</v>
      </c>
      <c r="D14" s="95" t="s">
        <v>44</v>
      </c>
      <c r="E14" s="105">
        <v>600</v>
      </c>
      <c r="F14" s="104">
        <v>25.5</v>
      </c>
      <c r="G14" s="99">
        <v>43371</v>
      </c>
      <c r="H14" s="105">
        <v>550</v>
      </c>
      <c r="I14" s="105">
        <v>0</v>
      </c>
      <c r="J14" s="104">
        <v>0</v>
      </c>
      <c r="K14" s="104">
        <v>25.5</v>
      </c>
      <c r="L14" s="104">
        <v>5.1000000000000005</v>
      </c>
      <c r="M14" s="104">
        <v>30.6</v>
      </c>
      <c r="N14" s="104">
        <v>0.1</v>
      </c>
      <c r="O14" s="104">
        <v>27.54</v>
      </c>
    </row>
    <row r="15" spans="1:15" outlineLevel="3">
      <c r="A15" s="95">
        <v>826345</v>
      </c>
      <c r="B15" s="95" t="s">
        <v>32</v>
      </c>
      <c r="C15" s="95" t="s">
        <v>5</v>
      </c>
      <c r="D15" s="95" t="s">
        <v>44</v>
      </c>
      <c r="E15" s="105">
        <v>600</v>
      </c>
      <c r="F15" s="104">
        <v>20.5</v>
      </c>
      <c r="G15" s="99">
        <v>43372</v>
      </c>
      <c r="H15" s="105">
        <v>608</v>
      </c>
      <c r="I15" s="105">
        <v>8</v>
      </c>
      <c r="J15" s="104">
        <v>1.2</v>
      </c>
      <c r="K15" s="104">
        <v>21.7</v>
      </c>
      <c r="L15" s="104">
        <v>4.34</v>
      </c>
      <c r="M15" s="104">
        <v>26.04</v>
      </c>
      <c r="N15" s="104">
        <v>0.1</v>
      </c>
      <c r="O15" s="104">
        <v>23.436</v>
      </c>
    </row>
    <row r="16" spans="1:15" outlineLevel="3">
      <c r="A16" s="95">
        <v>826678</v>
      </c>
      <c r="B16" s="95" t="s">
        <v>33</v>
      </c>
      <c r="C16" s="95" t="s">
        <v>5</v>
      </c>
      <c r="D16" s="95" t="s">
        <v>44</v>
      </c>
      <c r="E16" s="105">
        <v>250</v>
      </c>
      <c r="F16" s="104">
        <v>10.199999999999999</v>
      </c>
      <c r="G16" s="99">
        <v>43456</v>
      </c>
      <c r="H16" s="105">
        <v>290</v>
      </c>
      <c r="I16" s="105">
        <v>40</v>
      </c>
      <c r="J16" s="104">
        <v>6</v>
      </c>
      <c r="K16" s="104">
        <v>16.2</v>
      </c>
      <c r="L16" s="104">
        <v>3.24</v>
      </c>
      <c r="M16" s="104">
        <v>19.439999999999998</v>
      </c>
      <c r="N16" s="104">
        <v>0.1</v>
      </c>
      <c r="O16" s="104">
        <v>17.495999999999999</v>
      </c>
    </row>
    <row r="17" spans="1:15" outlineLevel="3">
      <c r="A17" s="95">
        <v>235568</v>
      </c>
      <c r="B17" s="95" t="s">
        <v>35</v>
      </c>
      <c r="C17" s="95" t="s">
        <v>5</v>
      </c>
      <c r="D17" s="95" t="s">
        <v>44</v>
      </c>
      <c r="E17" s="105">
        <v>1200</v>
      </c>
      <c r="F17" s="104">
        <v>30.5</v>
      </c>
      <c r="G17" s="99">
        <v>43321</v>
      </c>
      <c r="H17" s="105">
        <v>1300</v>
      </c>
      <c r="I17" s="105">
        <v>100</v>
      </c>
      <c r="J17" s="104">
        <v>15</v>
      </c>
      <c r="K17" s="104">
        <v>45.5</v>
      </c>
      <c r="L17" s="104">
        <v>9.1</v>
      </c>
      <c r="M17" s="104">
        <v>54.6</v>
      </c>
      <c r="N17" s="104">
        <v>0.1</v>
      </c>
      <c r="O17" s="104">
        <v>49.14</v>
      </c>
    </row>
    <row r="18" spans="1:15" ht="15" outlineLevel="2">
      <c r="A18" s="95"/>
      <c r="B18" s="95"/>
      <c r="C18" s="95"/>
      <c r="D18" s="107" t="s">
        <v>113</v>
      </c>
      <c r="E18" s="105"/>
      <c r="F18" s="104"/>
      <c r="G18" s="99"/>
      <c r="H18" s="105">
        <f>SUBTOTAL(1,H13:H17)</f>
        <v>600.6</v>
      </c>
      <c r="I18" s="105"/>
      <c r="J18" s="104"/>
      <c r="K18" s="104"/>
      <c r="L18" s="104"/>
      <c r="M18" s="104"/>
      <c r="N18" s="104"/>
      <c r="O18" s="104"/>
    </row>
    <row r="19" spans="1:15" outlineLevel="3">
      <c r="A19" s="95">
        <v>651701</v>
      </c>
      <c r="B19" s="95" t="s">
        <v>23</v>
      </c>
      <c r="C19" s="95" t="s">
        <v>5</v>
      </c>
      <c r="D19" s="95" t="s">
        <v>45</v>
      </c>
      <c r="E19" s="105">
        <v>2000</v>
      </c>
      <c r="F19" s="104">
        <v>90</v>
      </c>
      <c r="G19" s="99">
        <v>43368</v>
      </c>
      <c r="H19" s="105">
        <v>1800</v>
      </c>
      <c r="I19" s="105">
        <v>0</v>
      </c>
      <c r="J19" s="104">
        <v>0</v>
      </c>
      <c r="K19" s="104">
        <v>90</v>
      </c>
      <c r="L19" s="104">
        <v>18</v>
      </c>
      <c r="M19" s="104">
        <v>108</v>
      </c>
      <c r="N19" s="104">
        <v>0.2</v>
      </c>
      <c r="O19" s="104">
        <v>86.4</v>
      </c>
    </row>
    <row r="20" spans="1:15" ht="15" outlineLevel="2">
      <c r="A20" s="95"/>
      <c r="B20" s="95"/>
      <c r="C20" s="95"/>
      <c r="D20" s="107" t="s">
        <v>114</v>
      </c>
      <c r="E20" s="105"/>
      <c r="F20" s="104"/>
      <c r="G20" s="99"/>
      <c r="H20" s="105">
        <f>SUBTOTAL(1,H19:H19)</f>
        <v>1800</v>
      </c>
      <c r="I20" s="105"/>
      <c r="J20" s="104"/>
      <c r="K20" s="104"/>
      <c r="L20" s="104"/>
      <c r="M20" s="104"/>
      <c r="N20" s="104"/>
      <c r="O20" s="104"/>
    </row>
    <row r="21" spans="1:15" ht="15" outlineLevel="1">
      <c r="A21" s="95"/>
      <c r="B21" s="95"/>
      <c r="C21" s="107" t="s">
        <v>109</v>
      </c>
      <c r="D21" s="95"/>
      <c r="E21" s="105"/>
      <c r="F21" s="104"/>
      <c r="G21" s="99"/>
      <c r="H21" s="105"/>
      <c r="I21" s="105"/>
      <c r="J21" s="104"/>
      <c r="K21" s="104"/>
      <c r="L21" s="104"/>
      <c r="M21" s="104">
        <f>SUBTOTAL(9,M11:M19)</f>
        <v>320.82</v>
      </c>
      <c r="N21" s="104"/>
      <c r="O21" s="104"/>
    </row>
    <row r="22" spans="1:15" outlineLevel="3">
      <c r="A22" s="95">
        <v>652101</v>
      </c>
      <c r="B22" s="95" t="s">
        <v>24</v>
      </c>
      <c r="C22" s="95" t="s">
        <v>3</v>
      </c>
      <c r="D22" s="95" t="s">
        <v>44</v>
      </c>
      <c r="E22" s="105">
        <v>250</v>
      </c>
      <c r="F22" s="104">
        <v>10.199999999999999</v>
      </c>
      <c r="G22" s="99" t="s">
        <v>100</v>
      </c>
      <c r="H22" s="105">
        <v>240</v>
      </c>
      <c r="I22" s="105">
        <v>0</v>
      </c>
      <c r="J22" s="104">
        <v>0</v>
      </c>
      <c r="K22" s="104">
        <v>10.199999999999999</v>
      </c>
      <c r="L22" s="104">
        <v>2.04</v>
      </c>
      <c r="M22" s="104">
        <v>12.239999999999998</v>
      </c>
      <c r="N22" s="104">
        <v>0.1</v>
      </c>
      <c r="O22" s="104">
        <v>11.015999999999998</v>
      </c>
    </row>
    <row r="23" spans="1:15" outlineLevel="3">
      <c r="A23" s="95">
        <v>827011</v>
      </c>
      <c r="B23" s="95" t="s">
        <v>34</v>
      </c>
      <c r="C23" s="95" t="s">
        <v>3</v>
      </c>
      <c r="D23" s="95" t="s">
        <v>44</v>
      </c>
      <c r="E23" s="105">
        <v>1000</v>
      </c>
      <c r="F23" s="104">
        <v>43.5</v>
      </c>
      <c r="G23" s="99">
        <v>43371</v>
      </c>
      <c r="H23" s="105">
        <v>1208</v>
      </c>
      <c r="I23" s="105">
        <v>208</v>
      </c>
      <c r="J23" s="104">
        <v>31.2</v>
      </c>
      <c r="K23" s="104">
        <v>74.7</v>
      </c>
      <c r="L23" s="104">
        <v>14.940000000000001</v>
      </c>
      <c r="M23" s="104">
        <v>89.64</v>
      </c>
      <c r="N23" s="104">
        <v>0.15</v>
      </c>
      <c r="O23" s="104">
        <v>76.194000000000003</v>
      </c>
    </row>
    <row r="24" spans="1:15" ht="15" outlineLevel="2">
      <c r="A24" s="95"/>
      <c r="B24" s="95"/>
      <c r="C24" s="95"/>
      <c r="D24" s="107" t="s">
        <v>113</v>
      </c>
      <c r="E24" s="105"/>
      <c r="F24" s="104"/>
      <c r="G24" s="99"/>
      <c r="H24" s="105">
        <f>SUBTOTAL(1,H22:H23)</f>
        <v>724</v>
      </c>
      <c r="I24" s="105"/>
      <c r="J24" s="104"/>
      <c r="K24" s="104"/>
      <c r="L24" s="104"/>
      <c r="M24" s="104"/>
      <c r="N24" s="104"/>
      <c r="O24" s="104"/>
    </row>
    <row r="25" spans="1:15" ht="15" outlineLevel="1">
      <c r="A25" s="95"/>
      <c r="B25" s="95"/>
      <c r="C25" s="107" t="s">
        <v>110</v>
      </c>
      <c r="D25" s="95"/>
      <c r="E25" s="105"/>
      <c r="F25" s="104"/>
      <c r="G25" s="99"/>
      <c r="H25" s="105"/>
      <c r="I25" s="105"/>
      <c r="J25" s="104"/>
      <c r="K25" s="104"/>
      <c r="L25" s="104"/>
      <c r="M25" s="104">
        <f>SUBTOTAL(9,M22:M23)</f>
        <v>101.88</v>
      </c>
      <c r="N25" s="104"/>
      <c r="O25" s="104"/>
    </row>
    <row r="26" spans="1:15" outlineLevel="3">
      <c r="A26" s="95">
        <v>236789</v>
      </c>
      <c r="B26" s="95" t="s">
        <v>21</v>
      </c>
      <c r="C26" s="95" t="s">
        <v>2</v>
      </c>
      <c r="D26" s="95" t="s">
        <v>45</v>
      </c>
      <c r="E26" s="105">
        <v>5000</v>
      </c>
      <c r="F26" s="104">
        <v>115</v>
      </c>
      <c r="G26" s="99">
        <v>43313</v>
      </c>
      <c r="H26" s="105">
        <v>5079</v>
      </c>
      <c r="I26" s="105">
        <v>79</v>
      </c>
      <c r="J26" s="104">
        <v>11.85</v>
      </c>
      <c r="K26" s="104">
        <v>126.85</v>
      </c>
      <c r="L26" s="104">
        <v>25.37</v>
      </c>
      <c r="M26" s="104">
        <v>152.22</v>
      </c>
      <c r="N26" s="104">
        <v>0.25</v>
      </c>
      <c r="O26" s="104">
        <v>114.16499999999999</v>
      </c>
    </row>
    <row r="27" spans="1:15" outlineLevel="3">
      <c r="A27" s="95">
        <v>238543</v>
      </c>
      <c r="B27" s="95" t="s">
        <v>22</v>
      </c>
      <c r="C27" s="95" t="s">
        <v>2</v>
      </c>
      <c r="D27" s="95" t="s">
        <v>45</v>
      </c>
      <c r="E27" s="105">
        <v>5000</v>
      </c>
      <c r="F27" s="104">
        <v>112</v>
      </c>
      <c r="G27" s="99">
        <v>43314</v>
      </c>
      <c r="H27" s="105">
        <v>5200</v>
      </c>
      <c r="I27" s="105">
        <v>200</v>
      </c>
      <c r="J27" s="104">
        <v>30</v>
      </c>
      <c r="K27" s="104">
        <v>142</v>
      </c>
      <c r="L27" s="104">
        <v>28.400000000000002</v>
      </c>
      <c r="M27" s="104">
        <v>170.4</v>
      </c>
      <c r="N27" s="104">
        <v>0.25</v>
      </c>
      <c r="O27" s="104">
        <v>127.80000000000001</v>
      </c>
    </row>
    <row r="28" spans="1:15" outlineLevel="3">
      <c r="A28" s="95">
        <v>235789</v>
      </c>
      <c r="B28" s="95" t="s">
        <v>36</v>
      </c>
      <c r="C28" s="95" t="s">
        <v>2</v>
      </c>
      <c r="D28" s="95" t="s">
        <v>45</v>
      </c>
      <c r="E28" s="105">
        <v>2200</v>
      </c>
      <c r="F28" s="104">
        <v>90</v>
      </c>
      <c r="G28" s="99">
        <v>43341</v>
      </c>
      <c r="H28" s="105">
        <v>2500</v>
      </c>
      <c r="I28" s="105">
        <v>300</v>
      </c>
      <c r="J28" s="104">
        <v>45</v>
      </c>
      <c r="K28" s="104">
        <v>135</v>
      </c>
      <c r="L28" s="104">
        <v>27</v>
      </c>
      <c r="M28" s="104">
        <v>162</v>
      </c>
      <c r="N28" s="104">
        <v>0.25</v>
      </c>
      <c r="O28" s="104">
        <v>121.5</v>
      </c>
    </row>
    <row r="29" spans="1:15" outlineLevel="3">
      <c r="A29" s="95">
        <v>238285</v>
      </c>
      <c r="B29" s="95" t="s">
        <v>37</v>
      </c>
      <c r="C29" s="95" t="s">
        <v>2</v>
      </c>
      <c r="D29" s="95" t="s">
        <v>45</v>
      </c>
      <c r="E29" s="105">
        <v>1020</v>
      </c>
      <c r="F29" s="104">
        <v>90</v>
      </c>
      <c r="G29" s="99">
        <v>43313</v>
      </c>
      <c r="H29" s="105">
        <v>1150</v>
      </c>
      <c r="I29" s="105">
        <v>130</v>
      </c>
      <c r="J29" s="104">
        <v>19.5</v>
      </c>
      <c r="K29" s="104">
        <v>109.5</v>
      </c>
      <c r="L29" s="104">
        <v>21.900000000000002</v>
      </c>
      <c r="M29" s="104">
        <v>131.4</v>
      </c>
      <c r="N29" s="104">
        <v>0.2</v>
      </c>
      <c r="O29" s="104">
        <v>105.12</v>
      </c>
    </row>
    <row r="30" spans="1:15" ht="15" outlineLevel="2">
      <c r="A30" s="108"/>
      <c r="B30" s="108"/>
      <c r="C30" s="108"/>
      <c r="D30" s="112" t="s">
        <v>114</v>
      </c>
      <c r="E30" s="109"/>
      <c r="F30" s="110"/>
      <c r="G30" s="111"/>
      <c r="H30" s="109">
        <f>SUBTOTAL(1,H26:H29)</f>
        <v>3482.25</v>
      </c>
      <c r="I30" s="109"/>
      <c r="J30" s="110"/>
      <c r="K30" s="110"/>
      <c r="L30" s="110"/>
      <c r="M30" s="110"/>
      <c r="N30" s="110"/>
      <c r="O30" s="110"/>
    </row>
    <row r="31" spans="1:15" ht="15" outlineLevel="1">
      <c r="A31" s="108"/>
      <c r="B31" s="108"/>
      <c r="C31" s="112" t="s">
        <v>111</v>
      </c>
      <c r="D31" s="108"/>
      <c r="E31" s="109"/>
      <c r="F31" s="110"/>
      <c r="G31" s="111"/>
      <c r="H31" s="109"/>
      <c r="I31" s="109"/>
      <c r="J31" s="110"/>
      <c r="K31" s="110"/>
      <c r="L31" s="110"/>
      <c r="M31" s="110">
        <f>SUBTOTAL(9,M26:M29)</f>
        <v>616.02</v>
      </c>
      <c r="N31" s="110"/>
      <c r="O31" s="110"/>
    </row>
    <row r="32" spans="1:15" ht="15">
      <c r="A32" s="108"/>
      <c r="B32" s="108"/>
      <c r="C32" s="112"/>
      <c r="D32" s="112" t="s">
        <v>115</v>
      </c>
      <c r="E32" s="109"/>
      <c r="F32" s="110"/>
      <c r="G32" s="111"/>
      <c r="H32" s="109">
        <f>SUBTOTAL(1,H2:H29)</f>
        <v>1732.6842105263158</v>
      </c>
      <c r="I32" s="109"/>
      <c r="J32" s="110"/>
      <c r="K32" s="110"/>
      <c r="L32" s="110"/>
      <c r="M32" s="110"/>
      <c r="N32" s="110"/>
      <c r="O32" s="110"/>
    </row>
    <row r="33" spans="1:15" ht="15">
      <c r="A33" s="108"/>
      <c r="B33" s="108"/>
      <c r="C33" s="112" t="s">
        <v>104</v>
      </c>
      <c r="D33" s="108"/>
      <c r="E33" s="109"/>
      <c r="F33" s="110"/>
      <c r="G33" s="111"/>
      <c r="H33" s="109"/>
      <c r="I33" s="109"/>
      <c r="J33" s="110"/>
      <c r="K33" s="110"/>
      <c r="L33" s="110"/>
      <c r="M33" s="110">
        <f>SUBTOTAL(9,M2:M29)</f>
        <v>1525.5000000000002</v>
      </c>
      <c r="N33" s="110"/>
      <c r="O33" s="110"/>
    </row>
  </sheetData>
  <sortState ref="A2:O29">
    <sortCondition ref="C2:C29"/>
    <sortCondition ref="D2:D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D993-7345-40E2-B347-332D3DBEC42D}">
  <dimension ref="A1:AG47"/>
  <sheetViews>
    <sheetView tabSelected="1" workbookViewId="0">
      <selection activeCell="AB14" sqref="AB14"/>
    </sheetView>
  </sheetViews>
  <sheetFormatPr defaultRowHeight="14.25"/>
  <cols>
    <col min="1" max="1" width="10.375" customWidth="1"/>
    <col min="2" max="2" width="17.375" customWidth="1"/>
    <col min="3" max="3" width="11.375" bestFit="1" customWidth="1"/>
    <col min="4" max="4" width="10.5" bestFit="1" customWidth="1"/>
    <col min="5" max="5" width="11.625" customWidth="1"/>
    <col min="6" max="6" width="9.375" bestFit="1" customWidth="1"/>
    <col min="7" max="7" width="9.875" style="100" bestFit="1" customWidth="1"/>
    <col min="8" max="8" width="11.5" customWidth="1"/>
    <col min="9" max="9" width="12.25" bestFit="1" customWidth="1"/>
    <col min="10" max="10" width="12.625" customWidth="1"/>
    <col min="11" max="11" width="9.375" bestFit="1" customWidth="1"/>
    <col min="12" max="12" width="9.125" bestFit="1" customWidth="1"/>
    <col min="13" max="13" width="9.375" bestFit="1" customWidth="1"/>
    <col min="14" max="14" width="9.125" bestFit="1" customWidth="1"/>
    <col min="15" max="15" width="9.375" bestFit="1" customWidth="1"/>
    <col min="19" max="19" width="14.75" customWidth="1"/>
    <col min="20" max="20" width="30.25" bestFit="1" customWidth="1"/>
    <col min="21" max="21" width="11.375" bestFit="1" customWidth="1"/>
    <col min="22" max="22" width="12" customWidth="1"/>
    <col min="23" max="23" width="22" customWidth="1"/>
    <col min="24" max="24" width="9.375" bestFit="1" customWidth="1"/>
    <col min="25" max="25" width="16.875" customWidth="1"/>
    <col min="26" max="26" width="23.875" customWidth="1"/>
    <col min="27" max="27" width="14.125" customWidth="1"/>
    <col min="28" max="28" width="24.5" customWidth="1"/>
    <col min="29" max="29" width="16.5" customWidth="1"/>
    <col min="31" max="31" width="13.125" customWidth="1"/>
    <col min="32" max="32" width="10.375" customWidth="1"/>
    <col min="33" max="33" width="16.25" customWidth="1"/>
  </cols>
  <sheetData>
    <row r="1" spans="1:33" s="97" customFormat="1" ht="25.5">
      <c r="A1" s="96" t="s">
        <v>8</v>
      </c>
      <c r="B1" s="96" t="s">
        <v>38</v>
      </c>
      <c r="C1" s="96" t="s">
        <v>1</v>
      </c>
      <c r="D1" s="96" t="s">
        <v>42</v>
      </c>
      <c r="E1" s="96" t="s">
        <v>11</v>
      </c>
      <c r="F1" s="96" t="s">
        <v>9</v>
      </c>
      <c r="G1" s="98" t="s">
        <v>13</v>
      </c>
      <c r="H1" s="96" t="s">
        <v>10</v>
      </c>
      <c r="I1" s="96" t="s">
        <v>7</v>
      </c>
      <c r="J1" s="96" t="s">
        <v>17</v>
      </c>
      <c r="K1" s="96" t="s">
        <v>18</v>
      </c>
      <c r="L1" s="96" t="s">
        <v>0</v>
      </c>
      <c r="M1" s="96" t="s">
        <v>15</v>
      </c>
      <c r="N1" s="96" t="s">
        <v>102</v>
      </c>
      <c r="O1" s="96" t="s">
        <v>103</v>
      </c>
      <c r="Q1" s="113" t="s">
        <v>117</v>
      </c>
      <c r="S1" s="115" t="s">
        <v>8</v>
      </c>
      <c r="T1" s="115" t="s">
        <v>38</v>
      </c>
      <c r="U1" s="115" t="s">
        <v>1</v>
      </c>
      <c r="V1" s="115" t="s">
        <v>42</v>
      </c>
      <c r="W1" s="115" t="s">
        <v>11</v>
      </c>
      <c r="X1" s="115" t="s">
        <v>9</v>
      </c>
      <c r="Y1" s="116" t="s">
        <v>13</v>
      </c>
      <c r="Z1" s="115" t="s">
        <v>10</v>
      </c>
      <c r="AA1" s="115" t="s">
        <v>7</v>
      </c>
      <c r="AB1" s="115" t="s">
        <v>17</v>
      </c>
      <c r="AC1" s="115" t="s">
        <v>18</v>
      </c>
      <c r="AD1" s="115" t="s">
        <v>0</v>
      </c>
      <c r="AE1" s="115" t="s">
        <v>15</v>
      </c>
      <c r="AF1" s="115" t="s">
        <v>102</v>
      </c>
      <c r="AG1" s="117" t="s">
        <v>103</v>
      </c>
    </row>
    <row r="2" spans="1:33">
      <c r="A2" s="95">
        <v>231025</v>
      </c>
      <c r="B2" s="95" t="s">
        <v>19</v>
      </c>
      <c r="C2" s="95" t="s">
        <v>5</v>
      </c>
      <c r="D2" s="95" t="s">
        <v>43</v>
      </c>
      <c r="E2" s="105">
        <v>1000</v>
      </c>
      <c r="F2" s="104">
        <v>45.5</v>
      </c>
      <c r="G2" s="99">
        <v>43313</v>
      </c>
      <c r="H2" s="105">
        <v>1080</v>
      </c>
      <c r="I2" s="105">
        <v>80</v>
      </c>
      <c r="J2" s="104">
        <v>12</v>
      </c>
      <c r="K2" s="104">
        <v>57.5</v>
      </c>
      <c r="L2" s="104">
        <v>11.5</v>
      </c>
      <c r="M2" s="104">
        <v>69</v>
      </c>
      <c r="N2" s="104">
        <v>0.1</v>
      </c>
      <c r="O2" s="104">
        <v>62.1</v>
      </c>
      <c r="Q2" s="114" t="b">
        <f>AVERAGE($O$2:$O$20)&lt;O2</f>
        <v>0</v>
      </c>
      <c r="S2" s="118">
        <v>236789</v>
      </c>
      <c r="T2" s="118" t="s">
        <v>21</v>
      </c>
      <c r="U2" s="118" t="s">
        <v>2</v>
      </c>
      <c r="V2" s="118" t="s">
        <v>45</v>
      </c>
      <c r="W2" s="119">
        <v>5000</v>
      </c>
      <c r="X2" s="120">
        <v>115</v>
      </c>
      <c r="Y2" s="121">
        <v>43313</v>
      </c>
      <c r="Z2" s="119">
        <v>5079</v>
      </c>
      <c r="AA2" s="119">
        <v>79</v>
      </c>
      <c r="AB2" s="120">
        <v>11.85</v>
      </c>
      <c r="AC2" s="120">
        <v>126.85</v>
      </c>
      <c r="AD2" s="120">
        <v>25.37</v>
      </c>
      <c r="AE2" s="120">
        <v>152.22</v>
      </c>
      <c r="AF2" s="120">
        <v>0.25</v>
      </c>
      <c r="AG2" s="122">
        <v>114.16499999999999</v>
      </c>
    </row>
    <row r="3" spans="1:33">
      <c r="A3" s="95">
        <v>236567</v>
      </c>
      <c r="B3" s="95" t="s">
        <v>20</v>
      </c>
      <c r="C3" s="95" t="s">
        <v>5</v>
      </c>
      <c r="D3" s="95" t="s">
        <v>44</v>
      </c>
      <c r="E3" s="105">
        <v>250</v>
      </c>
      <c r="F3" s="104">
        <v>10.199999999999999</v>
      </c>
      <c r="G3" s="99">
        <v>43372</v>
      </c>
      <c r="H3" s="105">
        <v>255</v>
      </c>
      <c r="I3" s="105">
        <v>5</v>
      </c>
      <c r="J3" s="104">
        <v>0.75</v>
      </c>
      <c r="K3" s="104">
        <v>10.95</v>
      </c>
      <c r="L3" s="104">
        <v>2.19</v>
      </c>
      <c r="M3" s="104">
        <v>13.139999999999999</v>
      </c>
      <c r="N3" s="104">
        <v>0.1</v>
      </c>
      <c r="O3" s="104">
        <v>11.825999999999999</v>
      </c>
      <c r="Q3" s="114"/>
      <c r="S3" s="118">
        <v>238543</v>
      </c>
      <c r="T3" s="118" t="s">
        <v>22</v>
      </c>
      <c r="U3" s="118" t="s">
        <v>2</v>
      </c>
      <c r="V3" s="118" t="s">
        <v>45</v>
      </c>
      <c r="W3" s="119">
        <v>5000</v>
      </c>
      <c r="X3" s="120">
        <v>112</v>
      </c>
      <c r="Y3" s="121">
        <v>43314</v>
      </c>
      <c r="Z3" s="119">
        <v>5200</v>
      </c>
      <c r="AA3" s="119">
        <v>200</v>
      </c>
      <c r="AB3" s="120">
        <v>30</v>
      </c>
      <c r="AC3" s="120">
        <v>142</v>
      </c>
      <c r="AD3" s="120">
        <v>28.400000000000002</v>
      </c>
      <c r="AE3" s="120">
        <v>170.4</v>
      </c>
      <c r="AF3" s="120">
        <v>0.25</v>
      </c>
      <c r="AG3" s="122">
        <v>127.80000000000001</v>
      </c>
    </row>
    <row r="4" spans="1:33">
      <c r="A4" s="95">
        <v>236789</v>
      </c>
      <c r="B4" s="95" t="s">
        <v>21</v>
      </c>
      <c r="C4" s="95" t="s">
        <v>2</v>
      </c>
      <c r="D4" s="95" t="s">
        <v>45</v>
      </c>
      <c r="E4" s="105">
        <v>5000</v>
      </c>
      <c r="F4" s="104">
        <v>115</v>
      </c>
      <c r="G4" s="99">
        <v>43313</v>
      </c>
      <c r="H4" s="105">
        <v>5079</v>
      </c>
      <c r="I4" s="105">
        <v>79</v>
      </c>
      <c r="J4" s="104">
        <v>11.85</v>
      </c>
      <c r="K4" s="104">
        <v>126.85</v>
      </c>
      <c r="L4" s="104">
        <v>25.37</v>
      </c>
      <c r="M4" s="104">
        <v>152.22</v>
      </c>
      <c r="N4" s="104">
        <v>0.25</v>
      </c>
      <c r="O4" s="104">
        <v>114.16499999999999</v>
      </c>
      <c r="Q4" s="114"/>
      <c r="S4" s="118">
        <v>651701</v>
      </c>
      <c r="T4" s="118" t="s">
        <v>23</v>
      </c>
      <c r="U4" s="118" t="s">
        <v>5</v>
      </c>
      <c r="V4" s="118" t="s">
        <v>45</v>
      </c>
      <c r="W4" s="119">
        <v>2000</v>
      </c>
      <c r="X4" s="120">
        <v>90</v>
      </c>
      <c r="Y4" s="121">
        <v>43368</v>
      </c>
      <c r="Z4" s="119">
        <v>1800</v>
      </c>
      <c r="AA4" s="119">
        <v>0</v>
      </c>
      <c r="AB4" s="120">
        <v>0</v>
      </c>
      <c r="AC4" s="120">
        <v>90</v>
      </c>
      <c r="AD4" s="120">
        <v>18</v>
      </c>
      <c r="AE4" s="120">
        <v>108</v>
      </c>
      <c r="AF4" s="120">
        <v>0.2</v>
      </c>
      <c r="AG4" s="122">
        <v>86.4</v>
      </c>
    </row>
    <row r="5" spans="1:33">
      <c r="A5" s="95">
        <v>238543</v>
      </c>
      <c r="B5" s="95" t="s">
        <v>22</v>
      </c>
      <c r="C5" s="95" t="s">
        <v>2</v>
      </c>
      <c r="D5" s="95" t="s">
        <v>45</v>
      </c>
      <c r="E5" s="105">
        <v>5000</v>
      </c>
      <c r="F5" s="104">
        <v>112</v>
      </c>
      <c r="G5" s="99">
        <v>43314</v>
      </c>
      <c r="H5" s="105">
        <v>5200</v>
      </c>
      <c r="I5" s="105">
        <v>200</v>
      </c>
      <c r="J5" s="104">
        <v>30</v>
      </c>
      <c r="K5" s="104">
        <v>142</v>
      </c>
      <c r="L5" s="104">
        <v>28.400000000000002</v>
      </c>
      <c r="M5" s="104">
        <v>170.4</v>
      </c>
      <c r="N5" s="104">
        <v>0.25</v>
      </c>
      <c r="O5" s="104">
        <v>127.80000000000001</v>
      </c>
      <c r="Q5" s="114"/>
      <c r="S5" s="118">
        <v>652501</v>
      </c>
      <c r="T5" s="118" t="s">
        <v>25</v>
      </c>
      <c r="U5" s="118" t="s">
        <v>4</v>
      </c>
      <c r="V5" s="118" t="s">
        <v>43</v>
      </c>
      <c r="W5" s="119">
        <v>1000</v>
      </c>
      <c r="X5" s="120">
        <v>50.5</v>
      </c>
      <c r="Y5" s="121">
        <v>43317</v>
      </c>
      <c r="Z5" s="119">
        <v>1200</v>
      </c>
      <c r="AA5" s="119">
        <v>200</v>
      </c>
      <c r="AB5" s="120">
        <v>30</v>
      </c>
      <c r="AC5" s="120">
        <v>80.5</v>
      </c>
      <c r="AD5" s="120">
        <v>16.100000000000001</v>
      </c>
      <c r="AE5" s="120">
        <v>96.6</v>
      </c>
      <c r="AF5" s="120">
        <v>0.15</v>
      </c>
      <c r="AG5" s="122">
        <v>82.11</v>
      </c>
    </row>
    <row r="6" spans="1:33">
      <c r="A6" s="95">
        <v>651701</v>
      </c>
      <c r="B6" s="95" t="s">
        <v>23</v>
      </c>
      <c r="C6" s="95" t="s">
        <v>5</v>
      </c>
      <c r="D6" s="95" t="s">
        <v>45</v>
      </c>
      <c r="E6" s="105">
        <v>2000</v>
      </c>
      <c r="F6" s="104">
        <v>90</v>
      </c>
      <c r="G6" s="99">
        <v>43368</v>
      </c>
      <c r="H6" s="105">
        <v>1800</v>
      </c>
      <c r="I6" s="105">
        <v>0</v>
      </c>
      <c r="J6" s="104">
        <v>0</v>
      </c>
      <c r="K6" s="104">
        <v>90</v>
      </c>
      <c r="L6" s="104">
        <v>18</v>
      </c>
      <c r="M6" s="104">
        <v>108</v>
      </c>
      <c r="N6" s="104">
        <v>0.2</v>
      </c>
      <c r="O6" s="104">
        <v>86.4</v>
      </c>
      <c r="S6" s="118">
        <v>661815</v>
      </c>
      <c r="T6" s="118" t="s">
        <v>28</v>
      </c>
      <c r="U6" s="118" t="s">
        <v>4</v>
      </c>
      <c r="V6" s="118" t="s">
        <v>43</v>
      </c>
      <c r="W6" s="119">
        <v>2000</v>
      </c>
      <c r="X6" s="120">
        <v>77</v>
      </c>
      <c r="Y6" s="121">
        <v>43371</v>
      </c>
      <c r="Z6" s="119">
        <v>1990</v>
      </c>
      <c r="AA6" s="119">
        <v>0</v>
      </c>
      <c r="AB6" s="120">
        <v>0</v>
      </c>
      <c r="AC6" s="120">
        <v>77</v>
      </c>
      <c r="AD6" s="120">
        <v>15.4</v>
      </c>
      <c r="AE6" s="120">
        <v>92.4</v>
      </c>
      <c r="AF6" s="120">
        <v>0.15</v>
      </c>
      <c r="AG6" s="122">
        <v>78.540000000000006</v>
      </c>
    </row>
    <row r="7" spans="1:33">
      <c r="A7" s="95">
        <v>652101</v>
      </c>
      <c r="B7" s="95" t="s">
        <v>24</v>
      </c>
      <c r="C7" s="95" t="s">
        <v>3</v>
      </c>
      <c r="D7" s="95" t="s">
        <v>44</v>
      </c>
      <c r="E7" s="105">
        <v>250</v>
      </c>
      <c r="F7" s="104">
        <v>10.199999999999999</v>
      </c>
      <c r="G7" s="99" t="s">
        <v>100</v>
      </c>
      <c r="H7" s="105">
        <v>240</v>
      </c>
      <c r="I7" s="105">
        <v>0</v>
      </c>
      <c r="J7" s="104">
        <v>0</v>
      </c>
      <c r="K7" s="104">
        <v>10.199999999999999</v>
      </c>
      <c r="L7" s="104">
        <v>2.04</v>
      </c>
      <c r="M7" s="104">
        <v>12.239999999999998</v>
      </c>
      <c r="N7" s="104">
        <v>0.1</v>
      </c>
      <c r="O7" s="104">
        <v>11.015999999999998</v>
      </c>
      <c r="S7" s="118">
        <v>666925</v>
      </c>
      <c r="T7" s="118" t="s">
        <v>29</v>
      </c>
      <c r="U7" s="118" t="s">
        <v>4</v>
      </c>
      <c r="V7" s="118" t="s">
        <v>43</v>
      </c>
      <c r="W7" s="119">
        <v>2000</v>
      </c>
      <c r="X7" s="120">
        <v>77</v>
      </c>
      <c r="Y7" s="121">
        <v>43373</v>
      </c>
      <c r="Z7" s="119">
        <v>1800</v>
      </c>
      <c r="AA7" s="119">
        <v>0</v>
      </c>
      <c r="AB7" s="120">
        <v>0</v>
      </c>
      <c r="AC7" s="120">
        <v>77</v>
      </c>
      <c r="AD7" s="120">
        <v>15.4</v>
      </c>
      <c r="AE7" s="120">
        <v>92.4</v>
      </c>
      <c r="AF7" s="120">
        <v>0.15</v>
      </c>
      <c r="AG7" s="122">
        <v>78.540000000000006</v>
      </c>
    </row>
    <row r="8" spans="1:33">
      <c r="A8" s="95">
        <v>652501</v>
      </c>
      <c r="B8" s="95" t="s">
        <v>25</v>
      </c>
      <c r="C8" s="95" t="s">
        <v>4</v>
      </c>
      <c r="D8" s="95" t="s">
        <v>43</v>
      </c>
      <c r="E8" s="105">
        <v>1000</v>
      </c>
      <c r="F8" s="104">
        <v>50.5</v>
      </c>
      <c r="G8" s="99">
        <v>43317</v>
      </c>
      <c r="H8" s="105">
        <v>1200</v>
      </c>
      <c r="I8" s="105">
        <v>200</v>
      </c>
      <c r="J8" s="104">
        <v>30</v>
      </c>
      <c r="K8" s="104">
        <v>80.5</v>
      </c>
      <c r="L8" s="104">
        <v>16.100000000000001</v>
      </c>
      <c r="M8" s="104">
        <v>96.6</v>
      </c>
      <c r="N8" s="104">
        <v>0.15</v>
      </c>
      <c r="O8" s="104">
        <v>82.11</v>
      </c>
      <c r="S8" s="118">
        <v>822453</v>
      </c>
      <c r="T8" s="118" t="s">
        <v>30</v>
      </c>
      <c r="U8" s="118" t="s">
        <v>4</v>
      </c>
      <c r="V8" s="118" t="s">
        <v>43</v>
      </c>
      <c r="W8" s="119">
        <v>5000</v>
      </c>
      <c r="X8" s="120">
        <v>87</v>
      </c>
      <c r="Y8" s="121">
        <v>43321</v>
      </c>
      <c r="Z8" s="119">
        <v>5001</v>
      </c>
      <c r="AA8" s="119">
        <v>1</v>
      </c>
      <c r="AB8" s="120">
        <v>0.15</v>
      </c>
      <c r="AC8" s="120">
        <v>87.15</v>
      </c>
      <c r="AD8" s="120">
        <v>17.430000000000003</v>
      </c>
      <c r="AE8" s="120">
        <v>104.58000000000001</v>
      </c>
      <c r="AF8" s="120">
        <v>0.2</v>
      </c>
      <c r="AG8" s="122">
        <v>83.664000000000016</v>
      </c>
    </row>
    <row r="9" spans="1:33">
      <c r="A9" s="95">
        <v>652508</v>
      </c>
      <c r="B9" s="95" t="s">
        <v>26</v>
      </c>
      <c r="C9" s="95" t="s">
        <v>4</v>
      </c>
      <c r="D9" s="95" t="s">
        <v>44</v>
      </c>
      <c r="E9" s="105">
        <v>1000</v>
      </c>
      <c r="F9" s="104">
        <v>38.5</v>
      </c>
      <c r="G9" s="99">
        <v>43371</v>
      </c>
      <c r="H9" s="105">
        <v>750</v>
      </c>
      <c r="I9" s="105">
        <v>0</v>
      </c>
      <c r="J9" s="104">
        <v>0</v>
      </c>
      <c r="K9" s="104">
        <v>38.5</v>
      </c>
      <c r="L9" s="104">
        <v>7.7</v>
      </c>
      <c r="M9" s="104">
        <v>46.2</v>
      </c>
      <c r="N9" s="104">
        <v>0.1</v>
      </c>
      <c r="O9" s="104">
        <v>41.580000000000005</v>
      </c>
      <c r="S9" s="118">
        <v>827011</v>
      </c>
      <c r="T9" s="118" t="s">
        <v>34</v>
      </c>
      <c r="U9" s="118" t="s">
        <v>3</v>
      </c>
      <c r="V9" s="118" t="s">
        <v>44</v>
      </c>
      <c r="W9" s="119">
        <v>1000</v>
      </c>
      <c r="X9" s="120">
        <v>43.5</v>
      </c>
      <c r="Y9" s="121">
        <v>43371</v>
      </c>
      <c r="Z9" s="119">
        <v>1208</v>
      </c>
      <c r="AA9" s="119">
        <v>208</v>
      </c>
      <c r="AB9" s="120">
        <v>31.2</v>
      </c>
      <c r="AC9" s="120">
        <v>74.7</v>
      </c>
      <c r="AD9" s="120">
        <v>14.940000000000001</v>
      </c>
      <c r="AE9" s="120">
        <v>89.64</v>
      </c>
      <c r="AF9" s="120">
        <v>0.15</v>
      </c>
      <c r="AG9" s="122">
        <v>76.194000000000003</v>
      </c>
    </row>
    <row r="10" spans="1:33">
      <c r="A10" s="95">
        <v>660301</v>
      </c>
      <c r="B10" s="95" t="s">
        <v>27</v>
      </c>
      <c r="C10" s="95" t="s">
        <v>5</v>
      </c>
      <c r="D10" s="95" t="s">
        <v>44</v>
      </c>
      <c r="E10" s="105">
        <v>600</v>
      </c>
      <c r="F10" s="104">
        <v>25.5</v>
      </c>
      <c r="G10" s="99">
        <v>43371</v>
      </c>
      <c r="H10" s="105">
        <v>550</v>
      </c>
      <c r="I10" s="105">
        <v>0</v>
      </c>
      <c r="J10" s="104">
        <v>0</v>
      </c>
      <c r="K10" s="104">
        <v>25.5</v>
      </c>
      <c r="L10" s="104">
        <v>5.1000000000000005</v>
      </c>
      <c r="M10" s="104">
        <v>30.6</v>
      </c>
      <c r="N10" s="104">
        <v>0.1</v>
      </c>
      <c r="O10" s="104">
        <v>27.54</v>
      </c>
      <c r="S10" s="118">
        <v>235789</v>
      </c>
      <c r="T10" s="118" t="s">
        <v>36</v>
      </c>
      <c r="U10" s="118" t="s">
        <v>2</v>
      </c>
      <c r="V10" s="118" t="s">
        <v>45</v>
      </c>
      <c r="W10" s="119">
        <v>2200</v>
      </c>
      <c r="X10" s="120">
        <v>90</v>
      </c>
      <c r="Y10" s="121">
        <v>43341</v>
      </c>
      <c r="Z10" s="119">
        <v>2500</v>
      </c>
      <c r="AA10" s="119">
        <v>300</v>
      </c>
      <c r="AB10" s="120">
        <v>45</v>
      </c>
      <c r="AC10" s="120">
        <v>135</v>
      </c>
      <c r="AD10" s="120">
        <v>27</v>
      </c>
      <c r="AE10" s="120">
        <v>162</v>
      </c>
      <c r="AF10" s="120">
        <v>0.25</v>
      </c>
      <c r="AG10" s="122">
        <v>121.5</v>
      </c>
    </row>
    <row r="11" spans="1:33">
      <c r="A11" s="95">
        <v>661815</v>
      </c>
      <c r="B11" s="95" t="s">
        <v>28</v>
      </c>
      <c r="C11" s="95" t="s">
        <v>4</v>
      </c>
      <c r="D11" s="95" t="s">
        <v>43</v>
      </c>
      <c r="E11" s="105">
        <v>2000</v>
      </c>
      <c r="F11" s="104">
        <v>77</v>
      </c>
      <c r="G11" s="99">
        <v>43371</v>
      </c>
      <c r="H11" s="105">
        <v>1990</v>
      </c>
      <c r="I11" s="105">
        <v>0</v>
      </c>
      <c r="J11" s="104">
        <v>0</v>
      </c>
      <c r="K11" s="104">
        <v>77</v>
      </c>
      <c r="L11" s="104">
        <v>15.4</v>
      </c>
      <c r="M11" s="104">
        <v>92.4</v>
      </c>
      <c r="N11" s="104">
        <v>0.15</v>
      </c>
      <c r="O11" s="104">
        <v>78.540000000000006</v>
      </c>
      <c r="S11" s="123">
        <v>238285</v>
      </c>
      <c r="T11" s="123" t="s">
        <v>37</v>
      </c>
      <c r="U11" s="123" t="s">
        <v>2</v>
      </c>
      <c r="V11" s="123" t="s">
        <v>45</v>
      </c>
      <c r="W11" s="124">
        <v>1020</v>
      </c>
      <c r="X11" s="125">
        <v>90</v>
      </c>
      <c r="Y11" s="126">
        <v>43313</v>
      </c>
      <c r="Z11" s="124">
        <v>1150</v>
      </c>
      <c r="AA11" s="124">
        <v>130</v>
      </c>
      <c r="AB11" s="125">
        <v>19.5</v>
      </c>
      <c r="AC11" s="125">
        <v>109.5</v>
      </c>
      <c r="AD11" s="125">
        <v>21.900000000000002</v>
      </c>
      <c r="AE11" s="125">
        <v>131.4</v>
      </c>
      <c r="AF11" s="125">
        <v>0.2</v>
      </c>
      <c r="AG11" s="127">
        <v>105.12</v>
      </c>
    </row>
    <row r="12" spans="1:33">
      <c r="A12" s="95">
        <v>666925</v>
      </c>
      <c r="B12" s="95" t="s">
        <v>29</v>
      </c>
      <c r="C12" s="95" t="s">
        <v>4</v>
      </c>
      <c r="D12" s="95" t="s">
        <v>43</v>
      </c>
      <c r="E12" s="105">
        <v>2000</v>
      </c>
      <c r="F12" s="104">
        <v>77</v>
      </c>
      <c r="G12" s="99">
        <v>43373</v>
      </c>
      <c r="H12" s="105">
        <v>1800</v>
      </c>
      <c r="I12" s="105">
        <v>0</v>
      </c>
      <c r="J12" s="104">
        <v>0</v>
      </c>
      <c r="K12" s="104">
        <v>77</v>
      </c>
      <c r="L12" s="104">
        <v>15.4</v>
      </c>
      <c r="M12" s="104">
        <v>92.4</v>
      </c>
      <c r="N12" s="104">
        <v>0.15</v>
      </c>
      <c r="O12" s="104">
        <v>78.540000000000006</v>
      </c>
    </row>
    <row r="13" spans="1:33">
      <c r="A13" s="95">
        <v>822453</v>
      </c>
      <c r="B13" s="95" t="s">
        <v>30</v>
      </c>
      <c r="C13" s="95" t="s">
        <v>4</v>
      </c>
      <c r="D13" s="95" t="s">
        <v>43</v>
      </c>
      <c r="E13" s="105">
        <v>5000</v>
      </c>
      <c r="F13" s="104">
        <v>87</v>
      </c>
      <c r="G13" s="99">
        <v>43321</v>
      </c>
      <c r="H13" s="105">
        <v>5001</v>
      </c>
      <c r="I13" s="105">
        <v>1</v>
      </c>
      <c r="J13" s="104">
        <v>0.15</v>
      </c>
      <c r="K13" s="104">
        <v>87.15</v>
      </c>
      <c r="L13" s="104">
        <v>17.430000000000003</v>
      </c>
      <c r="M13" s="104">
        <v>104.58000000000001</v>
      </c>
      <c r="N13" s="104">
        <v>0.2</v>
      </c>
      <c r="O13" s="104">
        <v>83.664000000000016</v>
      </c>
    </row>
    <row r="14" spans="1:33">
      <c r="A14" s="95">
        <v>826234</v>
      </c>
      <c r="B14" s="95" t="s">
        <v>31</v>
      </c>
      <c r="C14" s="95" t="s">
        <v>4</v>
      </c>
      <c r="D14" s="95" t="s">
        <v>43</v>
      </c>
      <c r="E14" s="105">
        <v>1000</v>
      </c>
      <c r="F14" s="104">
        <v>45.5</v>
      </c>
      <c r="G14" s="99">
        <v>43314</v>
      </c>
      <c r="H14" s="105">
        <v>920</v>
      </c>
      <c r="I14" s="105">
        <v>0</v>
      </c>
      <c r="J14" s="104">
        <v>0</v>
      </c>
      <c r="K14" s="104">
        <v>45.5</v>
      </c>
      <c r="L14" s="104">
        <v>9.1</v>
      </c>
      <c r="M14" s="104">
        <v>54.6</v>
      </c>
      <c r="N14" s="104">
        <v>0.1</v>
      </c>
      <c r="O14" s="104">
        <v>49.14</v>
      </c>
    </row>
    <row r="15" spans="1:33">
      <c r="A15" s="95">
        <v>826345</v>
      </c>
      <c r="B15" s="95" t="s">
        <v>32</v>
      </c>
      <c r="C15" s="95" t="s">
        <v>5</v>
      </c>
      <c r="D15" s="95" t="s">
        <v>44</v>
      </c>
      <c r="E15" s="105">
        <v>600</v>
      </c>
      <c r="F15" s="104">
        <v>20.5</v>
      </c>
      <c r="G15" s="99">
        <v>43372</v>
      </c>
      <c r="H15" s="105">
        <v>608</v>
      </c>
      <c r="I15" s="105">
        <v>8</v>
      </c>
      <c r="J15" s="104">
        <v>1.2</v>
      </c>
      <c r="K15" s="104">
        <v>21.7</v>
      </c>
      <c r="L15" s="104">
        <v>4.34</v>
      </c>
      <c r="M15" s="104">
        <v>26.04</v>
      </c>
      <c r="N15" s="104">
        <v>0.1</v>
      </c>
      <c r="O15" s="104">
        <v>23.436</v>
      </c>
    </row>
    <row r="16" spans="1:33">
      <c r="A16" s="95">
        <v>826678</v>
      </c>
      <c r="B16" s="95" t="s">
        <v>33</v>
      </c>
      <c r="C16" s="95" t="s">
        <v>5</v>
      </c>
      <c r="D16" s="95" t="s">
        <v>44</v>
      </c>
      <c r="E16" s="105">
        <v>250</v>
      </c>
      <c r="F16" s="104">
        <v>10.199999999999999</v>
      </c>
      <c r="G16" s="99">
        <v>43456</v>
      </c>
      <c r="H16" s="105">
        <v>290</v>
      </c>
      <c r="I16" s="105">
        <v>40</v>
      </c>
      <c r="J16" s="104">
        <v>6</v>
      </c>
      <c r="K16" s="104">
        <v>16.2</v>
      </c>
      <c r="L16" s="104">
        <v>3.24</v>
      </c>
      <c r="M16" s="104">
        <v>19.439999999999998</v>
      </c>
      <c r="N16" s="104">
        <v>0.1</v>
      </c>
      <c r="O16" s="104">
        <v>17.495999999999999</v>
      </c>
    </row>
    <row r="17" spans="1:15">
      <c r="A17" s="95">
        <v>827011</v>
      </c>
      <c r="B17" s="95" t="s">
        <v>34</v>
      </c>
      <c r="C17" s="95" t="s">
        <v>3</v>
      </c>
      <c r="D17" s="95" t="s">
        <v>44</v>
      </c>
      <c r="E17" s="105">
        <v>1000</v>
      </c>
      <c r="F17" s="104">
        <v>43.5</v>
      </c>
      <c r="G17" s="99">
        <v>43371</v>
      </c>
      <c r="H17" s="105">
        <v>1208</v>
      </c>
      <c r="I17" s="105">
        <v>208</v>
      </c>
      <c r="J17" s="104">
        <v>31.2</v>
      </c>
      <c r="K17" s="104">
        <v>74.7</v>
      </c>
      <c r="L17" s="104">
        <v>14.940000000000001</v>
      </c>
      <c r="M17" s="104">
        <v>89.64</v>
      </c>
      <c r="N17" s="104">
        <v>0.15</v>
      </c>
      <c r="O17" s="104">
        <v>76.194000000000003</v>
      </c>
    </row>
    <row r="18" spans="1:15">
      <c r="A18" s="95">
        <v>235568</v>
      </c>
      <c r="B18" s="95" t="s">
        <v>35</v>
      </c>
      <c r="C18" s="95" t="s">
        <v>5</v>
      </c>
      <c r="D18" s="95" t="s">
        <v>44</v>
      </c>
      <c r="E18" s="105">
        <v>1200</v>
      </c>
      <c r="F18" s="104">
        <v>30.5</v>
      </c>
      <c r="G18" s="99">
        <v>43321</v>
      </c>
      <c r="H18" s="105">
        <v>1300</v>
      </c>
      <c r="I18" s="105">
        <v>100</v>
      </c>
      <c r="J18" s="104">
        <v>15</v>
      </c>
      <c r="K18" s="104">
        <v>45.5</v>
      </c>
      <c r="L18" s="104">
        <v>9.1</v>
      </c>
      <c r="M18" s="104">
        <v>54.6</v>
      </c>
      <c r="N18" s="104">
        <v>0.1</v>
      </c>
      <c r="O18" s="104">
        <v>49.14</v>
      </c>
    </row>
    <row r="19" spans="1:15">
      <c r="A19" s="95">
        <v>235789</v>
      </c>
      <c r="B19" s="95" t="s">
        <v>36</v>
      </c>
      <c r="C19" s="95" t="s">
        <v>2</v>
      </c>
      <c r="D19" s="95" t="s">
        <v>45</v>
      </c>
      <c r="E19" s="105">
        <v>2200</v>
      </c>
      <c r="F19" s="104">
        <v>90</v>
      </c>
      <c r="G19" s="99">
        <v>43341</v>
      </c>
      <c r="H19" s="105">
        <v>2500</v>
      </c>
      <c r="I19" s="105">
        <v>300</v>
      </c>
      <c r="J19" s="104">
        <v>45</v>
      </c>
      <c r="K19" s="104">
        <v>135</v>
      </c>
      <c r="L19" s="104">
        <v>27</v>
      </c>
      <c r="M19" s="104">
        <v>162</v>
      </c>
      <c r="N19" s="104">
        <v>0.25</v>
      </c>
      <c r="O19" s="104">
        <v>121.5</v>
      </c>
    </row>
    <row r="20" spans="1:15">
      <c r="A20" s="95">
        <v>238285</v>
      </c>
      <c r="B20" s="95" t="s">
        <v>37</v>
      </c>
      <c r="C20" s="95" t="s">
        <v>2</v>
      </c>
      <c r="D20" s="95" t="s">
        <v>45</v>
      </c>
      <c r="E20" s="105">
        <v>1020</v>
      </c>
      <c r="F20" s="104">
        <v>90</v>
      </c>
      <c r="G20" s="99">
        <v>43313</v>
      </c>
      <c r="H20" s="105">
        <v>1150</v>
      </c>
      <c r="I20" s="105">
        <v>130</v>
      </c>
      <c r="J20" s="104">
        <v>19.5</v>
      </c>
      <c r="K20" s="104">
        <v>109.5</v>
      </c>
      <c r="L20" s="104">
        <v>21.900000000000002</v>
      </c>
      <c r="M20" s="104">
        <v>131.4</v>
      </c>
      <c r="N20" s="104">
        <v>0.2</v>
      </c>
      <c r="O20" s="104">
        <v>105.12</v>
      </c>
    </row>
    <row r="24" spans="1:15" ht="25.5">
      <c r="A24" s="96" t="s">
        <v>8</v>
      </c>
      <c r="B24" s="96" t="s">
        <v>38</v>
      </c>
      <c r="C24" s="96" t="s">
        <v>1</v>
      </c>
      <c r="D24" s="96" t="s">
        <v>42</v>
      </c>
      <c r="E24" s="96" t="s">
        <v>11</v>
      </c>
      <c r="F24" s="96" t="s">
        <v>9</v>
      </c>
      <c r="G24" s="98" t="s">
        <v>13</v>
      </c>
      <c r="H24" s="96" t="s">
        <v>10</v>
      </c>
      <c r="I24" s="96" t="s">
        <v>7</v>
      </c>
      <c r="J24" s="96" t="s">
        <v>17</v>
      </c>
      <c r="K24" s="96" t="s">
        <v>18</v>
      </c>
      <c r="L24" s="96" t="s">
        <v>0</v>
      </c>
      <c r="M24" s="96" t="s">
        <v>15</v>
      </c>
      <c r="N24" s="96" t="s">
        <v>102</v>
      </c>
      <c r="O24" s="96" t="s">
        <v>103</v>
      </c>
    </row>
    <row r="25" spans="1:15">
      <c r="D25" s="95" t="s">
        <v>44</v>
      </c>
    </row>
    <row r="26" spans="1:15">
      <c r="I26" t="s">
        <v>116</v>
      </c>
    </row>
    <row r="31" spans="1:15" ht="25.5">
      <c r="A31" s="96" t="s">
        <v>8</v>
      </c>
      <c r="B31" s="96" t="s">
        <v>38</v>
      </c>
      <c r="C31" s="96" t="s">
        <v>1</v>
      </c>
      <c r="D31" s="96" t="s">
        <v>42</v>
      </c>
      <c r="E31" s="96" t="s">
        <v>11</v>
      </c>
      <c r="F31" s="96" t="s">
        <v>9</v>
      </c>
      <c r="G31" s="98" t="s">
        <v>13</v>
      </c>
      <c r="H31" s="96" t="s">
        <v>10</v>
      </c>
      <c r="I31" s="96" t="s">
        <v>7</v>
      </c>
      <c r="J31" s="96" t="s">
        <v>17</v>
      </c>
      <c r="K31" s="96" t="s">
        <v>18</v>
      </c>
      <c r="L31" s="96" t="s">
        <v>0</v>
      </c>
      <c r="M31" s="96" t="s">
        <v>15</v>
      </c>
      <c r="N31" s="96" t="s">
        <v>102</v>
      </c>
      <c r="O31" s="96" t="s">
        <v>103</v>
      </c>
    </row>
    <row r="32" spans="1:15">
      <c r="A32" s="95">
        <v>827011</v>
      </c>
      <c r="B32" s="95" t="s">
        <v>34</v>
      </c>
      <c r="C32" s="95" t="s">
        <v>3</v>
      </c>
      <c r="D32" s="95" t="s">
        <v>44</v>
      </c>
      <c r="E32" s="105">
        <v>1000</v>
      </c>
      <c r="F32" s="104">
        <v>43.5</v>
      </c>
      <c r="G32" s="99">
        <v>43371</v>
      </c>
      <c r="H32" s="105">
        <v>1208</v>
      </c>
      <c r="I32" s="105">
        <v>208</v>
      </c>
      <c r="J32" s="104">
        <v>31.2</v>
      </c>
      <c r="K32" s="104">
        <v>74.7</v>
      </c>
      <c r="L32" s="104">
        <v>14.940000000000001</v>
      </c>
      <c r="M32" s="104">
        <v>89.64</v>
      </c>
      <c r="N32" s="104">
        <v>0.15</v>
      </c>
      <c r="O32" s="104">
        <v>76.194000000000003</v>
      </c>
    </row>
    <row r="35" spans="1:15" ht="25.5">
      <c r="A35" s="96" t="s">
        <v>8</v>
      </c>
      <c r="B35" s="96" t="s">
        <v>38</v>
      </c>
      <c r="C35" s="96" t="s">
        <v>1</v>
      </c>
      <c r="D35" s="96" t="s">
        <v>42</v>
      </c>
      <c r="E35" s="96" t="s">
        <v>11</v>
      </c>
      <c r="F35" s="96" t="s">
        <v>9</v>
      </c>
      <c r="G35" s="98" t="s">
        <v>13</v>
      </c>
      <c r="H35" s="96" t="s">
        <v>10</v>
      </c>
      <c r="I35" s="96" t="s">
        <v>7</v>
      </c>
      <c r="J35" s="96" t="s">
        <v>17</v>
      </c>
      <c r="K35" s="96" t="s">
        <v>18</v>
      </c>
      <c r="L35" s="96" t="s">
        <v>0</v>
      </c>
      <c r="M35" s="96" t="s">
        <v>15</v>
      </c>
      <c r="N35" s="96" t="s">
        <v>102</v>
      </c>
      <c r="O35" s="96" t="s">
        <v>103</v>
      </c>
    </row>
    <row r="36" spans="1:15">
      <c r="A36" s="95">
        <v>236567</v>
      </c>
      <c r="B36" s="95" t="s">
        <v>20</v>
      </c>
      <c r="C36" s="95" t="s">
        <v>5</v>
      </c>
      <c r="D36" s="95" t="s">
        <v>44</v>
      </c>
      <c r="E36" s="105">
        <v>250</v>
      </c>
      <c r="F36" s="104">
        <v>10.199999999999999</v>
      </c>
      <c r="G36" s="99">
        <v>43372</v>
      </c>
      <c r="H36" s="105">
        <v>255</v>
      </c>
      <c r="I36" s="105">
        <v>5</v>
      </c>
      <c r="J36" s="104">
        <v>0.75</v>
      </c>
      <c r="K36" s="104">
        <v>10.95</v>
      </c>
      <c r="L36" s="104">
        <v>2.19</v>
      </c>
      <c r="M36" s="104">
        <v>13.139999999999999</v>
      </c>
      <c r="N36" s="104">
        <v>0.1</v>
      </c>
      <c r="O36" s="104">
        <v>11.825999999999999</v>
      </c>
    </row>
    <row r="37" spans="1:15">
      <c r="A37" s="95">
        <v>238543</v>
      </c>
      <c r="B37" s="95" t="s">
        <v>22</v>
      </c>
      <c r="C37" s="95" t="s">
        <v>2</v>
      </c>
      <c r="D37" s="95" t="s">
        <v>45</v>
      </c>
      <c r="E37" s="105">
        <v>5000</v>
      </c>
      <c r="F37" s="104">
        <v>112</v>
      </c>
      <c r="G37" s="99">
        <v>43314</v>
      </c>
      <c r="H37" s="105">
        <v>5200</v>
      </c>
      <c r="I37" s="105">
        <v>200</v>
      </c>
      <c r="J37" s="104">
        <v>30</v>
      </c>
      <c r="K37" s="104">
        <v>142</v>
      </c>
      <c r="L37" s="104">
        <v>28.400000000000002</v>
      </c>
      <c r="M37" s="104">
        <v>170.4</v>
      </c>
      <c r="N37" s="104">
        <v>0.25</v>
      </c>
      <c r="O37" s="104">
        <v>127.80000000000001</v>
      </c>
    </row>
    <row r="38" spans="1:15">
      <c r="A38" s="95">
        <v>652101</v>
      </c>
      <c r="B38" s="95" t="s">
        <v>24</v>
      </c>
      <c r="C38" s="95" t="s">
        <v>3</v>
      </c>
      <c r="D38" s="95" t="s">
        <v>44</v>
      </c>
      <c r="E38" s="105">
        <v>250</v>
      </c>
      <c r="F38" s="104">
        <v>10.199999999999999</v>
      </c>
      <c r="G38" s="99" t="s">
        <v>100</v>
      </c>
      <c r="H38" s="105">
        <v>240</v>
      </c>
      <c r="I38" s="105">
        <v>0</v>
      </c>
      <c r="J38" s="104">
        <v>0</v>
      </c>
      <c r="K38" s="104">
        <v>10.199999999999999</v>
      </c>
      <c r="L38" s="104">
        <v>2.04</v>
      </c>
      <c r="M38" s="104">
        <v>12.239999999999998</v>
      </c>
      <c r="N38" s="104">
        <v>0.1</v>
      </c>
      <c r="O38" s="104">
        <v>11.015999999999998</v>
      </c>
    </row>
    <row r="39" spans="1:15">
      <c r="A39" s="95">
        <v>652501</v>
      </c>
      <c r="B39" s="95" t="s">
        <v>25</v>
      </c>
      <c r="C39" s="95" t="s">
        <v>4</v>
      </c>
      <c r="D39" s="95" t="s">
        <v>43</v>
      </c>
      <c r="E39" s="105">
        <v>1000</v>
      </c>
      <c r="F39" s="104">
        <v>50.5</v>
      </c>
      <c r="G39" s="99">
        <v>43317</v>
      </c>
      <c r="H39" s="105">
        <v>1200</v>
      </c>
      <c r="I39" s="105">
        <v>200</v>
      </c>
      <c r="J39" s="104">
        <v>30</v>
      </c>
      <c r="K39" s="104">
        <v>80.5</v>
      </c>
      <c r="L39" s="104">
        <v>16.100000000000001</v>
      </c>
      <c r="M39" s="104">
        <v>96.6</v>
      </c>
      <c r="N39" s="104">
        <v>0.15</v>
      </c>
      <c r="O39" s="104">
        <v>82.11</v>
      </c>
    </row>
    <row r="40" spans="1:15">
      <c r="A40" s="95">
        <v>652508</v>
      </c>
      <c r="B40" s="95" t="s">
        <v>26</v>
      </c>
      <c r="C40" s="95" t="s">
        <v>4</v>
      </c>
      <c r="D40" s="95" t="s">
        <v>44</v>
      </c>
      <c r="E40" s="105">
        <v>1000</v>
      </c>
      <c r="F40" s="104">
        <v>38.5</v>
      </c>
      <c r="G40" s="99">
        <v>43371</v>
      </c>
      <c r="H40" s="105">
        <v>750</v>
      </c>
      <c r="I40" s="105">
        <v>0</v>
      </c>
      <c r="J40" s="104">
        <v>0</v>
      </c>
      <c r="K40" s="104">
        <v>38.5</v>
      </c>
      <c r="L40" s="104">
        <v>7.7</v>
      </c>
      <c r="M40" s="104">
        <v>46.2</v>
      </c>
      <c r="N40" s="104">
        <v>0.1</v>
      </c>
      <c r="O40" s="104">
        <v>41.580000000000005</v>
      </c>
    </row>
    <row r="41" spans="1:15">
      <c r="A41" s="95">
        <v>660301</v>
      </c>
      <c r="B41" s="95" t="s">
        <v>27</v>
      </c>
      <c r="C41" s="95" t="s">
        <v>5</v>
      </c>
      <c r="D41" s="95" t="s">
        <v>44</v>
      </c>
      <c r="E41" s="105">
        <v>600</v>
      </c>
      <c r="F41" s="104">
        <v>25.5</v>
      </c>
      <c r="G41" s="99">
        <v>43371</v>
      </c>
      <c r="H41" s="105">
        <v>550</v>
      </c>
      <c r="I41" s="105">
        <v>0</v>
      </c>
      <c r="J41" s="104">
        <v>0</v>
      </c>
      <c r="K41" s="104">
        <v>25.5</v>
      </c>
      <c r="L41" s="104">
        <v>5.1000000000000005</v>
      </c>
      <c r="M41" s="104">
        <v>30.6</v>
      </c>
      <c r="N41" s="104">
        <v>0.1</v>
      </c>
      <c r="O41" s="104">
        <v>27.54</v>
      </c>
    </row>
    <row r="42" spans="1:15">
      <c r="A42" s="95">
        <v>826345</v>
      </c>
      <c r="B42" s="95" t="s">
        <v>32</v>
      </c>
      <c r="C42" s="95" t="s">
        <v>5</v>
      </c>
      <c r="D42" s="95" t="s">
        <v>44</v>
      </c>
      <c r="E42" s="105">
        <v>600</v>
      </c>
      <c r="F42" s="104">
        <v>20.5</v>
      </c>
      <c r="G42" s="99">
        <v>43372</v>
      </c>
      <c r="H42" s="105">
        <v>608</v>
      </c>
      <c r="I42" s="105">
        <v>8</v>
      </c>
      <c r="J42" s="104">
        <v>1.2</v>
      </c>
      <c r="K42" s="104">
        <v>21.7</v>
      </c>
      <c r="L42" s="104">
        <v>4.34</v>
      </c>
      <c r="M42" s="104">
        <v>26.04</v>
      </c>
      <c r="N42" s="104">
        <v>0.1</v>
      </c>
      <c r="O42" s="104">
        <v>23.436</v>
      </c>
    </row>
    <row r="43" spans="1:15">
      <c r="A43" s="95">
        <v>826678</v>
      </c>
      <c r="B43" s="95" t="s">
        <v>33</v>
      </c>
      <c r="C43" s="95" t="s">
        <v>5</v>
      </c>
      <c r="D43" s="95" t="s">
        <v>44</v>
      </c>
      <c r="E43" s="105">
        <v>250</v>
      </c>
      <c r="F43" s="104">
        <v>10.199999999999999</v>
      </c>
      <c r="G43" s="99">
        <v>43456</v>
      </c>
      <c r="H43" s="105">
        <v>290</v>
      </c>
      <c r="I43" s="105">
        <v>40</v>
      </c>
      <c r="J43" s="104">
        <v>6</v>
      </c>
      <c r="K43" s="104">
        <v>16.2</v>
      </c>
      <c r="L43" s="104">
        <v>3.24</v>
      </c>
      <c r="M43" s="104">
        <v>19.439999999999998</v>
      </c>
      <c r="N43" s="104">
        <v>0.1</v>
      </c>
      <c r="O43" s="104">
        <v>17.495999999999999</v>
      </c>
    </row>
    <row r="44" spans="1:15">
      <c r="A44" s="95">
        <v>827011</v>
      </c>
      <c r="B44" s="95" t="s">
        <v>34</v>
      </c>
      <c r="C44" s="95" t="s">
        <v>3</v>
      </c>
      <c r="D44" s="95" t="s">
        <v>44</v>
      </c>
      <c r="E44" s="105">
        <v>1000</v>
      </c>
      <c r="F44" s="104">
        <v>43.5</v>
      </c>
      <c r="G44" s="99">
        <v>43371</v>
      </c>
      <c r="H44" s="105">
        <v>1208</v>
      </c>
      <c r="I44" s="105">
        <v>208</v>
      </c>
      <c r="J44" s="104">
        <v>31.2</v>
      </c>
      <c r="K44" s="104">
        <v>74.7</v>
      </c>
      <c r="L44" s="104">
        <v>14.940000000000001</v>
      </c>
      <c r="M44" s="104">
        <v>89.64</v>
      </c>
      <c r="N44" s="104">
        <v>0.15</v>
      </c>
      <c r="O44" s="104">
        <v>76.194000000000003</v>
      </c>
    </row>
    <row r="45" spans="1:15">
      <c r="A45" s="95">
        <v>235568</v>
      </c>
      <c r="B45" s="95" t="s">
        <v>35</v>
      </c>
      <c r="C45" s="95" t="s">
        <v>5</v>
      </c>
      <c r="D45" s="95" t="s">
        <v>44</v>
      </c>
      <c r="E45" s="105">
        <v>1200</v>
      </c>
      <c r="F45" s="104">
        <v>30.5</v>
      </c>
      <c r="G45" s="99">
        <v>43321</v>
      </c>
      <c r="H45" s="105">
        <v>1300</v>
      </c>
      <c r="I45" s="105">
        <v>100</v>
      </c>
      <c r="J45" s="104">
        <v>15</v>
      </c>
      <c r="K45" s="104">
        <v>45.5</v>
      </c>
      <c r="L45" s="104">
        <v>9.1</v>
      </c>
      <c r="M45" s="104">
        <v>54.6</v>
      </c>
      <c r="N45" s="104">
        <v>0.1</v>
      </c>
      <c r="O45" s="104">
        <v>49.14</v>
      </c>
    </row>
    <row r="46" spans="1:15">
      <c r="A46" s="95">
        <v>235789</v>
      </c>
      <c r="B46" s="95" t="s">
        <v>36</v>
      </c>
      <c r="C46" s="95" t="s">
        <v>2</v>
      </c>
      <c r="D46" s="95" t="s">
        <v>45</v>
      </c>
      <c r="E46" s="105">
        <v>2200</v>
      </c>
      <c r="F46" s="104">
        <v>90</v>
      </c>
      <c r="G46" s="99">
        <v>43341</v>
      </c>
      <c r="H46" s="105">
        <v>2500</v>
      </c>
      <c r="I46" s="105">
        <v>300</v>
      </c>
      <c r="J46" s="104">
        <v>45</v>
      </c>
      <c r="K46" s="104">
        <v>135</v>
      </c>
      <c r="L46" s="104">
        <v>27</v>
      </c>
      <c r="M46" s="104">
        <v>162</v>
      </c>
      <c r="N46" s="104">
        <v>0.25</v>
      </c>
      <c r="O46" s="104">
        <v>121.5</v>
      </c>
    </row>
    <row r="47" spans="1:15">
      <c r="A47" s="95">
        <v>238285</v>
      </c>
      <c r="B47" s="95" t="s">
        <v>37</v>
      </c>
      <c r="C47" s="95" t="s">
        <v>2</v>
      </c>
      <c r="D47" s="95" t="s">
        <v>45</v>
      </c>
      <c r="E47" s="105">
        <v>1020</v>
      </c>
      <c r="F47" s="104">
        <v>90</v>
      </c>
      <c r="G47" s="99">
        <v>43313</v>
      </c>
      <c r="H47" s="105">
        <v>1150</v>
      </c>
      <c r="I47" s="105">
        <v>130</v>
      </c>
      <c r="J47" s="104">
        <v>19.5</v>
      </c>
      <c r="K47" s="104">
        <v>109.5</v>
      </c>
      <c r="L47" s="104">
        <v>21.900000000000002</v>
      </c>
      <c r="M47" s="104">
        <v>131.4</v>
      </c>
      <c r="N47" s="104">
        <v>0.2</v>
      </c>
      <c r="O47" s="104">
        <v>105.12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945E-6F0D-4873-832B-AE8995E38547}">
  <dimension ref="A1:C8"/>
  <sheetViews>
    <sheetView workbookViewId="0">
      <selection activeCell="B12" sqref="B12"/>
    </sheetView>
  </sheetViews>
  <sheetFormatPr defaultRowHeight="14.25"/>
  <cols>
    <col min="1" max="1" width="13.125" bestFit="1" customWidth="1"/>
    <col min="2" max="2" width="19" bestFit="1" customWidth="1"/>
    <col min="3" max="3" width="20.625" customWidth="1"/>
    <col min="4" max="4" width="20.5" bestFit="1" customWidth="1"/>
  </cols>
  <sheetData>
    <row r="1" spans="1:3">
      <c r="A1" s="91" t="s">
        <v>42</v>
      </c>
      <c r="B1" t="s">
        <v>105</v>
      </c>
    </row>
    <row r="3" spans="1:3" ht="28.5">
      <c r="A3" s="101" t="s">
        <v>1</v>
      </c>
      <c r="B3" s="102" t="s">
        <v>106</v>
      </c>
      <c r="C3" s="103" t="s">
        <v>107</v>
      </c>
    </row>
    <row r="4" spans="1:3">
      <c r="A4" s="92" t="s">
        <v>4</v>
      </c>
      <c r="B4" s="93">
        <v>46.2</v>
      </c>
      <c r="C4" s="94">
        <v>750</v>
      </c>
    </row>
    <row r="5" spans="1:3">
      <c r="A5" s="92" t="s">
        <v>5</v>
      </c>
      <c r="B5" s="93">
        <v>251.82</v>
      </c>
      <c r="C5" s="94">
        <v>800.5</v>
      </c>
    </row>
    <row r="6" spans="1:3">
      <c r="A6" s="92" t="s">
        <v>3</v>
      </c>
      <c r="B6" s="93">
        <v>101.88</v>
      </c>
      <c r="C6" s="94">
        <v>724</v>
      </c>
    </row>
    <row r="7" spans="1:3">
      <c r="A7" s="92" t="s">
        <v>2</v>
      </c>
      <c r="B7" s="93">
        <v>616.02</v>
      </c>
      <c r="C7" s="94">
        <v>3482.25</v>
      </c>
    </row>
    <row r="8" spans="1:3">
      <c r="A8" s="92" t="s">
        <v>104</v>
      </c>
      <c r="B8" s="93">
        <v>1015.9200000000001</v>
      </c>
      <c r="C8" s="94">
        <v>1610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2"/>
  <sheetViews>
    <sheetView topLeftCell="A2" workbookViewId="0">
      <selection activeCell="F4" sqref="F4:F22"/>
    </sheetView>
  </sheetViews>
  <sheetFormatPr defaultColWidth="8" defaultRowHeight="12"/>
  <cols>
    <col min="1" max="1" width="8" style="2"/>
    <col min="2" max="2" width="7.375" style="2" bestFit="1" customWidth="1"/>
    <col min="3" max="3" width="11.625" style="2" customWidth="1"/>
    <col min="4" max="6" width="12.25" style="2" customWidth="1"/>
    <col min="7" max="7" width="10" style="2" customWidth="1"/>
    <col min="8" max="8" width="8.875" style="2" bestFit="1" customWidth="1"/>
    <col min="9" max="10" width="8" style="2"/>
    <col min="11" max="11" width="10" style="2" bestFit="1" customWidth="1"/>
    <col min="12" max="16384" width="8" style="2"/>
  </cols>
  <sheetData>
    <row r="1" spans="1:59" s="32" customFormat="1">
      <c r="A1" s="38"/>
      <c r="B1" s="29" t="s">
        <v>12</v>
      </c>
      <c r="C1" s="29"/>
      <c r="D1" s="29"/>
      <c r="E1" s="29"/>
      <c r="F1" s="29"/>
      <c r="G1" s="29"/>
      <c r="H1" s="30"/>
      <c r="I1" s="30"/>
      <c r="J1" s="30"/>
      <c r="K1" s="30"/>
      <c r="L1" s="29"/>
      <c r="M1" s="31"/>
    </row>
    <row r="2" spans="1:59" s="32" customFormat="1">
      <c r="A2" s="27"/>
      <c r="B2" s="28"/>
      <c r="C2" s="28"/>
      <c r="D2" s="28"/>
      <c r="E2" s="28"/>
      <c r="F2" s="28"/>
      <c r="G2" s="29"/>
      <c r="H2" s="30"/>
      <c r="I2" s="30"/>
      <c r="J2" s="30"/>
      <c r="K2" s="30"/>
      <c r="L2" s="29"/>
      <c r="M2" s="31"/>
    </row>
    <row r="3" spans="1:59" s="37" customFormat="1" ht="24">
      <c r="A3" s="33"/>
      <c r="B3" s="58" t="s">
        <v>8</v>
      </c>
      <c r="C3" s="58" t="s">
        <v>14</v>
      </c>
      <c r="D3" s="58" t="s">
        <v>47</v>
      </c>
      <c r="E3" s="58" t="s">
        <v>48</v>
      </c>
      <c r="F3" s="58" t="s">
        <v>101</v>
      </c>
      <c r="G3" s="58" t="s">
        <v>1</v>
      </c>
      <c r="H3" s="58" t="s">
        <v>42</v>
      </c>
      <c r="I3" s="34"/>
      <c r="J3" s="35"/>
      <c r="K3" s="35"/>
      <c r="L3" s="36"/>
      <c r="M3" s="36"/>
    </row>
    <row r="4" spans="1:59">
      <c r="A4" s="38"/>
      <c r="B4" s="14">
        <v>231025</v>
      </c>
      <c r="C4" s="43" t="s">
        <v>49</v>
      </c>
      <c r="D4" s="43" t="s">
        <v>50</v>
      </c>
      <c r="E4" s="43" t="s">
        <v>51</v>
      </c>
      <c r="F4" s="43" t="str">
        <f>C4&amp;" "&amp;D4&amp;" "&amp;E4</f>
        <v>Векил Иванов Недялков</v>
      </c>
      <c r="G4" s="43" t="s">
        <v>5</v>
      </c>
      <c r="H4" s="39" t="s">
        <v>43</v>
      </c>
      <c r="J4" s="1"/>
      <c r="K4" s="39" t="s">
        <v>5</v>
      </c>
      <c r="L4" s="41"/>
      <c r="M4" s="42"/>
    </row>
    <row r="5" spans="1:59">
      <c r="A5" s="38"/>
      <c r="B5" s="14">
        <v>236567</v>
      </c>
      <c r="C5" s="43" t="s">
        <v>52</v>
      </c>
      <c r="D5" s="43" t="s">
        <v>53</v>
      </c>
      <c r="E5" s="43" t="s">
        <v>54</v>
      </c>
      <c r="F5" s="43" t="str">
        <f t="shared" ref="F5:F22" si="0">C5&amp;" "&amp;D5&amp;" "&amp;E5</f>
        <v>Георги Стефанов Дамянов</v>
      </c>
      <c r="G5" s="43" t="s">
        <v>5</v>
      </c>
      <c r="H5" s="39" t="s">
        <v>44</v>
      </c>
      <c r="J5" s="1"/>
      <c r="K5" s="44" t="s">
        <v>2</v>
      </c>
      <c r="L5" s="41"/>
      <c r="M5" s="42"/>
    </row>
    <row r="6" spans="1:59">
      <c r="A6" s="38"/>
      <c r="B6" s="14">
        <v>236789</v>
      </c>
      <c r="C6" s="43" t="s">
        <v>55</v>
      </c>
      <c r="D6" s="43" t="s">
        <v>56</v>
      </c>
      <c r="E6" s="43" t="s">
        <v>57</v>
      </c>
      <c r="F6" s="43" t="str">
        <f t="shared" si="0"/>
        <v>Стоянка Илиева Дечева</v>
      </c>
      <c r="G6" s="43" t="s">
        <v>2</v>
      </c>
      <c r="H6" s="39" t="s">
        <v>45</v>
      </c>
      <c r="J6" s="38"/>
      <c r="K6" s="39" t="s">
        <v>3</v>
      </c>
      <c r="L6" s="38"/>
      <c r="M6" s="38"/>
    </row>
    <row r="7" spans="1:59">
      <c r="A7" s="38"/>
      <c r="B7" s="14">
        <v>238543</v>
      </c>
      <c r="C7" s="43" t="s">
        <v>58</v>
      </c>
      <c r="D7" s="43" t="s">
        <v>59</v>
      </c>
      <c r="E7" s="43" t="s">
        <v>60</v>
      </c>
      <c r="F7" s="43" t="str">
        <f t="shared" si="0"/>
        <v>Илияна Василева Димитрова</v>
      </c>
      <c r="G7" s="39" t="s">
        <v>2</v>
      </c>
      <c r="H7" s="39" t="s">
        <v>45</v>
      </c>
      <c r="J7" s="45"/>
      <c r="K7" s="46" t="s">
        <v>4</v>
      </c>
      <c r="L7" s="41"/>
      <c r="M7" s="41"/>
    </row>
    <row r="8" spans="1:59">
      <c r="A8" s="38"/>
      <c r="B8" s="20">
        <v>651701</v>
      </c>
      <c r="C8" s="43" t="s">
        <v>61</v>
      </c>
      <c r="D8" s="43" t="s">
        <v>60</v>
      </c>
      <c r="E8" s="43" t="s">
        <v>62</v>
      </c>
      <c r="F8" s="43" t="str">
        <f t="shared" si="0"/>
        <v>Петя Димитрова Михайлова</v>
      </c>
      <c r="G8" s="43" t="s">
        <v>5</v>
      </c>
      <c r="H8" s="39" t="s">
        <v>45</v>
      </c>
      <c r="J8" s="38"/>
      <c r="K8" s="1"/>
      <c r="L8" s="47"/>
      <c r="M8" s="48"/>
    </row>
    <row r="9" spans="1:59">
      <c r="A9" s="38"/>
      <c r="B9" s="14">
        <v>652101</v>
      </c>
      <c r="C9" s="43" t="s">
        <v>63</v>
      </c>
      <c r="D9" s="43" t="s">
        <v>64</v>
      </c>
      <c r="E9" s="43" t="s">
        <v>65</v>
      </c>
      <c r="F9" s="43" t="str">
        <f t="shared" si="0"/>
        <v>Петър Петров Радев</v>
      </c>
      <c r="G9" s="43" t="s">
        <v>3</v>
      </c>
      <c r="H9" s="39" t="s">
        <v>44</v>
      </c>
    </row>
    <row r="10" spans="1:59" s="53" customFormat="1" ht="12.75" customHeight="1">
      <c r="A10" s="50"/>
      <c r="B10" s="14">
        <v>652501</v>
      </c>
      <c r="C10" s="43" t="s">
        <v>66</v>
      </c>
      <c r="D10" s="43" t="s">
        <v>67</v>
      </c>
      <c r="E10" s="43" t="s">
        <v>68</v>
      </c>
      <c r="F10" s="43" t="str">
        <f t="shared" si="0"/>
        <v>Сияна Петрова Данова</v>
      </c>
      <c r="G10" s="43" t="s">
        <v>4</v>
      </c>
      <c r="H10" s="39" t="s">
        <v>43</v>
      </c>
      <c r="J10" s="51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</row>
    <row r="11" spans="1:59">
      <c r="A11" s="38"/>
      <c r="B11" s="14">
        <v>652508</v>
      </c>
      <c r="C11" s="43" t="s">
        <v>69</v>
      </c>
      <c r="D11" s="43" t="s">
        <v>70</v>
      </c>
      <c r="E11" s="43" t="s">
        <v>71</v>
      </c>
      <c r="F11" s="43" t="str">
        <f t="shared" si="0"/>
        <v>Николай Колев Недев</v>
      </c>
      <c r="G11" s="43" t="s">
        <v>4</v>
      </c>
      <c r="H11" s="39" t="s">
        <v>44</v>
      </c>
      <c r="K11" s="2" t="s">
        <v>43</v>
      </c>
    </row>
    <row r="12" spans="1:59">
      <c r="A12" s="38"/>
      <c r="B12" s="20">
        <v>660301</v>
      </c>
      <c r="C12" s="43" t="s">
        <v>72</v>
      </c>
      <c r="D12" s="43" t="s">
        <v>73</v>
      </c>
      <c r="E12" s="43" t="s">
        <v>74</v>
      </c>
      <c r="F12" s="43" t="str">
        <f t="shared" si="0"/>
        <v>Стефка Радева Костова</v>
      </c>
      <c r="G12" s="43" t="s">
        <v>5</v>
      </c>
      <c r="H12" s="39" t="s">
        <v>44</v>
      </c>
      <c r="K12" s="2" t="s">
        <v>44</v>
      </c>
    </row>
    <row r="13" spans="1:59">
      <c r="A13" s="38"/>
      <c r="B13" s="20">
        <v>661815</v>
      </c>
      <c r="C13" s="43" t="s">
        <v>75</v>
      </c>
      <c r="D13" s="43" t="s">
        <v>76</v>
      </c>
      <c r="E13" s="43" t="s">
        <v>64</v>
      </c>
      <c r="F13" s="43" t="str">
        <f t="shared" si="0"/>
        <v>Михаил Михаилов Петров</v>
      </c>
      <c r="G13" s="43" t="s">
        <v>4</v>
      </c>
      <c r="H13" s="39" t="s">
        <v>43</v>
      </c>
      <c r="K13" s="2" t="s">
        <v>45</v>
      </c>
    </row>
    <row r="14" spans="1:59">
      <c r="A14" s="38"/>
      <c r="B14" s="14">
        <v>666925</v>
      </c>
      <c r="C14" s="43" t="s">
        <v>77</v>
      </c>
      <c r="D14" s="43" t="s">
        <v>78</v>
      </c>
      <c r="E14" s="43" t="s">
        <v>79</v>
      </c>
      <c r="F14" s="43" t="str">
        <f t="shared" si="0"/>
        <v>Генчо Георгиев Киров</v>
      </c>
      <c r="G14" s="43" t="s">
        <v>4</v>
      </c>
      <c r="H14" s="39" t="s">
        <v>43</v>
      </c>
    </row>
    <row r="15" spans="1:59">
      <c r="A15" s="38"/>
      <c r="B15" s="14">
        <v>822453</v>
      </c>
      <c r="C15" s="43" t="s">
        <v>80</v>
      </c>
      <c r="D15" s="43" t="s">
        <v>81</v>
      </c>
      <c r="E15" s="43" t="s">
        <v>82</v>
      </c>
      <c r="F15" s="43" t="str">
        <f t="shared" si="0"/>
        <v>Николина Парушева Костадинова</v>
      </c>
      <c r="G15" s="43" t="s">
        <v>4</v>
      </c>
      <c r="H15" s="39" t="s">
        <v>43</v>
      </c>
    </row>
    <row r="16" spans="1:59">
      <c r="A16" s="38"/>
      <c r="B16" s="14">
        <v>826234</v>
      </c>
      <c r="C16" s="43" t="s">
        <v>83</v>
      </c>
      <c r="D16" s="43" t="s">
        <v>84</v>
      </c>
      <c r="E16" s="43" t="s">
        <v>85</v>
      </c>
      <c r="F16" s="43" t="str">
        <f t="shared" si="0"/>
        <v>Аспарух Николов Димов</v>
      </c>
      <c r="G16" s="43" t="s">
        <v>4</v>
      </c>
      <c r="H16" s="39" t="s">
        <v>43</v>
      </c>
    </row>
    <row r="17" spans="1:8">
      <c r="A17" s="38"/>
      <c r="B17" s="14">
        <v>826345</v>
      </c>
      <c r="C17" s="43" t="s">
        <v>86</v>
      </c>
      <c r="D17" s="43" t="s">
        <v>87</v>
      </c>
      <c r="E17" s="43" t="s">
        <v>88</v>
      </c>
      <c r="F17" s="43" t="str">
        <f t="shared" si="0"/>
        <v>Добри Василев Стаменов</v>
      </c>
      <c r="G17" s="43" t="s">
        <v>5</v>
      </c>
      <c r="H17" s="39" t="s">
        <v>44</v>
      </c>
    </row>
    <row r="18" spans="1:8">
      <c r="A18" s="38"/>
      <c r="B18" s="14">
        <v>826678</v>
      </c>
      <c r="C18" s="43" t="s">
        <v>69</v>
      </c>
      <c r="D18" s="43" t="s">
        <v>53</v>
      </c>
      <c r="E18" s="43" t="s">
        <v>89</v>
      </c>
      <c r="F18" s="43" t="str">
        <f t="shared" si="0"/>
        <v>Николай Стефанов Чакъров</v>
      </c>
      <c r="G18" s="43" t="s">
        <v>5</v>
      </c>
      <c r="H18" s="39" t="s">
        <v>44</v>
      </c>
    </row>
    <row r="19" spans="1:8">
      <c r="A19" s="38"/>
      <c r="B19" s="14">
        <v>827011</v>
      </c>
      <c r="C19" s="43" t="s">
        <v>90</v>
      </c>
      <c r="D19" s="43" t="s">
        <v>91</v>
      </c>
      <c r="E19" s="43" t="s">
        <v>92</v>
      </c>
      <c r="F19" s="43" t="str">
        <f t="shared" si="0"/>
        <v>Нели Стоянова Славова</v>
      </c>
      <c r="G19" s="43" t="s">
        <v>3</v>
      </c>
      <c r="H19" s="39" t="s">
        <v>44</v>
      </c>
    </row>
    <row r="20" spans="1:8" ht="12.75">
      <c r="A20" s="49"/>
      <c r="B20" s="68">
        <v>235568</v>
      </c>
      <c r="C20" s="43" t="s">
        <v>93</v>
      </c>
      <c r="D20" s="43" t="s">
        <v>94</v>
      </c>
      <c r="E20" s="43" t="s">
        <v>95</v>
      </c>
      <c r="F20" s="43" t="str">
        <f t="shared" si="0"/>
        <v>Нина Пеева Милева</v>
      </c>
      <c r="G20" s="85" t="s">
        <v>5</v>
      </c>
      <c r="H20" s="39" t="s">
        <v>44</v>
      </c>
    </row>
    <row r="21" spans="1:8" ht="12.75">
      <c r="A21" s="49"/>
      <c r="B21" s="68">
        <v>235789</v>
      </c>
      <c r="C21" s="43" t="s">
        <v>96</v>
      </c>
      <c r="D21" s="43" t="s">
        <v>97</v>
      </c>
      <c r="E21" s="43" t="s">
        <v>98</v>
      </c>
      <c r="F21" s="43" t="str">
        <f t="shared" si="0"/>
        <v>Стефан Стоев Костов</v>
      </c>
      <c r="G21" s="85" t="s">
        <v>2</v>
      </c>
      <c r="H21" s="39" t="s">
        <v>45</v>
      </c>
    </row>
    <row r="22" spans="1:8" ht="12.75">
      <c r="A22" s="49"/>
      <c r="B22" s="68">
        <v>238285</v>
      </c>
      <c r="C22" s="43" t="s">
        <v>99</v>
      </c>
      <c r="D22" s="43" t="s">
        <v>60</v>
      </c>
      <c r="E22" s="43" t="s">
        <v>91</v>
      </c>
      <c r="F22" s="43" t="str">
        <f t="shared" si="0"/>
        <v>Ина Димитрова Стоянова</v>
      </c>
      <c r="G22" s="85" t="s">
        <v>2</v>
      </c>
      <c r="H22" s="39" t="s">
        <v>45</v>
      </c>
    </row>
  </sheetData>
  <phoneticPr fontId="0" type="noConversion"/>
  <printOptions horizontalCentered="1" heading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&amp;A</oddHeader>
    <oddFooter>&amp;CСтр.&amp;[3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B2" sqref="B2"/>
    </sheetView>
  </sheetViews>
  <sheetFormatPr defaultRowHeight="12"/>
  <cols>
    <col min="1" max="1" width="6.625" style="3" bestFit="1" customWidth="1"/>
    <col min="2" max="2" width="11.375" style="3" customWidth="1"/>
    <col min="3" max="4" width="9.875" style="3" customWidth="1"/>
    <col min="5" max="5" width="9.875" style="3" bestFit="1" customWidth="1"/>
    <col min="6" max="16384" width="9" style="3"/>
  </cols>
  <sheetData>
    <row r="1" spans="1:5" ht="24">
      <c r="A1" s="54"/>
      <c r="B1" s="58" t="s">
        <v>6</v>
      </c>
      <c r="D1" s="55"/>
      <c r="E1" s="55"/>
    </row>
    <row r="2" spans="1:5">
      <c r="A2" s="54"/>
      <c r="B2" s="84">
        <v>0.15</v>
      </c>
      <c r="D2" s="55"/>
      <c r="E2" s="55"/>
    </row>
    <row r="3" spans="1:5">
      <c r="D3" s="59"/>
      <c r="E3" s="59"/>
    </row>
    <row r="4" spans="1:5">
      <c r="B4" s="58" t="s">
        <v>0</v>
      </c>
      <c r="D4" s="40"/>
      <c r="E4" s="69"/>
    </row>
    <row r="5" spans="1:5">
      <c r="B5" s="63">
        <v>0.2</v>
      </c>
      <c r="D5" s="40"/>
      <c r="E5" s="55"/>
    </row>
    <row r="6" spans="1:5">
      <c r="D6" s="40"/>
      <c r="E6" s="55"/>
    </row>
    <row r="7" spans="1:5">
      <c r="D7" s="55"/>
      <c r="E7" s="55"/>
    </row>
    <row r="8" spans="1:5">
      <c r="D8" s="55"/>
      <c r="E8" s="55"/>
    </row>
    <row r="9" spans="1:5">
      <c r="D9" s="55"/>
      <c r="E9" s="55"/>
    </row>
    <row r="10" spans="1:5">
      <c r="D10" s="55"/>
      <c r="E10" s="55"/>
    </row>
    <row r="11" spans="1:5">
      <c r="D11" s="55"/>
      <c r="E11" s="55"/>
    </row>
    <row r="12" spans="1:5">
      <c r="B12" s="59"/>
      <c r="D12" s="55"/>
      <c r="E12" s="55"/>
    </row>
    <row r="13" spans="1:5">
      <c r="B13" s="70"/>
      <c r="D13" s="55"/>
      <c r="E13" s="55"/>
    </row>
    <row r="14" spans="1:5">
      <c r="D14" s="55"/>
      <c r="E14" s="55"/>
    </row>
    <row r="15" spans="1:5">
      <c r="D15" s="55"/>
      <c r="E15" s="55"/>
    </row>
    <row r="16" spans="1:5">
      <c r="D16" s="55"/>
      <c r="E16" s="55"/>
    </row>
    <row r="17" spans="1:5">
      <c r="D17" s="55"/>
      <c r="E17" s="55"/>
    </row>
    <row r="18" spans="1:5">
      <c r="D18" s="55"/>
      <c r="E18" s="55"/>
    </row>
    <row r="19" spans="1:5">
      <c r="D19" s="55"/>
      <c r="E19" s="55"/>
    </row>
    <row r="20" spans="1:5">
      <c r="A20" s="55"/>
      <c r="B20" s="55"/>
      <c r="C20" s="55"/>
      <c r="D20" s="55"/>
      <c r="E20" s="55"/>
    </row>
    <row r="21" spans="1:5">
      <c r="A21" s="55"/>
      <c r="B21" s="55"/>
      <c r="C21" s="55"/>
      <c r="D21" s="55"/>
      <c r="E21" s="5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1"/>
  <sheetViews>
    <sheetView workbookViewId="0">
      <selection activeCell="G21" sqref="G21"/>
    </sheetView>
  </sheetViews>
  <sheetFormatPr defaultRowHeight="12"/>
  <cols>
    <col min="1" max="1" width="7.375" style="25" bestFit="1" customWidth="1"/>
    <col min="2" max="2" width="25.5" style="25" bestFit="1" customWidth="1"/>
    <col min="3" max="3" width="10" style="25" bestFit="1" customWidth="1"/>
    <col min="4" max="4" width="10" style="25" customWidth="1"/>
    <col min="5" max="5" width="10.125" style="25" bestFit="1" customWidth="1"/>
    <col min="6" max="6" width="7.625" style="25" bestFit="1" customWidth="1"/>
    <col min="7" max="7" width="8.625" style="25" bestFit="1" customWidth="1"/>
    <col min="8" max="8" width="10.125" style="25" bestFit="1" customWidth="1"/>
    <col min="9" max="9" width="7.75" style="25" customWidth="1"/>
    <col min="10" max="10" width="10.875" style="25" bestFit="1" customWidth="1"/>
    <col min="11" max="11" width="10.875" style="25" customWidth="1"/>
    <col min="12" max="12" width="7.75" style="25" customWidth="1"/>
    <col min="13" max="13" width="8.75" style="25" bestFit="1" customWidth="1"/>
    <col min="14" max="16384" width="9" style="25"/>
  </cols>
  <sheetData>
    <row r="1" spans="1:31" s="5" customFormat="1">
      <c r="A1" s="72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31" s="12" customFormat="1">
      <c r="A2" s="6"/>
      <c r="B2" s="7"/>
      <c r="C2" s="7"/>
      <c r="D2" s="7"/>
      <c r="E2" s="9"/>
      <c r="F2" s="9"/>
      <c r="G2" s="9"/>
      <c r="H2" s="8"/>
      <c r="I2" s="7"/>
      <c r="J2" s="8"/>
      <c r="K2" s="8"/>
      <c r="L2" s="10"/>
      <c r="M2" s="10"/>
      <c r="N2" s="11"/>
      <c r="O2" s="11"/>
      <c r="P2" s="11"/>
      <c r="Q2" s="11"/>
      <c r="R2" s="11"/>
      <c r="S2" s="11"/>
    </row>
    <row r="3" spans="1:31" s="12" customFormat="1" ht="24">
      <c r="A3" s="13" t="s">
        <v>8</v>
      </c>
      <c r="B3" s="13" t="s">
        <v>38</v>
      </c>
      <c r="C3" s="58" t="s">
        <v>1</v>
      </c>
      <c r="D3" s="58" t="s">
        <v>42</v>
      </c>
      <c r="E3" s="13" t="s">
        <v>11</v>
      </c>
      <c r="F3" s="13" t="s">
        <v>9</v>
      </c>
      <c r="G3" s="13" t="s">
        <v>13</v>
      </c>
      <c r="H3" s="13" t="s">
        <v>10</v>
      </c>
      <c r="I3" s="13" t="s">
        <v>7</v>
      </c>
      <c r="J3" s="13" t="s">
        <v>17</v>
      </c>
      <c r="K3" s="13" t="s">
        <v>18</v>
      </c>
      <c r="L3" s="13" t="s">
        <v>0</v>
      </c>
      <c r="M3" s="13" t="s">
        <v>15</v>
      </c>
      <c r="N3" s="11"/>
      <c r="O3" s="11"/>
      <c r="P3" s="11"/>
      <c r="Q3" s="11"/>
      <c r="R3" s="11"/>
      <c r="S3" s="11"/>
    </row>
    <row r="4" spans="1:31" s="19" customFormat="1">
      <c r="A4" s="14">
        <v>231025</v>
      </c>
      <c r="B4" s="15" t="s">
        <v>19</v>
      </c>
      <c r="C4" s="15" t="s">
        <v>5</v>
      </c>
      <c r="D4" s="15" t="s">
        <v>43</v>
      </c>
      <c r="E4" s="17">
        <v>1000</v>
      </c>
      <c r="F4" s="64">
        <v>45.5</v>
      </c>
      <c r="G4" s="18">
        <v>43313</v>
      </c>
      <c r="H4" s="16">
        <v>1080</v>
      </c>
      <c r="I4" s="17">
        <v>80</v>
      </c>
      <c r="J4" s="60">
        <v>12</v>
      </c>
      <c r="K4" s="60">
        <v>57.5</v>
      </c>
      <c r="L4" s="61">
        <v>11.5</v>
      </c>
      <c r="M4" s="64">
        <v>69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19" customFormat="1">
      <c r="A5" s="14">
        <v>236567</v>
      </c>
      <c r="B5" s="15" t="s">
        <v>20</v>
      </c>
      <c r="C5" s="15" t="s">
        <v>5</v>
      </c>
      <c r="D5" s="15" t="s">
        <v>44</v>
      </c>
      <c r="E5" s="17">
        <v>250</v>
      </c>
      <c r="F5" s="64">
        <v>10.199999999999999</v>
      </c>
      <c r="G5" s="18">
        <v>43372</v>
      </c>
      <c r="H5" s="16">
        <v>255</v>
      </c>
      <c r="I5" s="17">
        <v>5</v>
      </c>
      <c r="J5" s="60">
        <v>0.75</v>
      </c>
      <c r="K5" s="60">
        <v>10.95</v>
      </c>
      <c r="L5" s="61">
        <v>2.19</v>
      </c>
      <c r="M5" s="64">
        <v>13.139999999999999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s="19" customFormat="1">
      <c r="A6" s="14">
        <v>236789</v>
      </c>
      <c r="B6" s="15" t="s">
        <v>21</v>
      </c>
      <c r="C6" s="15" t="s">
        <v>2</v>
      </c>
      <c r="D6" s="15" t="s">
        <v>45</v>
      </c>
      <c r="E6" s="17">
        <v>5000</v>
      </c>
      <c r="F6" s="64">
        <v>115</v>
      </c>
      <c r="G6" s="18">
        <v>43313</v>
      </c>
      <c r="H6" s="16">
        <v>5079</v>
      </c>
      <c r="I6" s="17">
        <v>79</v>
      </c>
      <c r="J6" s="60">
        <v>11.85</v>
      </c>
      <c r="K6" s="60">
        <v>126.85</v>
      </c>
      <c r="L6" s="61">
        <v>25.37</v>
      </c>
      <c r="M6" s="64">
        <v>152.22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s="19" customFormat="1">
      <c r="A7" s="14">
        <v>238543</v>
      </c>
      <c r="B7" s="15" t="s">
        <v>22</v>
      </c>
      <c r="C7" s="15" t="s">
        <v>2</v>
      </c>
      <c r="D7" s="15" t="s">
        <v>45</v>
      </c>
      <c r="E7" s="17">
        <v>5000</v>
      </c>
      <c r="F7" s="64">
        <v>112</v>
      </c>
      <c r="G7" s="18">
        <v>43314</v>
      </c>
      <c r="H7" s="16">
        <v>5200</v>
      </c>
      <c r="I7" s="17">
        <v>200</v>
      </c>
      <c r="J7" s="60">
        <v>30</v>
      </c>
      <c r="K7" s="60">
        <v>142</v>
      </c>
      <c r="L7" s="61">
        <v>28.400000000000002</v>
      </c>
      <c r="M7" s="64">
        <v>170.4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s="19" customFormat="1">
      <c r="A8" s="20">
        <v>651701</v>
      </c>
      <c r="B8" s="15" t="s">
        <v>23</v>
      </c>
      <c r="C8" s="15" t="s">
        <v>5</v>
      </c>
      <c r="D8" s="15" t="s">
        <v>45</v>
      </c>
      <c r="E8" s="17">
        <v>2000</v>
      </c>
      <c r="F8" s="64">
        <v>90</v>
      </c>
      <c r="G8" s="18">
        <v>43368</v>
      </c>
      <c r="H8" s="16">
        <v>1800</v>
      </c>
      <c r="I8" s="17">
        <v>0</v>
      </c>
      <c r="J8" s="60">
        <v>0</v>
      </c>
      <c r="K8" s="60">
        <v>90</v>
      </c>
      <c r="L8" s="61">
        <v>18</v>
      </c>
      <c r="M8" s="64">
        <v>108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s="19" customFormat="1">
      <c r="A9" s="14">
        <v>652101</v>
      </c>
      <c r="B9" s="15" t="s">
        <v>24</v>
      </c>
      <c r="C9" s="15" t="s">
        <v>3</v>
      </c>
      <c r="D9" s="15" t="s">
        <v>44</v>
      </c>
      <c r="E9" s="17">
        <v>250</v>
      </c>
      <c r="F9" s="64">
        <v>10.199999999999999</v>
      </c>
      <c r="G9" s="18" t="s">
        <v>100</v>
      </c>
      <c r="H9" s="16">
        <v>240</v>
      </c>
      <c r="I9" s="17">
        <v>0</v>
      </c>
      <c r="J9" s="60">
        <v>0</v>
      </c>
      <c r="K9" s="60">
        <v>10.199999999999999</v>
      </c>
      <c r="L9" s="61">
        <v>2.04</v>
      </c>
      <c r="M9" s="64">
        <v>12.239999999999998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s="19" customFormat="1">
      <c r="A10" s="14">
        <v>652501</v>
      </c>
      <c r="B10" s="15" t="s">
        <v>25</v>
      </c>
      <c r="C10" s="15" t="s">
        <v>4</v>
      </c>
      <c r="D10" s="15" t="s">
        <v>43</v>
      </c>
      <c r="E10" s="17">
        <v>1000</v>
      </c>
      <c r="F10" s="64">
        <v>50.5</v>
      </c>
      <c r="G10" s="18">
        <v>43317</v>
      </c>
      <c r="H10" s="16">
        <v>1200</v>
      </c>
      <c r="I10" s="17">
        <v>200</v>
      </c>
      <c r="J10" s="60">
        <v>30</v>
      </c>
      <c r="K10" s="60">
        <v>80.5</v>
      </c>
      <c r="L10" s="61">
        <v>16.100000000000001</v>
      </c>
      <c r="M10" s="64">
        <v>96.6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s="19" customFormat="1">
      <c r="A11" s="14">
        <v>652508</v>
      </c>
      <c r="B11" s="15" t="s">
        <v>26</v>
      </c>
      <c r="C11" s="15" t="s">
        <v>4</v>
      </c>
      <c r="D11" s="15" t="s">
        <v>44</v>
      </c>
      <c r="E11" s="17">
        <v>1000</v>
      </c>
      <c r="F11" s="64">
        <v>38.5</v>
      </c>
      <c r="G11" s="18">
        <v>43371</v>
      </c>
      <c r="H11" s="16">
        <v>750</v>
      </c>
      <c r="I11" s="17">
        <v>0</v>
      </c>
      <c r="J11" s="60">
        <v>0</v>
      </c>
      <c r="K11" s="60">
        <v>38.5</v>
      </c>
      <c r="L11" s="61">
        <v>7.7</v>
      </c>
      <c r="M11" s="64">
        <v>46.2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s="19" customFormat="1">
      <c r="A12" s="20">
        <v>660301</v>
      </c>
      <c r="B12" s="15" t="s">
        <v>27</v>
      </c>
      <c r="C12" s="15" t="s">
        <v>5</v>
      </c>
      <c r="D12" s="15" t="s">
        <v>44</v>
      </c>
      <c r="E12" s="17">
        <v>600</v>
      </c>
      <c r="F12" s="64">
        <v>25.5</v>
      </c>
      <c r="G12" s="18">
        <v>43371</v>
      </c>
      <c r="H12" s="16">
        <v>550</v>
      </c>
      <c r="I12" s="17">
        <v>0</v>
      </c>
      <c r="J12" s="60">
        <v>0</v>
      </c>
      <c r="K12" s="60">
        <v>25.5</v>
      </c>
      <c r="L12" s="61">
        <v>5.1000000000000005</v>
      </c>
      <c r="M12" s="64">
        <v>30.6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s="19" customFormat="1">
      <c r="A13" s="20">
        <v>661815</v>
      </c>
      <c r="B13" s="15" t="s">
        <v>28</v>
      </c>
      <c r="C13" s="15" t="s">
        <v>4</v>
      </c>
      <c r="D13" s="15" t="s">
        <v>43</v>
      </c>
      <c r="E13" s="17">
        <v>2000</v>
      </c>
      <c r="F13" s="64">
        <v>77</v>
      </c>
      <c r="G13" s="18">
        <v>43371</v>
      </c>
      <c r="H13" s="16">
        <v>1990</v>
      </c>
      <c r="I13" s="17">
        <v>0</v>
      </c>
      <c r="J13" s="60">
        <v>0</v>
      </c>
      <c r="K13" s="60">
        <v>77</v>
      </c>
      <c r="L13" s="61">
        <v>15.4</v>
      </c>
      <c r="M13" s="64">
        <v>92.4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s="19" customFormat="1">
      <c r="A14" s="14">
        <v>666925</v>
      </c>
      <c r="B14" s="15" t="s">
        <v>29</v>
      </c>
      <c r="C14" s="15" t="s">
        <v>4</v>
      </c>
      <c r="D14" s="15" t="s">
        <v>43</v>
      </c>
      <c r="E14" s="17">
        <v>2000</v>
      </c>
      <c r="F14" s="64">
        <v>77</v>
      </c>
      <c r="G14" s="18">
        <v>43373</v>
      </c>
      <c r="H14" s="16">
        <v>1800</v>
      </c>
      <c r="I14" s="17">
        <v>0</v>
      </c>
      <c r="J14" s="60">
        <v>0</v>
      </c>
      <c r="K14" s="60">
        <v>77</v>
      </c>
      <c r="L14" s="61">
        <v>15.4</v>
      </c>
      <c r="M14" s="64">
        <v>92.4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s="19" customFormat="1">
      <c r="A15" s="14">
        <v>822453</v>
      </c>
      <c r="B15" s="15" t="s">
        <v>30</v>
      </c>
      <c r="C15" s="15" t="s">
        <v>4</v>
      </c>
      <c r="D15" s="15" t="s">
        <v>43</v>
      </c>
      <c r="E15" s="17">
        <v>5000</v>
      </c>
      <c r="F15" s="64">
        <v>87</v>
      </c>
      <c r="G15" s="18">
        <v>43321</v>
      </c>
      <c r="H15" s="16">
        <v>5001</v>
      </c>
      <c r="I15" s="17">
        <v>1</v>
      </c>
      <c r="J15" s="60">
        <v>0.15</v>
      </c>
      <c r="K15" s="60">
        <v>87.15</v>
      </c>
      <c r="L15" s="61">
        <v>17.430000000000003</v>
      </c>
      <c r="M15" s="64">
        <v>104.58000000000001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s="19" customFormat="1">
      <c r="A16" s="14">
        <v>826234</v>
      </c>
      <c r="B16" s="15" t="s">
        <v>31</v>
      </c>
      <c r="C16" s="15" t="s">
        <v>4</v>
      </c>
      <c r="D16" s="15" t="s">
        <v>43</v>
      </c>
      <c r="E16" s="17">
        <v>1000</v>
      </c>
      <c r="F16" s="64">
        <v>45.5</v>
      </c>
      <c r="G16" s="18">
        <v>43314</v>
      </c>
      <c r="H16" s="16">
        <v>920</v>
      </c>
      <c r="I16" s="17">
        <v>0</v>
      </c>
      <c r="J16" s="60">
        <v>0</v>
      </c>
      <c r="K16" s="60">
        <v>45.5</v>
      </c>
      <c r="L16" s="61">
        <v>9.1</v>
      </c>
      <c r="M16" s="64">
        <v>54.6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s="19" customFormat="1">
      <c r="A17" s="14">
        <v>826345</v>
      </c>
      <c r="B17" s="15" t="s">
        <v>32</v>
      </c>
      <c r="C17" s="15" t="s">
        <v>5</v>
      </c>
      <c r="D17" s="15" t="s">
        <v>44</v>
      </c>
      <c r="E17" s="17">
        <v>600</v>
      </c>
      <c r="F17" s="64">
        <v>20.5</v>
      </c>
      <c r="G17" s="18">
        <v>43372</v>
      </c>
      <c r="H17" s="16">
        <v>608</v>
      </c>
      <c r="I17" s="17">
        <v>8</v>
      </c>
      <c r="J17" s="60">
        <v>1.2</v>
      </c>
      <c r="K17" s="60">
        <v>21.7</v>
      </c>
      <c r="L17" s="61">
        <v>4.34</v>
      </c>
      <c r="M17" s="64">
        <v>26.04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s="19" customFormat="1">
      <c r="A18" s="14">
        <v>826678</v>
      </c>
      <c r="B18" s="15" t="s">
        <v>33</v>
      </c>
      <c r="C18" s="15" t="s">
        <v>5</v>
      </c>
      <c r="D18" s="15" t="s">
        <v>44</v>
      </c>
      <c r="E18" s="17">
        <v>250</v>
      </c>
      <c r="F18" s="64">
        <v>10.199999999999999</v>
      </c>
      <c r="G18" s="18">
        <v>43456</v>
      </c>
      <c r="H18" s="16">
        <v>290</v>
      </c>
      <c r="I18" s="17">
        <v>40</v>
      </c>
      <c r="J18" s="60">
        <v>6</v>
      </c>
      <c r="K18" s="60">
        <v>16.2</v>
      </c>
      <c r="L18" s="61">
        <v>3.24</v>
      </c>
      <c r="M18" s="64">
        <v>19.439999999999998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s="19" customFormat="1">
      <c r="A19" s="14">
        <v>827011</v>
      </c>
      <c r="B19" s="15" t="s">
        <v>34</v>
      </c>
      <c r="C19" s="15" t="s">
        <v>3</v>
      </c>
      <c r="D19" s="15" t="s">
        <v>44</v>
      </c>
      <c r="E19" s="17">
        <v>1000</v>
      </c>
      <c r="F19" s="64">
        <v>43.5</v>
      </c>
      <c r="G19" s="18">
        <v>43371</v>
      </c>
      <c r="H19" s="16">
        <v>1208</v>
      </c>
      <c r="I19" s="17">
        <v>208</v>
      </c>
      <c r="J19" s="60">
        <v>31.2</v>
      </c>
      <c r="K19" s="60">
        <v>74.7</v>
      </c>
      <c r="L19" s="61">
        <v>14.940000000000001</v>
      </c>
      <c r="M19" s="64">
        <v>89.64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s="19" customFormat="1" ht="12.75">
      <c r="A20" s="62">
        <v>235568</v>
      </c>
      <c r="B20" s="15" t="s">
        <v>35</v>
      </c>
      <c r="C20" s="15" t="s">
        <v>5</v>
      </c>
      <c r="D20" s="15" t="s">
        <v>44</v>
      </c>
      <c r="E20" s="17">
        <v>1200</v>
      </c>
      <c r="F20" s="64">
        <v>30.5</v>
      </c>
      <c r="G20" s="18">
        <v>43321</v>
      </c>
      <c r="H20" s="16">
        <v>1300</v>
      </c>
      <c r="I20" s="16">
        <v>100</v>
      </c>
      <c r="J20" s="60">
        <v>15</v>
      </c>
      <c r="K20" s="60">
        <v>45.5</v>
      </c>
      <c r="L20" s="61">
        <v>9.1</v>
      </c>
      <c r="M20" s="64">
        <v>54.6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2.75">
      <c r="A21" s="62">
        <v>235789</v>
      </c>
      <c r="B21" s="15" t="s">
        <v>36</v>
      </c>
      <c r="C21" s="15" t="s">
        <v>2</v>
      </c>
      <c r="D21" s="15" t="s">
        <v>45</v>
      </c>
      <c r="E21" s="17">
        <v>2200</v>
      </c>
      <c r="F21" s="64">
        <v>90</v>
      </c>
      <c r="G21" s="18">
        <v>43341</v>
      </c>
      <c r="H21" s="16">
        <v>2500</v>
      </c>
      <c r="I21" s="16">
        <v>300</v>
      </c>
      <c r="J21" s="60">
        <v>45</v>
      </c>
      <c r="K21" s="60">
        <v>135</v>
      </c>
      <c r="L21" s="61">
        <v>27</v>
      </c>
      <c r="M21" s="64">
        <v>162</v>
      </c>
      <c r="N21" s="26"/>
      <c r="O21" s="26"/>
    </row>
    <row r="22" spans="1:31" ht="12.75">
      <c r="A22" s="62">
        <v>238285</v>
      </c>
      <c r="B22" s="15" t="s">
        <v>37</v>
      </c>
      <c r="C22" s="15" t="s">
        <v>2</v>
      </c>
      <c r="D22" s="15" t="s">
        <v>45</v>
      </c>
      <c r="E22" s="17">
        <v>1020</v>
      </c>
      <c r="F22" s="64">
        <v>90</v>
      </c>
      <c r="G22" s="57">
        <v>43313</v>
      </c>
      <c r="H22" s="16">
        <v>1150</v>
      </c>
      <c r="I22" s="56">
        <v>130</v>
      </c>
      <c r="J22" s="60">
        <v>19.5</v>
      </c>
      <c r="K22" s="60">
        <v>109.5</v>
      </c>
      <c r="L22" s="61">
        <v>21.900000000000002</v>
      </c>
      <c r="M22" s="64">
        <v>131.4</v>
      </c>
      <c r="N22" s="26"/>
      <c r="O22" s="26"/>
      <c r="P22" s="26"/>
      <c r="Q22" s="26"/>
      <c r="R22" s="26"/>
      <c r="S22" s="26"/>
    </row>
    <row r="23" spans="1:31" s="3" customFormat="1">
      <c r="A23" s="21"/>
      <c r="B23" s="22"/>
      <c r="C23" s="22"/>
      <c r="D23" s="22"/>
      <c r="E23" s="24"/>
      <c r="F23" s="24"/>
      <c r="G23" s="24"/>
      <c r="H23" s="23"/>
      <c r="I23" s="23"/>
      <c r="J23" s="24"/>
      <c r="K23" s="24"/>
      <c r="L23" s="24"/>
      <c r="M23" s="24"/>
      <c r="N23" s="65"/>
      <c r="O23" s="65"/>
      <c r="P23" s="65"/>
      <c r="Q23" s="65"/>
      <c r="R23" s="65"/>
      <c r="S23" s="65"/>
    </row>
    <row r="24" spans="1:31" s="3" customFormat="1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</row>
    <row r="25" spans="1:31" s="3" customFormat="1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</row>
    <row r="26" spans="1:31" s="3" customFormat="1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</row>
    <row r="27" spans="1:31" s="3" customFormat="1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</row>
    <row r="28" spans="1:31" s="3" customFormat="1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</row>
    <row r="29" spans="1:31" s="3" customFormat="1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</row>
    <row r="30" spans="1:31" s="3" customFormat="1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</row>
    <row r="31" spans="1:31" s="3" customFormat="1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</row>
    <row r="32" spans="1:31" s="3" customFormat="1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</row>
    <row r="33" spans="2:19" s="3" customFormat="1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</row>
    <row r="34" spans="2:19" s="3" customFormat="1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</row>
    <row r="35" spans="2:19" s="3" customFormat="1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</row>
    <row r="36" spans="2:19" s="3" customFormat="1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</row>
    <row r="37" spans="2:19" s="3" customFormat="1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</row>
    <row r="38" spans="2:19" s="3" customFormat="1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39" spans="2:19" s="3" customFormat="1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2:19" s="3" customFormat="1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</row>
    <row r="41" spans="2:19" s="3" customFormat="1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</row>
    <row r="42" spans="2:19" s="3" customFormat="1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</row>
    <row r="43" spans="2:19" s="3" customFormat="1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2:19" s="3" customFormat="1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</row>
    <row r="45" spans="2:19" s="3" customFormat="1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</row>
    <row r="46" spans="2:19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2:19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2:19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2:19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</row>
    <row r="50" spans="2:19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2:19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 spans="2:19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 spans="2:19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</row>
    <row r="54" spans="2:19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</row>
    <row r="55" spans="2:19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 spans="2:19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</row>
    <row r="57" spans="2:19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 spans="2:19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</row>
    <row r="59" spans="2:19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0" spans="2:19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 spans="2:19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 spans="2:19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 spans="2:19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 spans="2:19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 spans="2:19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 spans="2:19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 spans="2:19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</row>
    <row r="68" spans="2:19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2:19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2:19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spans="2:19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Основен</vt:lpstr>
      <vt:lpstr>Subtotal</vt:lpstr>
      <vt:lpstr>Sort Filter</vt:lpstr>
      <vt:lpstr>PivotTable</vt:lpstr>
      <vt:lpstr>Справочен</vt:lpstr>
      <vt:lpstr>Абонамент</vt:lpstr>
      <vt:lpstr>База</vt:lpstr>
      <vt:lpstr>'Sort Filter'!Criteria</vt:lpstr>
      <vt:lpstr>'Sort Filter'!Extract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Todoranova</cp:lastModifiedBy>
  <cp:lastPrinted>2004-01-09T15:56:13Z</cp:lastPrinted>
  <dcterms:created xsi:type="dcterms:W3CDTF">1999-03-23T11:40:03Z</dcterms:created>
  <dcterms:modified xsi:type="dcterms:W3CDTF">2018-10-23T11:14:29Z</dcterms:modified>
</cp:coreProperties>
</file>