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Зима 2018-2019\Въведение в информатиката\"/>
    </mc:Choice>
  </mc:AlternateContent>
  <xr:revisionPtr revIDLastSave="0" documentId="13_ncr:1_{AA2A55F7-A7C4-42C1-A822-A8E4A787725D}" xr6:coauthVersionLast="37" xr6:coauthVersionMax="37" xr10:uidLastSave="{00000000-0000-0000-0000-000000000000}"/>
  <bookViews>
    <workbookView xWindow="0" yWindow="0" windowWidth="19200" windowHeight="6825" tabRatio="692" activeTab="2" xr2:uid="{00000000-000D-0000-FFFF-FFFF00000000}"/>
  </bookViews>
  <sheets>
    <sheet name="Задание" sheetId="18" r:id="rId1"/>
    <sheet name="Основни" sheetId="4" r:id="rId2"/>
    <sheet name="Поръчки" sheetId="3" r:id="rId3"/>
    <sheet name="Sheet1" sheetId="23" r:id="rId4"/>
    <sheet name="Сценарий" sheetId="22" r:id="rId5"/>
  </sheets>
  <definedNames>
    <definedName name="_xlnm._FilterDatabase" localSheetId="2" hidden="1">Поръчки!$A$3:$N$70</definedName>
  </definedNames>
  <calcPr calcId="162913"/>
  <pivotCaches>
    <pivotCache cacheId="4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1" i="3" l="1"/>
  <c r="F66" i="3"/>
  <c r="F61" i="3"/>
  <c r="F54" i="3"/>
  <c r="F48" i="3"/>
  <c r="F45" i="3"/>
  <c r="F38" i="3"/>
  <c r="F33" i="3"/>
  <c r="F30" i="3"/>
  <c r="F26" i="3"/>
  <c r="F22" i="3"/>
  <c r="F19" i="3"/>
  <c r="F14" i="3"/>
  <c r="F10" i="3"/>
  <c r="F7" i="3"/>
  <c r="M11" i="3"/>
  <c r="M67" i="3"/>
  <c r="M23" i="3"/>
  <c r="M40" i="3"/>
  <c r="M27" i="3"/>
  <c r="M5" i="3"/>
  <c r="M8" i="3"/>
  <c r="M31" i="3"/>
  <c r="M56" i="3"/>
  <c r="M49" i="3"/>
  <c r="M24" i="3"/>
  <c r="M63" i="3"/>
  <c r="M28" i="3"/>
  <c r="M50" i="3"/>
  <c r="M64" i="3"/>
  <c r="M35" i="3"/>
  <c r="M57" i="3"/>
  <c r="M16" i="3"/>
  <c r="M41" i="3"/>
  <c r="M12" i="3"/>
  <c r="M58" i="3"/>
  <c r="M68" i="3"/>
  <c r="M29" i="3"/>
  <c r="M51" i="3"/>
  <c r="M21" i="3"/>
  <c r="M25" i="3"/>
  <c r="M42" i="3"/>
  <c r="M9" i="3"/>
  <c r="M65" i="3"/>
  <c r="M13" i="3"/>
  <c r="M36" i="3"/>
  <c r="M59" i="3"/>
  <c r="M52" i="3"/>
  <c r="M69" i="3"/>
  <c r="M17" i="3"/>
  <c r="M32" i="3"/>
  <c r="M70" i="3"/>
  <c r="M47" i="3"/>
  <c r="M43" i="3"/>
  <c r="M6" i="3"/>
  <c r="M53" i="3"/>
  <c r="M37" i="3"/>
  <c r="M18" i="3"/>
  <c r="M44" i="3"/>
  <c r="M60" i="3"/>
  <c r="M62" i="3"/>
  <c r="M46" i="3"/>
  <c r="M55" i="3"/>
  <c r="M4" i="3"/>
  <c r="M15" i="3"/>
  <c r="M39" i="3"/>
  <c r="M34" i="3"/>
  <c r="M20" i="3"/>
  <c r="I46" i="3"/>
  <c r="J46" i="3" s="1"/>
  <c r="N46" i="3" s="1"/>
  <c r="I55" i="3"/>
  <c r="I4" i="3"/>
  <c r="J4" i="3" s="1"/>
  <c r="N4" i="3" s="1"/>
  <c r="I15" i="3"/>
  <c r="J15" i="3" s="1"/>
  <c r="N15" i="3" s="1"/>
  <c r="I39" i="3"/>
  <c r="J39" i="3" s="1"/>
  <c r="N39" i="3" s="1"/>
  <c r="I34" i="3"/>
  <c r="I62" i="3"/>
  <c r="J62" i="3" s="1"/>
  <c r="N62" i="3" s="1"/>
  <c r="I11" i="3"/>
  <c r="J11" i="3" s="1"/>
  <c r="N11" i="3" s="1"/>
  <c r="I67" i="3"/>
  <c r="J67" i="3" s="1"/>
  <c r="N67" i="3" s="1"/>
  <c r="I23" i="3"/>
  <c r="I40" i="3"/>
  <c r="J40" i="3" s="1"/>
  <c r="N40" i="3" s="1"/>
  <c r="I27" i="3"/>
  <c r="J27" i="3" s="1"/>
  <c r="N27" i="3" s="1"/>
  <c r="I5" i="3"/>
  <c r="J5" i="3" s="1"/>
  <c r="N5" i="3" s="1"/>
  <c r="I8" i="3"/>
  <c r="I31" i="3"/>
  <c r="J31" i="3" s="1"/>
  <c r="N31" i="3" s="1"/>
  <c r="I56" i="3"/>
  <c r="J56" i="3" s="1"/>
  <c r="N56" i="3" s="1"/>
  <c r="I49" i="3"/>
  <c r="J49" i="3" s="1"/>
  <c r="N49" i="3" s="1"/>
  <c r="I24" i="3"/>
  <c r="I63" i="3"/>
  <c r="J63" i="3" s="1"/>
  <c r="N63" i="3" s="1"/>
  <c r="I28" i="3"/>
  <c r="J28" i="3" s="1"/>
  <c r="N28" i="3" s="1"/>
  <c r="I50" i="3"/>
  <c r="J50" i="3" s="1"/>
  <c r="N50" i="3" s="1"/>
  <c r="I64" i="3"/>
  <c r="I35" i="3"/>
  <c r="J35" i="3" s="1"/>
  <c r="N35" i="3" s="1"/>
  <c r="I57" i="3"/>
  <c r="J57" i="3" s="1"/>
  <c r="N57" i="3" s="1"/>
  <c r="I16" i="3"/>
  <c r="J16" i="3" s="1"/>
  <c r="N16" i="3" s="1"/>
  <c r="I41" i="3"/>
  <c r="I12" i="3"/>
  <c r="J12" i="3" s="1"/>
  <c r="N12" i="3" s="1"/>
  <c r="I58" i="3"/>
  <c r="J58" i="3" s="1"/>
  <c r="N58" i="3" s="1"/>
  <c r="I68" i="3"/>
  <c r="J68" i="3" s="1"/>
  <c r="N68" i="3" s="1"/>
  <c r="I29" i="3"/>
  <c r="I51" i="3"/>
  <c r="J51" i="3" s="1"/>
  <c r="N51" i="3" s="1"/>
  <c r="I21" i="3"/>
  <c r="J21" i="3" s="1"/>
  <c r="N21" i="3" s="1"/>
  <c r="I25" i="3"/>
  <c r="J25" i="3" s="1"/>
  <c r="N25" i="3" s="1"/>
  <c r="I42" i="3"/>
  <c r="I9" i="3"/>
  <c r="J9" i="3" s="1"/>
  <c r="N9" i="3" s="1"/>
  <c r="I65" i="3"/>
  <c r="J65" i="3" s="1"/>
  <c r="N65" i="3" s="1"/>
  <c r="I13" i="3"/>
  <c r="J13" i="3" s="1"/>
  <c r="I36" i="3"/>
  <c r="I59" i="3"/>
  <c r="J59" i="3" s="1"/>
  <c r="N59" i="3" s="1"/>
  <c r="I52" i="3"/>
  <c r="J52" i="3" s="1"/>
  <c r="N52" i="3" s="1"/>
  <c r="I69" i="3"/>
  <c r="J69" i="3" s="1"/>
  <c r="N69" i="3" s="1"/>
  <c r="I17" i="3"/>
  <c r="I32" i="3"/>
  <c r="J32" i="3" s="1"/>
  <c r="N32" i="3" s="1"/>
  <c r="I70" i="3"/>
  <c r="J70" i="3" s="1"/>
  <c r="N70" i="3" s="1"/>
  <c r="I47" i="3"/>
  <c r="J47" i="3" s="1"/>
  <c r="N47" i="3" s="1"/>
  <c r="I43" i="3"/>
  <c r="I6" i="3"/>
  <c r="J6" i="3" s="1"/>
  <c r="N6" i="3" s="1"/>
  <c r="I53" i="3"/>
  <c r="J53" i="3" s="1"/>
  <c r="N53" i="3" s="1"/>
  <c r="I37" i="3"/>
  <c r="J37" i="3" s="1"/>
  <c r="N37" i="3" s="1"/>
  <c r="I18" i="3"/>
  <c r="I44" i="3"/>
  <c r="J44" i="3" s="1"/>
  <c r="N44" i="3" s="1"/>
  <c r="I60" i="3"/>
  <c r="J60" i="3" s="1"/>
  <c r="N60" i="3" s="1"/>
  <c r="I20" i="3"/>
  <c r="J20" i="3" s="1"/>
  <c r="H20" i="3"/>
  <c r="H46" i="3"/>
  <c r="H55" i="3"/>
  <c r="H4" i="3"/>
  <c r="H15" i="3"/>
  <c r="H39" i="3"/>
  <c r="H34" i="3"/>
  <c r="H62" i="3"/>
  <c r="H11" i="3"/>
  <c r="H67" i="3"/>
  <c r="H23" i="3"/>
  <c r="H40" i="3"/>
  <c r="H27" i="3"/>
  <c r="H5" i="3"/>
  <c r="H8" i="3"/>
  <c r="H31" i="3"/>
  <c r="H56" i="3"/>
  <c r="H49" i="3"/>
  <c r="H24" i="3"/>
  <c r="H63" i="3"/>
  <c r="H28" i="3"/>
  <c r="H50" i="3"/>
  <c r="H64" i="3"/>
  <c r="H35" i="3"/>
  <c r="H57" i="3"/>
  <c r="H16" i="3"/>
  <c r="H41" i="3"/>
  <c r="H12" i="3"/>
  <c r="H58" i="3"/>
  <c r="H68" i="3"/>
  <c r="H29" i="3"/>
  <c r="H51" i="3"/>
  <c r="H21" i="3"/>
  <c r="H25" i="3"/>
  <c r="H42" i="3"/>
  <c r="H9" i="3"/>
  <c r="H65" i="3"/>
  <c r="H13" i="3"/>
  <c r="H36" i="3"/>
  <c r="H59" i="3"/>
  <c r="H52" i="3"/>
  <c r="H69" i="3"/>
  <c r="H17" i="3"/>
  <c r="H32" i="3"/>
  <c r="H70" i="3"/>
  <c r="H47" i="3"/>
  <c r="H43" i="3"/>
  <c r="H6" i="3"/>
  <c r="H53" i="3"/>
  <c r="H37" i="3"/>
  <c r="H18" i="3"/>
  <c r="H44" i="3"/>
  <c r="H60" i="3"/>
  <c r="E20" i="3"/>
  <c r="E46" i="3"/>
  <c r="E55" i="3"/>
  <c r="E4" i="3"/>
  <c r="E15" i="3"/>
  <c r="E39" i="3"/>
  <c r="E34" i="3"/>
  <c r="E62" i="3"/>
  <c r="E11" i="3"/>
  <c r="E67" i="3"/>
  <c r="E23" i="3"/>
  <c r="E40" i="3"/>
  <c r="E27" i="3"/>
  <c r="E5" i="3"/>
  <c r="E8" i="3"/>
  <c r="E31" i="3"/>
  <c r="E56" i="3"/>
  <c r="E49" i="3"/>
  <c r="E24" i="3"/>
  <c r="E63" i="3"/>
  <c r="E28" i="3"/>
  <c r="E50" i="3"/>
  <c r="E64" i="3"/>
  <c r="E35" i="3"/>
  <c r="E57" i="3"/>
  <c r="E16" i="3"/>
  <c r="E41" i="3"/>
  <c r="E12" i="3"/>
  <c r="E58" i="3"/>
  <c r="E68" i="3"/>
  <c r="E29" i="3"/>
  <c r="E51" i="3"/>
  <c r="E21" i="3"/>
  <c r="E25" i="3"/>
  <c r="E42" i="3"/>
  <c r="E9" i="3"/>
  <c r="E65" i="3"/>
  <c r="E13" i="3"/>
  <c r="E36" i="3"/>
  <c r="E59" i="3"/>
  <c r="E52" i="3"/>
  <c r="E69" i="3"/>
  <c r="E17" i="3"/>
  <c r="E32" i="3"/>
  <c r="E70" i="3"/>
  <c r="E47" i="3"/>
  <c r="E43" i="3"/>
  <c r="E6" i="3"/>
  <c r="E53" i="3"/>
  <c r="E37" i="3"/>
  <c r="E18" i="3"/>
  <c r="E44" i="3"/>
  <c r="E60" i="3"/>
  <c r="D46" i="3"/>
  <c r="D55" i="3"/>
  <c r="D4" i="3"/>
  <c r="D15" i="3"/>
  <c r="D39" i="3"/>
  <c r="D34" i="3"/>
  <c r="D62" i="3"/>
  <c r="D11" i="3"/>
  <c r="D67" i="3"/>
  <c r="D23" i="3"/>
  <c r="D40" i="3"/>
  <c r="D27" i="3"/>
  <c r="D5" i="3"/>
  <c r="D8" i="3"/>
  <c r="D31" i="3"/>
  <c r="D56" i="3"/>
  <c r="D49" i="3"/>
  <c r="D24" i="3"/>
  <c r="D63" i="3"/>
  <c r="D28" i="3"/>
  <c r="D50" i="3"/>
  <c r="D64" i="3"/>
  <c r="D35" i="3"/>
  <c r="D57" i="3"/>
  <c r="D16" i="3"/>
  <c r="D41" i="3"/>
  <c r="D12" i="3"/>
  <c r="D58" i="3"/>
  <c r="D68" i="3"/>
  <c r="D29" i="3"/>
  <c r="D51" i="3"/>
  <c r="D21" i="3"/>
  <c r="D25" i="3"/>
  <c r="D42" i="3"/>
  <c r="D9" i="3"/>
  <c r="D65" i="3"/>
  <c r="D13" i="3"/>
  <c r="D36" i="3"/>
  <c r="D59" i="3"/>
  <c r="D52" i="3"/>
  <c r="D69" i="3"/>
  <c r="D17" i="3"/>
  <c r="D32" i="3"/>
  <c r="D70" i="3"/>
  <c r="D47" i="3"/>
  <c r="D43" i="3"/>
  <c r="D6" i="3"/>
  <c r="D53" i="3"/>
  <c r="D37" i="3"/>
  <c r="D18" i="3"/>
  <c r="D44" i="3"/>
  <c r="D60" i="3"/>
  <c r="D20" i="3"/>
  <c r="F72" i="3" l="1"/>
  <c r="Q3" i="3"/>
  <c r="F77" i="3"/>
  <c r="F78" i="3"/>
  <c r="F80" i="3"/>
  <c r="F79" i="3"/>
  <c r="N13" i="3"/>
  <c r="N20" i="3"/>
  <c r="J18" i="3"/>
  <c r="N18" i="3" s="1"/>
  <c r="J43" i="3"/>
  <c r="N43" i="3" s="1"/>
  <c r="J17" i="3"/>
  <c r="N17" i="3" s="1"/>
  <c r="J36" i="3"/>
  <c r="N36" i="3" s="1"/>
  <c r="J42" i="3"/>
  <c r="N42" i="3" s="1"/>
  <c r="J29" i="3"/>
  <c r="N29" i="3" s="1"/>
  <c r="J41" i="3"/>
  <c r="N41" i="3" s="1"/>
  <c r="J64" i="3"/>
  <c r="N64" i="3" s="1"/>
  <c r="J24" i="3"/>
  <c r="N24" i="3" s="1"/>
  <c r="J8" i="3"/>
  <c r="N8" i="3" s="1"/>
  <c r="J23" i="3"/>
  <c r="N23" i="3" s="1"/>
  <c r="J34" i="3"/>
  <c r="N34" i="3" s="1"/>
  <c r="J55" i="3"/>
  <c r="N55" i="3" s="1"/>
  <c r="B8" i="22" l="1"/>
  <c r="B6" i="22"/>
  <c r="B9" i="22" s="1"/>
  <c r="B10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anna</author>
  </authors>
  <commentList>
    <comment ref="M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при просрочие да изписва "има", а при липса на такова - "няма"</t>
        </r>
      </text>
    </comment>
    <comment ref="N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Стойност на поръчката - Внесен аванс</t>
        </r>
      </text>
    </comment>
  </commentList>
</comments>
</file>

<file path=xl/sharedStrings.xml><?xml version="1.0" encoding="utf-8"?>
<sst xmlns="http://schemas.openxmlformats.org/spreadsheetml/2006/main" count="159" uniqueCount="125">
  <si>
    <t>Код</t>
  </si>
  <si>
    <t>Група</t>
  </si>
  <si>
    <t>Модел</t>
  </si>
  <si>
    <t>Базова цена (лв.)</t>
  </si>
  <si>
    <t>Каталожен №</t>
  </si>
  <si>
    <t>Наименование</t>
  </si>
  <si>
    <t>Дата на поръчката</t>
  </si>
  <si>
    <t>Име на клиент</t>
  </si>
  <si>
    <t>Код модел</t>
  </si>
  <si>
    <t>Внесен аванс</t>
  </si>
  <si>
    <t>Стойност на поръчката</t>
  </si>
  <si>
    <t>Радостина Петрова</t>
  </si>
  <si>
    <t>Брой</t>
  </si>
  <si>
    <t>"Блясък" ООД</t>
  </si>
  <si>
    <t>Иван Ангелов</t>
  </si>
  <si>
    <t>Кольо Господинов</t>
  </si>
  <si>
    <t>"Сирена" ООД</t>
  </si>
  <si>
    <t>Ирена Христова</t>
  </si>
  <si>
    <t>"Симес" АД</t>
  </si>
  <si>
    <t>Благой Димитров</t>
  </si>
  <si>
    <t>Анита Енчева</t>
  </si>
  <si>
    <t>Мехмед Али</t>
  </si>
  <si>
    <t>Йовка Илчева</t>
  </si>
  <si>
    <t>"Крес" ДЗЗД</t>
  </si>
  <si>
    <t>"Елма Тур" ЕООД</t>
  </si>
  <si>
    <t>Мими Петрова</t>
  </si>
  <si>
    <t>Лазар Томов</t>
  </si>
  <si>
    <t>Таня Кирилова</t>
  </si>
  <si>
    <t>Таркан Исмаил</t>
  </si>
  <si>
    <t>"Жанет- 64" ЕТ</t>
  </si>
  <si>
    <t>Генади Янев</t>
  </si>
  <si>
    <t>Ивайло Руменов</t>
  </si>
  <si>
    <t>Дата на предаване</t>
  </si>
  <si>
    <t>Дияна Дончева</t>
  </si>
  <si>
    <t>Коста Ников</t>
  </si>
  <si>
    <t>"Авангард" ЕООД</t>
  </si>
  <si>
    <t>Илия Илиев</t>
  </si>
  <si>
    <t>Нина Филева</t>
  </si>
  <si>
    <t>"Гусманци" ООД</t>
  </si>
  <si>
    <t>Иван Иванов</t>
  </si>
  <si>
    <t>Асен Борисов</t>
  </si>
  <si>
    <t>"Елиза - 50" ЕТ</t>
  </si>
  <si>
    <t>"Офис Маркет" АД</t>
  </si>
  <si>
    <t>Мария Ангелова</t>
  </si>
  <si>
    <t>Виктор Исаев</t>
  </si>
  <si>
    <t>Людмила Жекова</t>
  </si>
  <si>
    <t>Ивелина Росенова</t>
  </si>
  <si>
    <t>Стела Петкова</t>
  </si>
  <si>
    <t>Щерьо Симеонов</t>
  </si>
  <si>
    <t>ЦДГ 6 "Синчец"</t>
  </si>
  <si>
    <t>Огнян Бойчев</t>
  </si>
  <si>
    <t>МЦ "Санита"</t>
  </si>
  <si>
    <t>Стефан Стефчов</t>
  </si>
  <si>
    <t>Просрочие</t>
  </si>
  <si>
    <t>Сума за получаване</t>
  </si>
  <si>
    <t>Общо:</t>
  </si>
  <si>
    <t>Сума получен аванс:</t>
  </si>
  <si>
    <t>Общо просрочия:</t>
  </si>
  <si>
    <t>1. Като използвате данните от лист "Основни" допълнете таблицата в лист "Поръчки".</t>
  </si>
  <si>
    <t>5. В лист Pivot направете подходяща Pivot таблица.</t>
  </si>
  <si>
    <t>ЗАДАНИЕ</t>
  </si>
  <si>
    <t>* Необходимо е данните да бъдат предварително сортирани.</t>
  </si>
  <si>
    <t>* Използвани функции: VLOOKUP; IF; SUM; SUMIF; COUNTIF, AND, OR.</t>
  </si>
  <si>
    <t>2. В лист "Sort_Filter" упражнете сортиране и филтриране съответно със Sort и Filter /копирайте таблицата от лист "Поръчки"/.</t>
  </si>
  <si>
    <t>3. В лист Subtotal направете обобщение съответно със Subtotal по "Група" за "Внесен аванс" и "Сума за получаване"; създайте графика.</t>
  </si>
  <si>
    <t>Списък поръчки м. Август 2018</t>
  </si>
  <si>
    <t>Сценарий</t>
  </si>
  <si>
    <t>Брой записани деца</t>
  </si>
  <si>
    <t>Процент посещаващи</t>
  </si>
  <si>
    <t>Наем за 1 час</t>
  </si>
  <si>
    <t>Брой посетили</t>
  </si>
  <si>
    <t>Доход от 1 посетител</t>
  </si>
  <si>
    <t>Разход</t>
  </si>
  <si>
    <t>Приход</t>
  </si>
  <si>
    <t>Печалба</t>
  </si>
  <si>
    <t>Комби</t>
  </si>
  <si>
    <t>Golf Variant</t>
  </si>
  <si>
    <t>Golf Alltrack</t>
  </si>
  <si>
    <t>Passat Variant</t>
  </si>
  <si>
    <t>Passat Alltrack</t>
  </si>
  <si>
    <t>SUV</t>
  </si>
  <si>
    <t>Tiguan</t>
  </si>
  <si>
    <t>T-Roc</t>
  </si>
  <si>
    <t>Tiguan Allspace</t>
  </si>
  <si>
    <t>Touareg 2018</t>
  </si>
  <si>
    <t>up!</t>
  </si>
  <si>
    <t>Golf</t>
  </si>
  <si>
    <t>Електрически модели</t>
  </si>
  <si>
    <t>e-Golf</t>
  </si>
  <si>
    <t>Passat GTE</t>
  </si>
  <si>
    <t>GTE Variant</t>
  </si>
  <si>
    <t>Срок за доставка (дни)</t>
  </si>
  <si>
    <t>Градски модели</t>
  </si>
  <si>
    <t>Cargo up!</t>
  </si>
  <si>
    <t>e-load up!</t>
  </si>
  <si>
    <t>Аванс</t>
  </si>
  <si>
    <t>Крайна дата за доставка</t>
  </si>
  <si>
    <t>Код екстра</t>
  </si>
  <si>
    <t>Цена (в лв.)</t>
  </si>
  <si>
    <t>Алуминиеви джанти</t>
  </si>
  <si>
    <t>LED фарове ЗАВИВАЩИ /къси и дълги</t>
  </si>
  <si>
    <t>Безконтактно централно заключване</t>
  </si>
  <si>
    <t>Електрическо регулиране на седалката</t>
  </si>
  <si>
    <t>Наименование на екстра</t>
  </si>
  <si>
    <t>4. В лист AdvFilter използвайте Advanced Filter по заданите критерии</t>
  </si>
  <si>
    <t>ГРУПА</t>
  </si>
  <si>
    <t>БРОЙ</t>
  </si>
  <si>
    <t>Row Labels</t>
  </si>
  <si>
    <t>Grand Total</t>
  </si>
  <si>
    <t>Sum of Брой</t>
  </si>
  <si>
    <t>Golf Variant Total</t>
  </si>
  <si>
    <t>Golf Alltrack Total</t>
  </si>
  <si>
    <t>Passat Variant Total</t>
  </si>
  <si>
    <t>Passat Alltrack Total</t>
  </si>
  <si>
    <t>Tiguan Total</t>
  </si>
  <si>
    <t>T-Roc Total</t>
  </si>
  <si>
    <t>Tiguan Allspace Total</t>
  </si>
  <si>
    <t>Touareg 2018 Total</t>
  </si>
  <si>
    <t>up! Total</t>
  </si>
  <si>
    <t>Golf Total</t>
  </si>
  <si>
    <t>Cargo up! Total</t>
  </si>
  <si>
    <t>e-load up! Total</t>
  </si>
  <si>
    <t>e-Golf Total</t>
  </si>
  <si>
    <t>Passat GTE Total</t>
  </si>
  <si>
    <t>GTE Variant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</si>
</sst>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лв.&quot;;[Red]\-#,##0.00\ &quot;лв.&quot;"/>
    <numFmt numFmtId="164" formatCode="0.00;[Red]0.00"/>
    <numFmt numFmtId="165" formatCode="#,##0.00\ &quot;лв.&quot;"/>
    <numFmt numFmtId="166" formatCode="#,##0.00\ &quot;лв.&quot;;[Red]#,##0.00\ &quot;лв.&quot;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9"/>
      <color indexed="81"/>
      <name val="Tahoma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9" fontId="0" fillId="0" borderId="0" xfId="0" applyNumberFormat="1"/>
    <xf numFmtId="8" fontId="0" fillId="0" borderId="0" xfId="0" applyNumberFormat="1"/>
    <xf numFmtId="9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1" xfId="0" applyFont="1" applyBorder="1"/>
    <xf numFmtId="14" fontId="0" fillId="0" borderId="0" xfId="0" applyNumberFormat="1" applyBorder="1"/>
    <xf numFmtId="166" fontId="0" fillId="0" borderId="0" xfId="0" applyNumberFormat="1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Поръчки!$F$76</c:f>
              <c:strCache>
                <c:ptCount val="1"/>
                <c:pt idx="0">
                  <c:v>БРОЙ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Поръчки!$E$77:$E$80</c:f>
              <c:strCache>
                <c:ptCount val="4"/>
                <c:pt idx="0">
                  <c:v>Комби</c:v>
                </c:pt>
                <c:pt idx="1">
                  <c:v>SUV</c:v>
                </c:pt>
                <c:pt idx="2">
                  <c:v>Градски модели</c:v>
                </c:pt>
                <c:pt idx="3">
                  <c:v>Електрически модели</c:v>
                </c:pt>
              </c:strCache>
            </c:strRef>
          </c:cat>
          <c:val>
            <c:numRef>
              <c:f>Поръчки!$F$77:$F$80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37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F-4A15-9084-F9DCDF79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38693080"/>
        <c:axId val="338693408"/>
      </c:barChart>
      <c:catAx>
        <c:axId val="33869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38693408"/>
        <c:auto val="1"/>
        <c:lblAlgn val="ctr"/>
        <c:lblOffset val="100"/>
        <c:noMultiLvlLbl val="0"/>
      </c:catAx>
      <c:valAx>
        <c:axId val="33869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3869308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[Упр_Excel_3.xlsx]Sheet1!PivotTable1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Електрически модели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1-4BAB-BFE4-233A8D6E9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21824"/>
        <c:axId val="502919528"/>
      </c:barChart>
      <c:catAx>
        <c:axId val="5029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02919528"/>
        <c:crosses val="autoZero"/>
        <c:auto val="1"/>
        <c:lblAlgn val="ctr"/>
        <c:lblOffset val="100"/>
        <c:noMultiLvlLbl val="0"/>
      </c:catAx>
      <c:valAx>
        <c:axId val="5029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029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199718</xdr:colOff>
      <xdr:row>73</xdr:row>
      <xdr:rowOff>15363</xdr:rowOff>
    </xdr:from>
    <xdr:to>
      <xdr:col>3</xdr:col>
      <xdr:colOff>788117</xdr:colOff>
      <xdr:row>85</xdr:row>
      <xdr:rowOff>115683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855B6-FD69-4305-A162-842BF2A7B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3</xdr:row>
      <xdr:rowOff>95250</xdr:rowOff>
    </xdr:from>
    <xdr:to>
      <xdr:col>9</xdr:col>
      <xdr:colOff>461962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990BA-8AE6-40CF-9BC2-9F2364CEF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doranova" refreshedDate="43389.530353819442" createdVersion="6" refreshedVersion="6" minRefreshableVersion="3" recordCount="53" xr:uid="{64AF30FF-E5F6-4933-8923-37F474BAFC05}">
  <cacheSource type="worksheet">
    <worksheetSource ref="A3:N70" sheet="Поръчки"/>
  </cacheSource>
  <cacheFields count="14">
    <cacheField name="Дата на поръчката" numFmtId="14">
      <sharedItems containsSemiMixedTypes="0" containsNonDate="0" containsDate="1" containsString="0" minDate="2018-08-02T00:00:00" maxDate="2018-08-26T00:00:00" count="22">
        <d v="2018-08-02T00:00:00"/>
        <d v="2018-08-03T00:00:00"/>
        <d v="2018-08-04T00:00:00"/>
        <d v="2018-08-05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</sharedItems>
    </cacheField>
    <cacheField name="Име на клиент" numFmtId="0">
      <sharedItems/>
    </cacheField>
    <cacheField name="Код модел" numFmtId="0">
      <sharedItems containsSemiMixedTypes="0" containsString="0" containsNumber="1" containsInteger="1" minValue="1" maxValue="15"/>
    </cacheField>
    <cacheField name="Група" numFmtId="0">
      <sharedItems count="4">
        <s v="SUV"/>
        <s v="Градски модели"/>
        <s v="Електрически модели"/>
        <s v="Комби"/>
      </sharedItems>
    </cacheField>
    <cacheField name="Модел" numFmtId="0">
      <sharedItems/>
    </cacheField>
    <cacheField name="Брой" numFmtId="0">
      <sharedItems containsSemiMixedTypes="0" containsString="0" containsNumber="1" containsInteger="1" minValue="1" maxValue="6"/>
    </cacheField>
    <cacheField name="Код екстра" numFmtId="0">
      <sharedItems containsSemiMixedTypes="0" containsString="0" containsNumber="1" containsInteger="1" minValue="1010" maxValue="1013"/>
    </cacheField>
    <cacheField name="Наименование на екстра" numFmtId="0">
      <sharedItems/>
    </cacheField>
    <cacheField name="Стойност на поръчката" numFmtId="166">
      <sharedItems containsSemiMixedTypes="0" containsString="0" containsNumber="1" containsInteger="1" minValue="20949" maxValue="461142"/>
    </cacheField>
    <cacheField name="Внесен аванс" numFmtId="166">
      <sharedItems containsSemiMixedTypes="0" containsString="0" containsNumber="1" minValue="6284.7" maxValue="138342.6"/>
    </cacheField>
    <cacheField name="Крайна дата за доставка" numFmtId="14">
      <sharedItems containsSemiMixedTypes="0" containsNonDate="0" containsDate="1" containsString="0" minDate="2018-08-19T00:00:00" maxDate="2018-09-23T00:00:00"/>
    </cacheField>
    <cacheField name="Дата на предаване" numFmtId="14">
      <sharedItems containsSemiMixedTypes="0" containsNonDate="0" containsDate="1" containsString="0" minDate="2018-08-19T00:00:00" maxDate="2018-09-23T00:00:00"/>
    </cacheField>
    <cacheField name="Просрочие" numFmtId="0">
      <sharedItems/>
    </cacheField>
    <cacheField name="Сума за получаване" numFmtId="2">
      <sharedItems containsSemiMixedTypes="0" containsString="0" containsNumber="1" minValue="14664.3" maxValue="322799.4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Радостина Петрова"/>
    <n v="5"/>
    <x v="0"/>
    <s v="Tiguan"/>
    <n v="1"/>
    <n v="1010"/>
    <s v="Алуминиеви джанти"/>
    <n v="54955"/>
    <n v="16486.5"/>
    <d v="2018-08-22T00:00:00"/>
    <d v="2018-08-22T00:00:00"/>
    <s v=" "/>
    <n v="38468.5"/>
  </r>
  <r>
    <x v="0"/>
    <s v="Радостина Петрова"/>
    <n v="11"/>
    <x v="1"/>
    <s v="Cargo up!"/>
    <n v="2"/>
    <n v="1010"/>
    <s v="Алуминиеви джанти"/>
    <n v="43264"/>
    <n v="12979.199999999999"/>
    <d v="2018-08-20T00:00:00"/>
    <d v="2018-08-20T00:00:00"/>
    <s v=" "/>
    <n v="30284.800000000003"/>
  </r>
  <r>
    <x v="1"/>
    <s v="&quot;Блясък&quot; ООД"/>
    <n v="13"/>
    <x v="2"/>
    <s v="e-Golf"/>
    <n v="4"/>
    <n v="1012"/>
    <s v="Безконтактно централно заключване"/>
    <n v="304696"/>
    <n v="91408.8"/>
    <d v="2018-08-21T00:00:00"/>
    <d v="2018-08-21T00:00:00"/>
    <s v=" "/>
    <n v="213287.2"/>
  </r>
  <r>
    <x v="2"/>
    <s v="Иван Ангелов"/>
    <n v="1"/>
    <x v="3"/>
    <s v="Golf Variant"/>
    <n v="1"/>
    <n v="1011"/>
    <s v="LED фарове ЗАВИВАЩИ /къси и дълги"/>
    <n v="38878"/>
    <n v="11663.4"/>
    <d v="2018-08-22T00:00:00"/>
    <d v="2018-08-22T00:00:00"/>
    <s v=" "/>
    <n v="27214.6"/>
  </r>
  <r>
    <x v="2"/>
    <s v="Кольо Господинов"/>
    <n v="4"/>
    <x v="3"/>
    <s v="Passat Alltrack"/>
    <n v="1"/>
    <n v="1011"/>
    <s v="LED фарове ЗАВИВАЩИ /къси и дълги"/>
    <n v="54466"/>
    <n v="16339.8"/>
    <d v="2018-08-24T00:00:00"/>
    <d v="2018-08-24T00:00:00"/>
    <s v=" "/>
    <n v="38126.199999999997"/>
  </r>
  <r>
    <x v="3"/>
    <s v="Благой Димитров"/>
    <n v="10"/>
    <x v="1"/>
    <s v="Golf"/>
    <n v="2"/>
    <n v="1011"/>
    <s v="LED фарове ЗАВИВАЩИ /къси и дълги"/>
    <n v="77756"/>
    <n v="23326.799999999999"/>
    <d v="2018-08-21T00:00:00"/>
    <d v="2018-08-21T00:00:00"/>
    <s v=" "/>
    <n v="54429.2"/>
  </r>
  <r>
    <x v="3"/>
    <s v="&quot;Сирена&quot; ООД"/>
    <n v="9"/>
    <x v="1"/>
    <s v="up!"/>
    <n v="4"/>
    <n v="1013"/>
    <s v="Електрическо регулиране на седалката"/>
    <n v="86560"/>
    <n v="25968"/>
    <d v="2018-08-31T00:00:00"/>
    <d v="2018-08-31T00:00:00"/>
    <s v=" "/>
    <n v="60592"/>
  </r>
  <r>
    <x v="3"/>
    <s v="Ирена Христова"/>
    <n v="14"/>
    <x v="2"/>
    <s v="Passat GTE"/>
    <n v="6"/>
    <n v="1010"/>
    <s v="Алуминиеви джанти"/>
    <n v="458100"/>
    <n v="137430"/>
    <d v="2018-09-04T00:00:00"/>
    <d v="2018-09-10T00:00:00"/>
    <s v="ИМА"/>
    <n v="320670"/>
  </r>
  <r>
    <x v="3"/>
    <s v="Анита Енчева"/>
    <n v="3"/>
    <x v="3"/>
    <s v="Passat Variant"/>
    <n v="1"/>
    <n v="1010"/>
    <s v="Алуминиеви джанти"/>
    <n v="45899"/>
    <n v="13769.699999999999"/>
    <d v="2018-08-23T00:00:00"/>
    <d v="2018-08-23T00:00:00"/>
    <s v=" "/>
    <n v="32129.300000000003"/>
  </r>
  <r>
    <x v="4"/>
    <s v="Мехмед Али"/>
    <n v="15"/>
    <x v="2"/>
    <s v="GTE Variant"/>
    <n v="1"/>
    <n v="1011"/>
    <s v="LED фарове ЗАВИВАЩИ /къси и дълги"/>
    <n v="75153"/>
    <n v="22545.899999999998"/>
    <d v="2018-08-25T00:00:00"/>
    <d v="2018-08-25T00:00:00"/>
    <s v=" "/>
    <n v="52607.100000000006"/>
  </r>
  <r>
    <x v="4"/>
    <s v="Йовка Илчева"/>
    <n v="6"/>
    <x v="0"/>
    <s v="T-Roc"/>
    <n v="1"/>
    <n v="1011"/>
    <s v="LED фарове ЗАВИВАЩИ /къси и дълги"/>
    <n v="37471"/>
    <n v="11241.3"/>
    <d v="2018-08-27T00:00:00"/>
    <d v="2018-08-27T00:00:00"/>
    <s v=" "/>
    <n v="26229.7"/>
  </r>
  <r>
    <x v="5"/>
    <s v="&quot;Крес&quot; ДЗЗД"/>
    <n v="10"/>
    <x v="1"/>
    <s v="Golf"/>
    <n v="2"/>
    <n v="1013"/>
    <s v="Електрическо регулиране на седалката"/>
    <n v="74176"/>
    <n v="22252.799999999999"/>
    <d v="2018-08-24T00:00:00"/>
    <d v="2018-08-24T00:00:00"/>
    <s v=" "/>
    <n v="51923.199999999997"/>
  </r>
  <r>
    <x v="5"/>
    <s v="&quot;Елма Тур&quot; ЕООД"/>
    <n v="7"/>
    <x v="0"/>
    <s v="Tiguan Allspace"/>
    <n v="2"/>
    <n v="1012"/>
    <s v="Безконтактно централно заключване"/>
    <n v="108568"/>
    <n v="32570.399999999998"/>
    <d v="2018-08-22T00:00:00"/>
    <d v="2018-08-22T00:00:00"/>
    <s v=" "/>
    <n v="75997.600000000006"/>
  </r>
  <r>
    <x v="6"/>
    <s v="Мими Петрова"/>
    <n v="1"/>
    <x v="3"/>
    <s v="Golf Variant"/>
    <n v="1"/>
    <n v="1010"/>
    <s v="Алуминиеви джанти"/>
    <n v="37080"/>
    <n v="11124"/>
    <d v="2018-08-27T00:00:00"/>
    <d v="2018-08-27T00:00:00"/>
    <s v=" "/>
    <n v="25956"/>
  </r>
  <r>
    <x v="7"/>
    <s v="&quot;Симес&quot; АД"/>
    <n v="2"/>
    <x v="3"/>
    <s v="Golf Alltrack"/>
    <n v="2"/>
    <n v="1012"/>
    <s v="Безконтактно централно заключване"/>
    <n v="75880"/>
    <n v="22764"/>
    <d v="2018-08-28T00:00:00"/>
    <d v="2018-08-28T00:00:00"/>
    <s v=" "/>
    <n v="53116"/>
  </r>
  <r>
    <x v="7"/>
    <s v="&quot;Симес&quot; АД"/>
    <n v="8"/>
    <x v="0"/>
    <s v="Touareg 2018"/>
    <n v="4"/>
    <n v="1012"/>
    <s v="Безконтактно централно заключване"/>
    <n v="414688"/>
    <n v="124406.39999999999"/>
    <d v="2018-09-03T00:00:00"/>
    <d v="2018-09-03T00:00:00"/>
    <s v=" "/>
    <n v="290281.59999999998"/>
  </r>
  <r>
    <x v="7"/>
    <s v="&quot;Симес&quot; АД"/>
    <n v="13"/>
    <x v="2"/>
    <s v="e-Golf"/>
    <n v="4"/>
    <n v="1012"/>
    <s v="Безконтактно централно заключване"/>
    <n v="304696"/>
    <n v="91408.8"/>
    <d v="2018-08-28T00:00:00"/>
    <d v="2018-08-28T00:00:00"/>
    <s v=" "/>
    <n v="213287.2"/>
  </r>
  <r>
    <x v="8"/>
    <s v="Генади Янев"/>
    <n v="12"/>
    <x v="1"/>
    <s v="e-load up!"/>
    <n v="2"/>
    <n v="1010"/>
    <s v="Алуминиеви джанти"/>
    <n v="49792"/>
    <n v="14937.599999999999"/>
    <d v="2018-08-19T00:00:00"/>
    <d v="2018-08-19T00:00:00"/>
    <s v=" "/>
    <n v="34854.400000000001"/>
  </r>
  <r>
    <x v="9"/>
    <s v="Лазар Томов"/>
    <n v="6"/>
    <x v="0"/>
    <s v="T-Roc"/>
    <n v="1"/>
    <n v="1010"/>
    <s v="Алуминиеви джанти"/>
    <n v="35673"/>
    <n v="10701.9"/>
    <d v="2018-09-01T00:00:00"/>
    <d v="2018-09-01T00:00:00"/>
    <s v=" "/>
    <n v="24971.1"/>
  </r>
  <r>
    <x v="9"/>
    <s v="Таня Кирилова"/>
    <n v="14"/>
    <x v="2"/>
    <s v="Passat GTE"/>
    <n v="4"/>
    <n v="1011"/>
    <s v="LED фарове ЗАВИВАЩИ /къси и дълги"/>
    <n v="312592"/>
    <n v="93777.599999999991"/>
    <d v="2018-09-01T00:00:00"/>
    <d v="2018-09-01T00:00:00"/>
    <s v=" "/>
    <n v="218814.40000000002"/>
  </r>
  <r>
    <x v="10"/>
    <s v="Таркан Исмаил"/>
    <n v="7"/>
    <x v="0"/>
    <s v="Tiguan Allspace"/>
    <n v="2"/>
    <n v="1010"/>
    <s v="Алуминиеви джанти"/>
    <n v="109934"/>
    <n v="32980.199999999997"/>
    <d v="2018-08-27T00:00:00"/>
    <d v="2018-09-01T00:00:00"/>
    <s v="ИМА"/>
    <n v="76953.8"/>
  </r>
  <r>
    <x v="10"/>
    <s v="Таркан Исмаил"/>
    <n v="12"/>
    <x v="1"/>
    <s v="e-load up!"/>
    <n v="4"/>
    <n v="1010"/>
    <s v="Алуминиеви джанти"/>
    <n v="99584"/>
    <n v="29875.199999999997"/>
    <d v="2018-08-31T00:00:00"/>
    <d v="2018-08-31T00:00:00"/>
    <s v=" "/>
    <n v="69708.800000000003"/>
  </r>
  <r>
    <x v="10"/>
    <s v="&quot;Жанет- 64&quot; ЕТ"/>
    <n v="14"/>
    <x v="2"/>
    <s v="Passat GTE"/>
    <n v="2"/>
    <n v="1013"/>
    <s v="Електрическо регулиране на седалката"/>
    <n v="152716"/>
    <n v="45814.799999999996"/>
    <d v="2018-08-23T00:00:00"/>
    <d v="2018-08-23T00:00:00"/>
    <s v=" "/>
    <n v="106901.20000000001"/>
  </r>
  <r>
    <x v="11"/>
    <s v="Ивайло Руменов"/>
    <n v="9"/>
    <x v="1"/>
    <s v="up!"/>
    <n v="1"/>
    <n v="1010"/>
    <s v="Алуминиеви джанти"/>
    <n v="21632"/>
    <n v="6489.5999999999995"/>
    <d v="2018-08-30T00:00:00"/>
    <d v="2018-08-30T00:00:00"/>
    <s v=" "/>
    <n v="15142.400000000001"/>
  </r>
  <r>
    <x v="11"/>
    <s v="Дияна Дончева"/>
    <n v="13"/>
    <x v="2"/>
    <s v="e-Golf"/>
    <n v="3"/>
    <n v="1011"/>
    <s v="LED фарове ЗАВИВАЩИ /къси и дълги"/>
    <n v="235965"/>
    <n v="70789.5"/>
    <d v="2018-09-01T00:00:00"/>
    <d v="2018-09-01T00:00:00"/>
    <s v=" "/>
    <n v="165175.5"/>
  </r>
  <r>
    <x v="12"/>
    <s v="Коста Ников"/>
    <n v="4"/>
    <x v="3"/>
    <s v="Passat Alltrack"/>
    <n v="1"/>
    <n v="1010"/>
    <s v="Алуминиеви джанти"/>
    <n v="52668"/>
    <n v="15800.4"/>
    <d v="2018-09-04T00:00:00"/>
    <d v="2018-09-04T00:00:00"/>
    <s v=" "/>
    <n v="36867.599999999999"/>
  </r>
  <r>
    <x v="12"/>
    <s v="Коста Ников"/>
    <n v="10"/>
    <x v="1"/>
    <s v="Golf"/>
    <n v="2"/>
    <n v="1010"/>
    <s v="Алуминиеви джанти"/>
    <n v="74160"/>
    <n v="22248"/>
    <d v="2018-08-31T00:00:00"/>
    <d v="2018-08-31T00:00:00"/>
    <s v=" "/>
    <n v="51912"/>
  </r>
  <r>
    <x v="12"/>
    <s v="&quot;Авангард&quot; ЕООД"/>
    <n v="3"/>
    <x v="3"/>
    <s v="Passat Variant"/>
    <n v="2"/>
    <n v="1012"/>
    <s v="Безконтактно централно заключване"/>
    <n v="90432"/>
    <n v="27129.599999999999"/>
    <d v="2018-09-02T00:00:00"/>
    <d v="2018-09-02T00:00:00"/>
    <s v=" "/>
    <n v="63302.400000000001"/>
  </r>
  <r>
    <x v="12"/>
    <s v="&quot;Авангард&quot; ЕООД"/>
    <n v="13"/>
    <x v="2"/>
    <s v="e-Golf"/>
    <n v="6"/>
    <n v="1012"/>
    <s v="Безконтактно централно заключване"/>
    <n v="457044"/>
    <n v="137113.19999999998"/>
    <d v="2018-09-12T00:00:00"/>
    <d v="2018-09-12T00:00:00"/>
    <s v=" "/>
    <n v="319930.80000000005"/>
  </r>
  <r>
    <x v="13"/>
    <s v="Илия Илиев"/>
    <n v="15"/>
    <x v="2"/>
    <s v="GTE Variant"/>
    <n v="1"/>
    <n v="1010"/>
    <s v="Алуминиеви джанти"/>
    <n v="73355"/>
    <n v="22006.5"/>
    <d v="2018-09-05T00:00:00"/>
    <d v="2018-09-05T00:00:00"/>
    <s v=" "/>
    <n v="51348.5"/>
  </r>
  <r>
    <x v="13"/>
    <s v="Илия Илиев"/>
    <n v="7"/>
    <x v="0"/>
    <s v="Tiguan Allspace"/>
    <n v="2"/>
    <n v="1010"/>
    <s v="Алуминиеви джанти"/>
    <n v="109934"/>
    <n v="32980.199999999997"/>
    <d v="2018-08-30T00:00:00"/>
    <d v="2018-08-30T00:00:00"/>
    <s v=" "/>
    <n v="76953.8"/>
  </r>
  <r>
    <x v="13"/>
    <s v="Нина Филева"/>
    <n v="12"/>
    <x v="1"/>
    <s v="e-load up!"/>
    <n v="4"/>
    <n v="1011"/>
    <s v="LED фарове ЗАВИВАЩИ /къси и дълги"/>
    <n v="106776"/>
    <n v="32032.799999999999"/>
    <d v="2018-09-03T00:00:00"/>
    <d v="2018-09-03T00:00:00"/>
    <s v=" "/>
    <n v="74743.199999999997"/>
  </r>
  <r>
    <x v="13"/>
    <s v="&quot;Гусманци&quot; ООД"/>
    <n v="5"/>
    <x v="0"/>
    <s v="Tiguan"/>
    <n v="2"/>
    <n v="1013"/>
    <s v="Електрическо регулиране на седалката"/>
    <n v="109926"/>
    <n v="32977.799999999996"/>
    <d v="2018-09-06T00:00:00"/>
    <d v="2018-09-06T00:00:00"/>
    <s v=" "/>
    <n v="76948.200000000012"/>
  </r>
  <r>
    <x v="13"/>
    <s v="Иван Иванов"/>
    <n v="6"/>
    <x v="0"/>
    <s v="T-Roc"/>
    <n v="1"/>
    <n v="1011"/>
    <s v="LED фарове ЗАВИВАЩИ /къси и дълги"/>
    <n v="37471"/>
    <n v="11241.3"/>
    <d v="2018-09-06T00:00:00"/>
    <d v="2018-09-06T00:00:00"/>
    <s v=" "/>
    <n v="26229.7"/>
  </r>
  <r>
    <x v="13"/>
    <s v="Асен Борисов"/>
    <n v="10"/>
    <x v="1"/>
    <s v="Golf"/>
    <n v="2"/>
    <n v="1013"/>
    <s v="Електрическо регулиране на седалката"/>
    <n v="74176"/>
    <n v="22252.799999999999"/>
    <d v="2018-09-02T00:00:00"/>
    <d v="2018-09-02T00:00:00"/>
    <s v=" "/>
    <n v="51923.199999999997"/>
  </r>
  <r>
    <x v="14"/>
    <s v="&quot;Елиза - 50&quot; ЕТ"/>
    <n v="2"/>
    <x v="3"/>
    <s v="Golf Alltrack"/>
    <n v="1"/>
    <n v="1013"/>
    <s v="Електрическо регулиране на седалката"/>
    <n v="38631"/>
    <n v="11589.3"/>
    <d v="2018-09-05T00:00:00"/>
    <d v="2018-09-05T00:00:00"/>
    <s v=" "/>
    <n v="27041.7"/>
  </r>
  <r>
    <x v="14"/>
    <s v="&quot;Елиза - 50&quot; ЕТ"/>
    <n v="14"/>
    <x v="2"/>
    <s v="Passat GTE"/>
    <n v="4"/>
    <n v="1013"/>
    <s v="Електрическо регулиране на седалката"/>
    <n v="305432"/>
    <n v="91629.599999999991"/>
    <d v="2018-09-07T00:00:00"/>
    <d v="2018-09-07T00:00:00"/>
    <s v=" "/>
    <n v="213802.40000000002"/>
  </r>
  <r>
    <x v="15"/>
    <s v="&quot;Офис Маркет&quot; АД"/>
    <n v="3"/>
    <x v="3"/>
    <s v="Passat Variant"/>
    <n v="1"/>
    <n v="1012"/>
    <s v="Безконтактно централно заключване"/>
    <n v="45216"/>
    <n v="13564.8"/>
    <d v="2018-09-06T00:00:00"/>
    <d v="2018-09-06T00:00:00"/>
    <s v=" "/>
    <n v="31651.200000000001"/>
  </r>
  <r>
    <x v="15"/>
    <s v="&quot;Офис Маркет&quot; АД"/>
    <n v="9"/>
    <x v="1"/>
    <s v="up!"/>
    <n v="2"/>
    <n v="1012"/>
    <s v="Безконтактно централно заключване"/>
    <n v="41898"/>
    <n v="12569.4"/>
    <d v="2018-09-04T00:00:00"/>
    <d v="2018-09-07T00:00:00"/>
    <s v="ИМА"/>
    <n v="29328.6"/>
  </r>
  <r>
    <x v="15"/>
    <s v="&quot;Офис Маркет&quot; АД"/>
    <n v="13"/>
    <x v="2"/>
    <s v="e-Golf"/>
    <n v="2"/>
    <n v="1012"/>
    <s v="Безконтактно централно заключване"/>
    <n v="152348"/>
    <n v="45704.4"/>
    <d v="2018-08-27T00:00:00"/>
    <d v="2018-08-27T00:00:00"/>
    <s v=" "/>
    <n v="106643.6"/>
  </r>
  <r>
    <x v="16"/>
    <s v="Мария Ангелова"/>
    <n v="12"/>
    <x v="1"/>
    <s v="e-load up!"/>
    <n v="2"/>
    <n v="1010"/>
    <s v="Алуминиеви джанти"/>
    <n v="49792"/>
    <n v="14937.599999999999"/>
    <d v="2018-08-28T00:00:00"/>
    <d v="2018-08-28T00:00:00"/>
    <s v=" "/>
    <n v="34854.400000000001"/>
  </r>
  <r>
    <x v="16"/>
    <s v="Виктор Исаев"/>
    <n v="15"/>
    <x v="2"/>
    <s v="GTE Variant"/>
    <n v="1"/>
    <n v="1011"/>
    <s v="LED фарове ЗАВИВАЩИ /къси и дълги"/>
    <n v="75153"/>
    <n v="22545.899999999998"/>
    <d v="2018-09-09T00:00:00"/>
    <d v="2018-09-09T00:00:00"/>
    <s v=" "/>
    <n v="52607.100000000006"/>
  </r>
  <r>
    <x v="17"/>
    <s v="Людмила Жекова"/>
    <n v="4"/>
    <x v="3"/>
    <s v="Passat Alltrack"/>
    <n v="1"/>
    <n v="1010"/>
    <s v="Алуминиеви джанти"/>
    <n v="52668"/>
    <n v="15800.4"/>
    <d v="2018-09-10T00:00:00"/>
    <d v="2018-09-10T00:00:00"/>
    <s v=" "/>
    <n v="36867.599999999999"/>
  </r>
  <r>
    <x v="17"/>
    <s v="Ивелина Росенова"/>
    <n v="8"/>
    <x v="0"/>
    <s v="Touareg 2018"/>
    <n v="1"/>
    <n v="1010"/>
    <s v="Алуминиеви джанти"/>
    <n v="104355"/>
    <n v="31306.5"/>
    <d v="2018-09-04T00:00:00"/>
    <d v="2018-09-04T00:00:00"/>
    <s v=" "/>
    <n v="73048.5"/>
  </r>
  <r>
    <x v="18"/>
    <s v="Стела Петкова"/>
    <n v="15"/>
    <x v="2"/>
    <s v="GTE Variant"/>
    <n v="1"/>
    <n v="1010"/>
    <s v="Алуминиеви джанти"/>
    <n v="73355"/>
    <n v="22006.5"/>
    <d v="2018-09-11T00:00:00"/>
    <d v="2018-09-11T00:00:00"/>
    <s v=" "/>
    <n v="51348.5"/>
  </r>
  <r>
    <x v="18"/>
    <s v="Стела Петкова"/>
    <n v="11"/>
    <x v="1"/>
    <s v="Cargo up!"/>
    <n v="2"/>
    <n v="1010"/>
    <s v="Алуминиеви джанти"/>
    <n v="43264"/>
    <n v="12979.199999999999"/>
    <d v="2018-09-09T00:00:00"/>
    <d v="2018-09-09T00:00:00"/>
    <s v=" "/>
    <n v="30284.800000000003"/>
  </r>
  <r>
    <x v="18"/>
    <s v="Щерьо Симеонов"/>
    <n v="10"/>
    <x v="1"/>
    <s v="Golf"/>
    <n v="2"/>
    <n v="1011"/>
    <s v="LED фарове ЗАВИВАЩИ /къси и дълги"/>
    <n v="77756"/>
    <n v="23326.799999999999"/>
    <d v="2018-09-07T00:00:00"/>
    <d v="2018-09-07T00:00:00"/>
    <s v=" "/>
    <n v="54429.2"/>
  </r>
  <r>
    <x v="19"/>
    <s v="ЦДГ 6 &quot;Синчец&quot;"/>
    <n v="1"/>
    <x v="3"/>
    <s v="Golf Variant"/>
    <n v="1"/>
    <n v="1011"/>
    <s v="LED фарове ЗАВИВАЩИ /къси и дълги"/>
    <n v="38878"/>
    <n v="11663.4"/>
    <d v="2018-09-10T00:00:00"/>
    <d v="2018-09-10T00:00:00"/>
    <s v=" "/>
    <n v="27214.6"/>
  </r>
  <r>
    <x v="19"/>
    <s v="ЦДГ 6 &quot;Синчец&quot;"/>
    <n v="12"/>
    <x v="1"/>
    <s v="e-load up!"/>
    <n v="4"/>
    <n v="1011"/>
    <s v="LED фарове ЗАВИВАЩИ /къси и дълги"/>
    <n v="106776"/>
    <n v="32032.799999999999"/>
    <d v="2018-09-10T00:00:00"/>
    <d v="2018-09-10T00:00:00"/>
    <s v=" "/>
    <n v="74743.199999999997"/>
  </r>
  <r>
    <x v="20"/>
    <s v="Огнян Бойчев"/>
    <n v="9"/>
    <x v="1"/>
    <s v="up!"/>
    <n v="1"/>
    <n v="1012"/>
    <s v="Безконтактно централно заключване"/>
    <n v="20949"/>
    <n v="6284.7"/>
    <d v="2018-09-09T00:00:00"/>
    <d v="2018-09-09T00:00:00"/>
    <s v=" "/>
    <n v="14664.3"/>
  </r>
  <r>
    <x v="21"/>
    <s v="МЦ &quot;Санита&quot;"/>
    <n v="4"/>
    <x v="3"/>
    <s v="Passat Alltrack"/>
    <n v="2"/>
    <n v="1013"/>
    <s v="Електрическо регулиране на седалката"/>
    <n v="105352"/>
    <n v="31605.599999999999"/>
    <d v="2018-09-14T00:00:00"/>
    <d v="2018-09-18T00:00:00"/>
    <s v="ИМА"/>
    <n v="73746.399999999994"/>
  </r>
  <r>
    <x v="21"/>
    <s v="МЦ &quot;Санита&quot;"/>
    <n v="10"/>
    <x v="1"/>
    <s v="Golf"/>
    <n v="4"/>
    <n v="1013"/>
    <s v="Електрическо регулиране на седалката"/>
    <n v="148352"/>
    <n v="44505.599999999999"/>
    <d v="2018-09-20T00:00:00"/>
    <d v="2018-09-20T00:00:00"/>
    <s v=" "/>
    <n v="103846.39999999999"/>
  </r>
  <r>
    <x v="21"/>
    <s v="Стефан Стефчов"/>
    <n v="13"/>
    <x v="2"/>
    <s v="e-Golf"/>
    <n v="6"/>
    <n v="1010"/>
    <s v="Алуминиеви джанти"/>
    <n v="461142"/>
    <n v="138342.6"/>
    <d v="2018-09-22T00:00:00"/>
    <d v="2018-09-22T00:00:00"/>
    <s v=" "/>
    <n v="322799.4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A7564-3319-48CA-9CF9-DD5009D2694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 rowPageCount="1" colPageCount="1"/>
  <pivotFields count="14">
    <pivotField axis="axisPage"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numFmtId="166" showAll="0"/>
    <pivotField numFmtId="166" showAll="0"/>
    <pivotField numFmtId="14" showAll="0"/>
    <pivotField numFmtId="14" showAll="0"/>
    <pivotField showAll="0"/>
    <pivotField numFmtId="2" showAll="0"/>
  </pivotFields>
  <rowFields count="1">
    <field x="3"/>
  </rowFields>
  <rowItems count="2">
    <i>
      <x v="2"/>
    </i>
    <i t="grand">
      <x/>
    </i>
  </rowItems>
  <colItems count="1">
    <i/>
  </colItems>
  <pageFields count="1">
    <pageField fld="0" item="1" hier="-1"/>
  </pageFields>
  <dataFields count="1">
    <dataField name="Sum of Брой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I8" sqref="I8"/>
    </sheetView>
  </sheetViews>
  <sheetFormatPr defaultColWidth="8.85546875" defaultRowHeight="12.75" x14ac:dyDescent="0.2"/>
  <sheetData>
    <row r="1" spans="1:12" x14ac:dyDescent="0.2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3"/>
    </row>
    <row r="2" spans="1:12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2" x14ac:dyDescent="0.2">
      <c r="A3" s="7" t="s">
        <v>58</v>
      </c>
    </row>
    <row r="4" spans="1:12" x14ac:dyDescent="0.2">
      <c r="A4" s="7" t="s">
        <v>62</v>
      </c>
    </row>
    <row r="5" spans="1:12" x14ac:dyDescent="0.2">
      <c r="A5" s="7" t="s">
        <v>63</v>
      </c>
    </row>
    <row r="6" spans="1:12" x14ac:dyDescent="0.2">
      <c r="A6" s="7" t="s">
        <v>64</v>
      </c>
    </row>
    <row r="7" spans="1:12" x14ac:dyDescent="0.2">
      <c r="A7" s="7" t="s">
        <v>61</v>
      </c>
    </row>
    <row r="8" spans="1:12" x14ac:dyDescent="0.2">
      <c r="A8" s="7" t="s">
        <v>104</v>
      </c>
    </row>
    <row r="9" spans="1:12" x14ac:dyDescent="0.2">
      <c r="A9" s="7" t="s">
        <v>59</v>
      </c>
    </row>
  </sheetData>
  <mergeCells count="1">
    <mergeCell ref="A1:K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7"/>
  <sheetViews>
    <sheetView zoomScale="118" zoomScaleNormal="118" workbookViewId="0">
      <selection activeCell="F7" sqref="F7"/>
    </sheetView>
  </sheetViews>
  <sheetFormatPr defaultColWidth="8.85546875" defaultRowHeight="12.75" x14ac:dyDescent="0.2"/>
  <cols>
    <col min="1" max="1" width="7.7109375" customWidth="1"/>
    <col min="2" max="2" width="20" bestFit="1" customWidth="1"/>
    <col min="3" max="3" width="16.85546875" customWidth="1"/>
    <col min="4" max="4" width="19.42578125" customWidth="1"/>
    <col min="5" max="5" width="13.140625" customWidth="1"/>
    <col min="6" max="6" width="1.85546875" customWidth="1"/>
    <col min="7" max="7" width="10" customWidth="1"/>
    <col min="8" max="8" width="44" customWidth="1"/>
    <col min="9" max="9" width="12.28515625" customWidth="1"/>
  </cols>
  <sheetData>
    <row r="2" spans="1:9" ht="38.25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91</v>
      </c>
      <c r="G2" s="15" t="s">
        <v>4</v>
      </c>
      <c r="H2" s="15" t="s">
        <v>5</v>
      </c>
      <c r="I2" s="15" t="s">
        <v>98</v>
      </c>
    </row>
    <row r="3" spans="1:9" x14ac:dyDescent="0.2">
      <c r="A3" s="6">
        <v>1</v>
      </c>
      <c r="B3" s="6" t="s">
        <v>75</v>
      </c>
      <c r="C3" s="6" t="s">
        <v>76</v>
      </c>
      <c r="D3" s="20">
        <v>35725</v>
      </c>
      <c r="E3" s="6">
        <v>18</v>
      </c>
      <c r="G3" s="6">
        <v>1010</v>
      </c>
      <c r="H3" s="6" t="s">
        <v>99</v>
      </c>
      <c r="I3" s="6">
        <v>1355</v>
      </c>
    </row>
    <row r="4" spans="1:9" x14ac:dyDescent="0.2">
      <c r="A4" s="6">
        <v>2</v>
      </c>
      <c r="B4" s="6" t="s">
        <v>75</v>
      </c>
      <c r="C4" t="s">
        <v>77</v>
      </c>
      <c r="D4" s="20">
        <v>37268</v>
      </c>
      <c r="E4" s="6">
        <v>18</v>
      </c>
      <c r="G4" s="6">
        <v>1011</v>
      </c>
      <c r="H4" s="6" t="s">
        <v>100</v>
      </c>
      <c r="I4" s="6">
        <v>3153</v>
      </c>
    </row>
    <row r="5" spans="1:9" x14ac:dyDescent="0.2">
      <c r="A5" s="6">
        <v>3</v>
      </c>
      <c r="B5" s="6" t="s">
        <v>75</v>
      </c>
      <c r="C5" s="6" t="s">
        <v>78</v>
      </c>
      <c r="D5" s="20">
        <v>44544</v>
      </c>
      <c r="E5" s="6">
        <v>18</v>
      </c>
      <c r="G5" s="6">
        <v>1012</v>
      </c>
      <c r="H5" s="6" t="s">
        <v>101</v>
      </c>
      <c r="I5" s="6">
        <v>672</v>
      </c>
    </row>
    <row r="6" spans="1:9" x14ac:dyDescent="0.2">
      <c r="A6" s="6">
        <v>4</v>
      </c>
      <c r="B6" s="6" t="s">
        <v>75</v>
      </c>
      <c r="C6" s="6" t="s">
        <v>79</v>
      </c>
      <c r="D6" s="20">
        <v>51313</v>
      </c>
      <c r="E6" s="6">
        <v>20</v>
      </c>
      <c r="G6" s="6">
        <v>1013</v>
      </c>
      <c r="H6" s="6" t="s">
        <v>102</v>
      </c>
      <c r="I6" s="6">
        <v>1363</v>
      </c>
    </row>
    <row r="7" spans="1:9" x14ac:dyDescent="0.2">
      <c r="A7" s="6">
        <v>5</v>
      </c>
      <c r="B7" s="6" t="s">
        <v>80</v>
      </c>
      <c r="C7" s="6" t="s">
        <v>81</v>
      </c>
      <c r="D7" s="20">
        <v>53600</v>
      </c>
      <c r="E7" s="6">
        <v>20</v>
      </c>
    </row>
    <row r="8" spans="1:9" x14ac:dyDescent="0.2">
      <c r="A8" s="6">
        <v>6</v>
      </c>
      <c r="B8" s="6" t="s">
        <v>80</v>
      </c>
      <c r="C8" s="6" t="s">
        <v>82</v>
      </c>
      <c r="D8" s="20">
        <v>34318</v>
      </c>
      <c r="E8" s="6">
        <v>20</v>
      </c>
    </row>
    <row r="9" spans="1:9" x14ac:dyDescent="0.2">
      <c r="A9" s="6">
        <v>7</v>
      </c>
      <c r="B9" s="6" t="s">
        <v>80</v>
      </c>
      <c r="C9" s="6" t="s">
        <v>83</v>
      </c>
      <c r="D9" s="20">
        <v>53612</v>
      </c>
      <c r="E9" s="6">
        <v>14</v>
      </c>
    </row>
    <row r="10" spans="1:9" x14ac:dyDescent="0.2">
      <c r="A10" s="6">
        <v>8</v>
      </c>
      <c r="B10" s="6" t="s">
        <v>80</v>
      </c>
      <c r="C10" s="6" t="s">
        <v>84</v>
      </c>
      <c r="D10" s="20">
        <v>103000</v>
      </c>
      <c r="E10" s="6">
        <v>14</v>
      </c>
    </row>
    <row r="11" spans="1:9" x14ac:dyDescent="0.2">
      <c r="A11" s="6">
        <v>9</v>
      </c>
      <c r="B11" s="6" t="s">
        <v>92</v>
      </c>
      <c r="C11" s="6" t="s">
        <v>85</v>
      </c>
      <c r="D11" s="20">
        <v>20277</v>
      </c>
      <c r="E11" s="6">
        <v>16</v>
      </c>
    </row>
    <row r="12" spans="1:9" x14ac:dyDescent="0.2">
      <c r="A12" s="6">
        <v>10</v>
      </c>
      <c r="B12" s="6" t="s">
        <v>92</v>
      </c>
      <c r="C12" s="6" t="s">
        <v>86</v>
      </c>
      <c r="D12" s="20">
        <v>35725</v>
      </c>
      <c r="E12" s="6">
        <v>16</v>
      </c>
    </row>
    <row r="13" spans="1:9" x14ac:dyDescent="0.2">
      <c r="A13" s="6">
        <v>11</v>
      </c>
      <c r="B13" s="6" t="s">
        <v>92</v>
      </c>
      <c r="C13" s="6" t="s">
        <v>93</v>
      </c>
      <c r="D13" s="20">
        <v>20277</v>
      </c>
      <c r="E13" s="6">
        <v>10</v>
      </c>
    </row>
    <row r="14" spans="1:9" x14ac:dyDescent="0.2">
      <c r="A14" s="6">
        <v>12</v>
      </c>
      <c r="B14" s="6" t="s">
        <v>92</v>
      </c>
      <c r="C14" s="6" t="s">
        <v>94</v>
      </c>
      <c r="D14" s="20">
        <v>23541</v>
      </c>
      <c r="E14" s="6">
        <v>10</v>
      </c>
    </row>
    <row r="15" spans="1:9" x14ac:dyDescent="0.2">
      <c r="A15" s="6">
        <v>13</v>
      </c>
      <c r="B15" s="6" t="s">
        <v>87</v>
      </c>
      <c r="C15" s="6" t="s">
        <v>88</v>
      </c>
      <c r="D15" s="20">
        <v>75502</v>
      </c>
      <c r="E15" s="6">
        <v>18</v>
      </c>
    </row>
    <row r="16" spans="1:9" x14ac:dyDescent="0.2">
      <c r="A16" s="6">
        <v>14</v>
      </c>
      <c r="B16" s="6" t="s">
        <v>87</v>
      </c>
      <c r="C16" s="6" t="s">
        <v>89</v>
      </c>
      <c r="D16" s="20">
        <v>74995</v>
      </c>
      <c r="E16" s="6">
        <v>8</v>
      </c>
    </row>
    <row r="17" spans="1:5" x14ac:dyDescent="0.2">
      <c r="A17" s="6">
        <v>15</v>
      </c>
      <c r="B17" s="6" t="s">
        <v>87</v>
      </c>
      <c r="C17" s="6" t="s">
        <v>90</v>
      </c>
      <c r="D17" s="20">
        <v>72000</v>
      </c>
      <c r="E17" s="6">
        <v>8</v>
      </c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1"/>
  <sheetViews>
    <sheetView tabSelected="1" zoomScale="124" zoomScaleNormal="124" workbookViewId="0">
      <selection activeCell="D4" sqref="D4"/>
    </sheetView>
  </sheetViews>
  <sheetFormatPr defaultColWidth="8.85546875" defaultRowHeight="12.75" outlineLevelRow="2" x14ac:dyDescent="0.2"/>
  <cols>
    <col min="1" max="1" width="12.42578125" customWidth="1"/>
    <col min="2" max="2" width="18" bestFit="1" customWidth="1"/>
    <col min="3" max="3" width="10.28515625" bestFit="1" customWidth="1"/>
    <col min="4" max="4" width="20.7109375" bestFit="1" customWidth="1"/>
    <col min="5" max="5" width="21" bestFit="1" customWidth="1"/>
    <col min="6" max="6" width="11.140625" customWidth="1"/>
    <col min="7" max="7" width="12.140625" bestFit="1" customWidth="1"/>
    <col min="8" max="8" width="15.85546875" hidden="1" customWidth="1"/>
    <col min="9" max="10" width="14" bestFit="1" customWidth="1"/>
    <col min="11" max="11" width="14.140625" bestFit="1" customWidth="1"/>
    <col min="12" max="12" width="10.85546875" customWidth="1"/>
    <col min="13" max="13" width="10.28515625" style="2" bestFit="1" customWidth="1"/>
    <col min="14" max="14" width="12.140625" customWidth="1"/>
  </cols>
  <sheetData>
    <row r="1" spans="1:17" ht="15" x14ac:dyDescent="0.25">
      <c r="A1" s="5" t="s">
        <v>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7" ht="25.5" x14ac:dyDescent="0.2">
      <c r="A3" s="16" t="s">
        <v>6</v>
      </c>
      <c r="B3" s="16" t="s">
        <v>7</v>
      </c>
      <c r="C3" s="16" t="s">
        <v>8</v>
      </c>
      <c r="D3" s="16" t="s">
        <v>1</v>
      </c>
      <c r="E3" s="16" t="s">
        <v>2</v>
      </c>
      <c r="F3" s="16" t="s">
        <v>12</v>
      </c>
      <c r="G3" s="16" t="s">
        <v>97</v>
      </c>
      <c r="H3" s="16" t="s">
        <v>103</v>
      </c>
      <c r="I3" s="16" t="s">
        <v>10</v>
      </c>
      <c r="J3" s="16" t="s">
        <v>9</v>
      </c>
      <c r="K3" s="16" t="s">
        <v>96</v>
      </c>
      <c r="L3" s="16" t="s">
        <v>32</v>
      </c>
      <c r="M3" s="17" t="s">
        <v>53</v>
      </c>
      <c r="N3" s="16" t="s">
        <v>54</v>
      </c>
      <c r="P3" s="8" t="s">
        <v>95</v>
      </c>
      <c r="Q3">
        <f>COUNTIF(M4:M70,"ИМА")</f>
        <v>4</v>
      </c>
    </row>
    <row r="4" spans="1:17" outlineLevel="2" x14ac:dyDescent="0.2">
      <c r="A4" s="9">
        <v>43316</v>
      </c>
      <c r="B4" s="6" t="s">
        <v>14</v>
      </c>
      <c r="C4" s="6">
        <v>1</v>
      </c>
      <c r="D4" s="6" t="str">
        <f>VLOOKUP(Поръчки!C8,Основни!$A$3:$B$17,2,0)</f>
        <v>Комби</v>
      </c>
      <c r="E4" s="6" t="str">
        <f>VLOOKUP(C4,Основни!$A$3:$C$17,3,0)</f>
        <v>Golf Variant</v>
      </c>
      <c r="F4" s="6">
        <v>1</v>
      </c>
      <c r="G4" s="6">
        <v>1011</v>
      </c>
      <c r="H4" s="6" t="str">
        <f>VLOOKUP(G4,Основни!$G$3:$H$6,2,0)</f>
        <v>LED фарове ЗАВИВАЩИ /къси и дълги</v>
      </c>
      <c r="I4" s="21">
        <f>VLOOKUP(C4,Основни!$A$3:$E$17,4,0)*F4+F4*VLOOKUP(G4,Основни!$G$3:$I$6,3,0)</f>
        <v>38878</v>
      </c>
      <c r="J4" s="21">
        <f>I4*$P$4</f>
        <v>11663.4</v>
      </c>
      <c r="K4" s="9">
        <v>43334</v>
      </c>
      <c r="L4" s="9">
        <v>43334</v>
      </c>
      <c r="M4" s="10" t="str">
        <f>IF(L4&gt;K4,"'ИМА'"," ")</f>
        <v xml:space="preserve"> </v>
      </c>
      <c r="N4" s="11">
        <f>I4-J4</f>
        <v>27214.6</v>
      </c>
      <c r="P4" s="14">
        <v>0.3</v>
      </c>
    </row>
    <row r="5" spans="1:17" outlineLevel="2" x14ac:dyDescent="0.2">
      <c r="A5" s="9">
        <v>43321</v>
      </c>
      <c r="B5" s="6" t="s">
        <v>25</v>
      </c>
      <c r="C5" s="6">
        <v>1</v>
      </c>
      <c r="D5" s="6" t="str">
        <f>VLOOKUP(Поръчки!C21,Основни!$A$3:$B$17,2,0)</f>
        <v>SUV</v>
      </c>
      <c r="E5" s="6" t="str">
        <f>VLOOKUP(C5,Основни!$A$3:$C$17,3,0)</f>
        <v>Golf Variant</v>
      </c>
      <c r="F5" s="6">
        <v>1</v>
      </c>
      <c r="G5" s="6">
        <v>1010</v>
      </c>
      <c r="H5" s="6" t="str">
        <f>VLOOKUP(G5,Основни!$G$3:$H$6,2,0)</f>
        <v>Алуминиеви джанти</v>
      </c>
      <c r="I5" s="21">
        <f>VLOOKUP(C5,Основни!$A$3:$E$17,4,0)*F5+F5*VLOOKUP(G5,Основни!$G$3:$I$6,3,0)</f>
        <v>37080</v>
      </c>
      <c r="J5" s="21">
        <f>I5*$P$4</f>
        <v>11124</v>
      </c>
      <c r="K5" s="9">
        <v>43339</v>
      </c>
      <c r="L5" s="9">
        <v>43339</v>
      </c>
      <c r="M5" s="10" t="str">
        <f>IF(L5&gt;K5,"ИМА"," ")</f>
        <v xml:space="preserve"> </v>
      </c>
      <c r="N5" s="11">
        <f>I5-J5</f>
        <v>25956</v>
      </c>
    </row>
    <row r="6" spans="1:17" outlineLevel="2" x14ac:dyDescent="0.2">
      <c r="A6" s="9">
        <v>43335</v>
      </c>
      <c r="B6" s="6" t="s">
        <v>49</v>
      </c>
      <c r="C6" s="6">
        <v>1</v>
      </c>
      <c r="D6" s="6" t="str">
        <f>VLOOKUP(Поръчки!C64,Основни!$A$3:$B$17,2,0)</f>
        <v>Електрически модели</v>
      </c>
      <c r="E6" s="6" t="str">
        <f>VLOOKUP(C6,Основни!$A$3:$C$17,3,0)</f>
        <v>Golf Variant</v>
      </c>
      <c r="F6" s="6">
        <v>1</v>
      </c>
      <c r="G6" s="6">
        <v>1011</v>
      </c>
      <c r="H6" s="6" t="str">
        <f>VLOOKUP(G6,Основни!$G$3:$H$6,2,0)</f>
        <v>LED фарове ЗАВИВАЩИ /къси и дълги</v>
      </c>
      <c r="I6" s="21">
        <f>VLOOKUP(C6,Основни!$A$3:$E$17,4,0)*F6+F6*VLOOKUP(G6,Основни!$G$3:$I$6,3,0)</f>
        <v>38878</v>
      </c>
      <c r="J6" s="21">
        <f>I6*$P$4</f>
        <v>11663.4</v>
      </c>
      <c r="K6" s="9">
        <v>43353</v>
      </c>
      <c r="L6" s="9">
        <v>43353</v>
      </c>
      <c r="M6" s="10" t="str">
        <f>IF(L6&gt;K6,"ИМА"," ")</f>
        <v xml:space="preserve"> </v>
      </c>
      <c r="N6" s="11">
        <f>I6-J6</f>
        <v>27214.6</v>
      </c>
    </row>
    <row r="7" spans="1:17" outlineLevel="1" x14ac:dyDescent="0.2">
      <c r="A7" s="9"/>
      <c r="B7" s="6"/>
      <c r="C7" s="6"/>
      <c r="D7" s="6"/>
      <c r="E7" s="25" t="s">
        <v>110</v>
      </c>
      <c r="F7" s="6">
        <f>SUBTOTAL(9,F4:F6)</f>
        <v>3</v>
      </c>
      <c r="G7" s="6"/>
      <c r="H7" s="6"/>
      <c r="I7" s="21"/>
      <c r="J7" s="21"/>
      <c r="K7" s="9"/>
      <c r="L7" s="9"/>
      <c r="M7" s="10"/>
      <c r="N7" s="11"/>
    </row>
    <row r="8" spans="1:17" outlineLevel="2" x14ac:dyDescent="0.2">
      <c r="A8" s="9">
        <v>43322</v>
      </c>
      <c r="B8" s="6" t="s">
        <v>18</v>
      </c>
      <c r="C8" s="6">
        <v>2</v>
      </c>
      <c r="D8" s="6" t="str">
        <f>VLOOKUP(Поръчки!C23,Основни!$A$3:$B$17,2,0)</f>
        <v>SUV</v>
      </c>
      <c r="E8" s="6" t="str">
        <f>VLOOKUP(C8,Основни!$A$3:$C$17,3,0)</f>
        <v>Golf Alltrack</v>
      </c>
      <c r="F8" s="6">
        <v>2</v>
      </c>
      <c r="G8" s="6">
        <v>1012</v>
      </c>
      <c r="H8" s="6" t="str">
        <f>VLOOKUP(G8,Основни!$G$3:$H$6,2,0)</f>
        <v>Безконтактно централно заключване</v>
      </c>
      <c r="I8" s="21">
        <f>VLOOKUP(C8,Основни!$A$3:$E$17,4,0)*F8+F8*VLOOKUP(G8,Основни!$G$3:$I$6,3,0)</f>
        <v>75880</v>
      </c>
      <c r="J8" s="21">
        <f>I8*$P$4</f>
        <v>22764</v>
      </c>
      <c r="K8" s="9">
        <v>43340</v>
      </c>
      <c r="L8" s="9">
        <v>43340</v>
      </c>
      <c r="M8" s="10" t="str">
        <f>IF(L8&gt;K8,"ИМА"," ")</f>
        <v xml:space="preserve"> </v>
      </c>
      <c r="N8" s="11">
        <f>I8-J8</f>
        <v>53116</v>
      </c>
    </row>
    <row r="9" spans="1:17" outlineLevel="2" x14ac:dyDescent="0.2">
      <c r="A9" s="9">
        <v>43330</v>
      </c>
      <c r="B9" s="6" t="s">
        <v>41</v>
      </c>
      <c r="C9" s="6">
        <v>2</v>
      </c>
      <c r="D9" s="6" t="str">
        <f>VLOOKUP(Поръчки!C50,Основни!$A$3:$B$17,2,0)</f>
        <v>Градски модели</v>
      </c>
      <c r="E9" s="6" t="str">
        <f>VLOOKUP(C9,Основни!$A$3:$C$17,3,0)</f>
        <v>Golf Alltrack</v>
      </c>
      <c r="F9" s="6">
        <v>1</v>
      </c>
      <c r="G9" s="6">
        <v>1013</v>
      </c>
      <c r="H9" s="6" t="str">
        <f>VLOOKUP(G9,Основни!$G$3:$H$6,2,0)</f>
        <v>Електрическо регулиране на седалката</v>
      </c>
      <c r="I9" s="21">
        <f>VLOOKUP(C9,Основни!$A$3:$E$17,4,0)*F9+F9*VLOOKUP(G9,Основни!$G$3:$I$6,3,0)</f>
        <v>38631</v>
      </c>
      <c r="J9" s="21">
        <f>I9*$P$4</f>
        <v>11589.3</v>
      </c>
      <c r="K9" s="9">
        <v>43348</v>
      </c>
      <c r="L9" s="9">
        <v>43348</v>
      </c>
      <c r="M9" s="10" t="str">
        <f>IF(L9&gt;K9,"ИМА"," ")</f>
        <v xml:space="preserve"> </v>
      </c>
      <c r="N9" s="11">
        <f>I9-J9</f>
        <v>27041.7</v>
      </c>
    </row>
    <row r="10" spans="1:17" outlineLevel="1" x14ac:dyDescent="0.2">
      <c r="A10" s="9"/>
      <c r="B10" s="6"/>
      <c r="C10" s="6"/>
      <c r="D10" s="6"/>
      <c r="E10" s="25" t="s">
        <v>111</v>
      </c>
      <c r="F10" s="6">
        <f>SUBTOTAL(9,F8:F9)</f>
        <v>3</v>
      </c>
      <c r="G10" s="6"/>
      <c r="H10" s="6"/>
      <c r="I10" s="21"/>
      <c r="J10" s="21"/>
      <c r="K10" s="9"/>
      <c r="L10" s="9"/>
      <c r="M10" s="10"/>
      <c r="N10" s="11"/>
    </row>
    <row r="11" spans="1:17" outlineLevel="2" x14ac:dyDescent="0.2">
      <c r="A11" s="9">
        <v>43317</v>
      </c>
      <c r="B11" s="6" t="s">
        <v>20</v>
      </c>
      <c r="C11" s="6">
        <v>3</v>
      </c>
      <c r="D11" s="6" t="str">
        <f>VLOOKUP(Поръчки!C15,Основни!$A$3:$B$17,2,0)</f>
        <v>Комби</v>
      </c>
      <c r="E11" s="6" t="str">
        <f>VLOOKUP(C11,Основни!$A$3:$C$17,3,0)</f>
        <v>Passat Variant</v>
      </c>
      <c r="F11" s="6">
        <v>1</v>
      </c>
      <c r="G11" s="6">
        <v>1010</v>
      </c>
      <c r="H11" s="6" t="str">
        <f>VLOOKUP(G11,Основни!$G$3:$H$6,2,0)</f>
        <v>Алуминиеви джанти</v>
      </c>
      <c r="I11" s="21">
        <f>VLOOKUP(C11,Основни!$A$3:$E$17,4,0)*F11+F11*VLOOKUP(G11,Основни!$G$3:$I$6,3,0)</f>
        <v>45899</v>
      </c>
      <c r="J11" s="21">
        <f>I11*$P$4</f>
        <v>13769.699999999999</v>
      </c>
      <c r="K11" s="9">
        <v>43335</v>
      </c>
      <c r="L11" s="9">
        <v>43335</v>
      </c>
      <c r="M11" s="10" t="str">
        <f>IF(L11&gt;K11,"ИМА"," ")</f>
        <v xml:space="preserve"> </v>
      </c>
      <c r="N11" s="11">
        <f>I11-J11</f>
        <v>32129.300000000003</v>
      </c>
    </row>
    <row r="12" spans="1:17" outlineLevel="2" x14ac:dyDescent="0.2">
      <c r="A12" s="9">
        <v>43327</v>
      </c>
      <c r="B12" s="6" t="s">
        <v>35</v>
      </c>
      <c r="C12" s="6">
        <v>3</v>
      </c>
      <c r="D12" s="6" t="str">
        <f>VLOOKUP(Поръчки!C40,Основни!$A$3:$B$17,2,0)</f>
        <v>Градски модели</v>
      </c>
      <c r="E12" s="6" t="str">
        <f>VLOOKUP(C12,Основни!$A$3:$C$17,3,0)</f>
        <v>Passat Variant</v>
      </c>
      <c r="F12" s="6">
        <v>2</v>
      </c>
      <c r="G12" s="6">
        <v>1012</v>
      </c>
      <c r="H12" s="6" t="str">
        <f>VLOOKUP(G12,Основни!$G$3:$H$6,2,0)</f>
        <v>Безконтактно централно заключване</v>
      </c>
      <c r="I12" s="21">
        <f>VLOOKUP(C12,Основни!$A$3:$E$17,4,0)*F12+F12*VLOOKUP(G12,Основни!$G$3:$I$6,3,0)</f>
        <v>90432</v>
      </c>
      <c r="J12" s="21">
        <f>I12*$P$4</f>
        <v>27129.599999999999</v>
      </c>
      <c r="K12" s="9">
        <v>43345</v>
      </c>
      <c r="L12" s="9">
        <v>43345</v>
      </c>
      <c r="M12" s="10" t="str">
        <f>IF(L12&gt;K12,"ИМА"," ")</f>
        <v xml:space="preserve"> </v>
      </c>
      <c r="N12" s="11">
        <f>I12-J12</f>
        <v>63302.400000000001</v>
      </c>
    </row>
    <row r="13" spans="1:17" outlineLevel="2" x14ac:dyDescent="0.2">
      <c r="A13" s="9">
        <v>43331</v>
      </c>
      <c r="B13" s="6" t="s">
        <v>42</v>
      </c>
      <c r="C13" s="6">
        <v>3</v>
      </c>
      <c r="D13" s="6" t="str">
        <f>VLOOKUP(Поръчки!C52,Основни!$A$3:$B$17,2,0)</f>
        <v>Градски модели</v>
      </c>
      <c r="E13" s="6" t="str">
        <f>VLOOKUP(C13,Основни!$A$3:$C$17,3,0)</f>
        <v>Passat Variant</v>
      </c>
      <c r="F13" s="6">
        <v>1</v>
      </c>
      <c r="G13" s="6">
        <v>1012</v>
      </c>
      <c r="H13" s="6" t="str">
        <f>VLOOKUP(G13,Основни!$G$3:$H$6,2,0)</f>
        <v>Безконтактно централно заключване</v>
      </c>
      <c r="I13" s="21">
        <f>VLOOKUP(C13,Основни!$A$3:$E$17,4,0)*F13+F13*VLOOKUP(G13,Основни!$G$3:$I$6,3,0)</f>
        <v>45216</v>
      </c>
      <c r="J13" s="21">
        <f>I13*$P$4</f>
        <v>13564.8</v>
      </c>
      <c r="K13" s="9">
        <v>43349</v>
      </c>
      <c r="L13" s="9">
        <v>43349</v>
      </c>
      <c r="M13" s="10" t="str">
        <f>IF(L13&gt;K13,"ИМА"," ")</f>
        <v xml:space="preserve"> </v>
      </c>
      <c r="N13" s="11">
        <f>I13-J13</f>
        <v>31651.200000000001</v>
      </c>
    </row>
    <row r="14" spans="1:17" outlineLevel="1" x14ac:dyDescent="0.2">
      <c r="A14" s="9"/>
      <c r="B14" s="6"/>
      <c r="C14" s="6"/>
      <c r="D14" s="6"/>
      <c r="E14" s="25" t="s">
        <v>112</v>
      </c>
      <c r="F14" s="6">
        <f>SUBTOTAL(9,F11:F13)</f>
        <v>4</v>
      </c>
      <c r="G14" s="6"/>
      <c r="H14" s="6"/>
      <c r="I14" s="21"/>
      <c r="J14" s="21"/>
      <c r="K14" s="9"/>
      <c r="L14" s="9"/>
      <c r="M14" s="10"/>
      <c r="N14" s="11"/>
    </row>
    <row r="15" spans="1:17" outlineLevel="2" x14ac:dyDescent="0.2">
      <c r="A15" s="9">
        <v>43316</v>
      </c>
      <c r="B15" s="6" t="s">
        <v>15</v>
      </c>
      <c r="C15" s="6">
        <v>4</v>
      </c>
      <c r="D15" s="6" t="str">
        <f>VLOOKUP(Поръчки!C9,Основни!$A$3:$B$17,2,0)</f>
        <v>Комби</v>
      </c>
      <c r="E15" s="6" t="str">
        <f>VLOOKUP(C15,Основни!$A$3:$C$17,3,0)</f>
        <v>Passat Alltrack</v>
      </c>
      <c r="F15" s="6">
        <v>1</v>
      </c>
      <c r="G15" s="6">
        <v>1011</v>
      </c>
      <c r="H15" s="6" t="str">
        <f>VLOOKUP(G15,Основни!$G$3:$H$6,2,0)</f>
        <v>LED фарове ЗАВИВАЩИ /къси и дълги</v>
      </c>
      <c r="I15" s="21">
        <f>VLOOKUP(C15,Основни!$A$3:$E$17,4,0)*F15+F15*VLOOKUP(G15,Основни!$G$3:$I$6,3,0)</f>
        <v>54466</v>
      </c>
      <c r="J15" s="21">
        <f>I15*$P$4</f>
        <v>16339.8</v>
      </c>
      <c r="K15" s="9">
        <v>43336</v>
      </c>
      <c r="L15" s="9">
        <v>43336</v>
      </c>
      <c r="M15" s="10" t="str">
        <f>IF(L15&gt;K15,"'ИМА'"," ")</f>
        <v xml:space="preserve"> </v>
      </c>
      <c r="N15" s="11">
        <f>I15-J15</f>
        <v>38126.199999999997</v>
      </c>
    </row>
    <row r="16" spans="1:17" outlineLevel="2" x14ac:dyDescent="0.2">
      <c r="A16" s="9">
        <v>43327</v>
      </c>
      <c r="B16" s="6" t="s">
        <v>34</v>
      </c>
      <c r="C16" s="6">
        <v>4</v>
      </c>
      <c r="D16" s="6" t="str">
        <f>VLOOKUP(Поръчки!C37,Основни!$A$3:$B$17,2,0)</f>
        <v>Градски модели</v>
      </c>
      <c r="E16" s="6" t="str">
        <f>VLOOKUP(C16,Основни!$A$3:$C$17,3,0)</f>
        <v>Passat Alltrack</v>
      </c>
      <c r="F16" s="6">
        <v>1</v>
      </c>
      <c r="G16" s="6">
        <v>1010</v>
      </c>
      <c r="H16" s="6" t="str">
        <f>VLOOKUP(G16,Основни!$G$3:$H$6,2,0)</f>
        <v>Алуминиеви джанти</v>
      </c>
      <c r="I16" s="21">
        <f>VLOOKUP(C16,Основни!$A$3:$E$17,4,0)*F16+F16*VLOOKUP(G16,Основни!$G$3:$I$6,3,0)</f>
        <v>52668</v>
      </c>
      <c r="J16" s="21">
        <f>I16*$P$4</f>
        <v>15800.4</v>
      </c>
      <c r="K16" s="9">
        <v>43347</v>
      </c>
      <c r="L16" s="9">
        <v>43347</v>
      </c>
      <c r="M16" s="10" t="str">
        <f>IF(L16&gt;K16,"ИМА"," ")</f>
        <v xml:space="preserve"> </v>
      </c>
      <c r="N16" s="11">
        <f>I16-J16</f>
        <v>36867.599999999999</v>
      </c>
    </row>
    <row r="17" spans="1:14" outlineLevel="2" x14ac:dyDescent="0.2">
      <c r="A17" s="9">
        <v>43333</v>
      </c>
      <c r="B17" s="6" t="s">
        <v>45</v>
      </c>
      <c r="C17" s="6">
        <v>4</v>
      </c>
      <c r="D17" s="6" t="str">
        <f>VLOOKUP(Поръчки!C58,Основни!$A$3:$B$17,2,0)</f>
        <v>Електрически модели</v>
      </c>
      <c r="E17" s="6" t="str">
        <f>VLOOKUP(C17,Основни!$A$3:$C$17,3,0)</f>
        <v>Passat Alltrack</v>
      </c>
      <c r="F17" s="6">
        <v>1</v>
      </c>
      <c r="G17" s="6">
        <v>1010</v>
      </c>
      <c r="H17" s="6" t="str">
        <f>VLOOKUP(G17,Основни!$G$3:$H$6,2,0)</f>
        <v>Алуминиеви джанти</v>
      </c>
      <c r="I17" s="21">
        <f>VLOOKUP(C17,Основни!$A$3:$E$17,4,0)*F17+F17*VLOOKUP(G17,Основни!$G$3:$I$6,3,0)</f>
        <v>52668</v>
      </c>
      <c r="J17" s="21">
        <f>I17*$P$4</f>
        <v>15800.4</v>
      </c>
      <c r="K17" s="9">
        <v>43353</v>
      </c>
      <c r="L17" s="9">
        <v>43353</v>
      </c>
      <c r="M17" s="10" t="str">
        <f>IF(L17&gt;K17,"ИМА"," ")</f>
        <v xml:space="preserve"> </v>
      </c>
      <c r="N17" s="11">
        <f>I17-J17</f>
        <v>36867.599999999999</v>
      </c>
    </row>
    <row r="18" spans="1:14" outlineLevel="2" x14ac:dyDescent="0.2">
      <c r="A18" s="9">
        <v>43337</v>
      </c>
      <c r="B18" s="6" t="s">
        <v>51</v>
      </c>
      <c r="C18" s="6">
        <v>4</v>
      </c>
      <c r="D18" s="6" t="str">
        <f>VLOOKUP(Поръчки!C68,Основни!$A$3:$B$17,2,0)</f>
        <v>Електрически модели</v>
      </c>
      <c r="E18" s="6" t="str">
        <f>VLOOKUP(C18,Основни!$A$3:$C$17,3,0)</f>
        <v>Passat Alltrack</v>
      </c>
      <c r="F18" s="6">
        <v>2</v>
      </c>
      <c r="G18" s="6">
        <v>1013</v>
      </c>
      <c r="H18" s="6" t="str">
        <f>VLOOKUP(G18,Основни!$G$3:$H$6,2,0)</f>
        <v>Електрическо регулиране на седалката</v>
      </c>
      <c r="I18" s="21">
        <f>VLOOKUP(C18,Основни!$A$3:$E$17,4,0)*F18+F18*VLOOKUP(G18,Основни!$G$3:$I$6,3,0)</f>
        <v>105352</v>
      </c>
      <c r="J18" s="21">
        <f>I18*$P$4</f>
        <v>31605.599999999999</v>
      </c>
      <c r="K18" s="9">
        <v>43357</v>
      </c>
      <c r="L18" s="9">
        <v>43361</v>
      </c>
      <c r="M18" s="10" t="str">
        <f>IF(L18&gt;K18,"ИМА"," ")</f>
        <v>ИМА</v>
      </c>
      <c r="N18" s="11">
        <f>I18-J18</f>
        <v>73746.399999999994</v>
      </c>
    </row>
    <row r="19" spans="1:14" outlineLevel="1" x14ac:dyDescent="0.2">
      <c r="A19" s="9"/>
      <c r="B19" s="6"/>
      <c r="C19" s="6"/>
      <c r="D19" s="6"/>
      <c r="E19" s="25" t="s">
        <v>113</v>
      </c>
      <c r="F19" s="6">
        <f>SUBTOTAL(9,F15:F18)</f>
        <v>5</v>
      </c>
      <c r="G19" s="6"/>
      <c r="H19" s="6"/>
      <c r="I19" s="21"/>
      <c r="J19" s="21"/>
      <c r="K19" s="9"/>
      <c r="L19" s="9"/>
      <c r="M19" s="10"/>
      <c r="N19" s="11"/>
    </row>
    <row r="20" spans="1:14" outlineLevel="2" x14ac:dyDescent="0.2">
      <c r="A20" s="9">
        <v>43314</v>
      </c>
      <c r="B20" s="6" t="s">
        <v>11</v>
      </c>
      <c r="C20" s="6">
        <v>5</v>
      </c>
      <c r="D20" s="6" t="str">
        <f>VLOOKUP(Поръчки!C4,Основни!$A$3:$B$17,2,0)</f>
        <v>Комби</v>
      </c>
      <c r="E20" s="6" t="str">
        <f>VLOOKUP(C20,Основни!$A$3:$C$17,3,0)</f>
        <v>Tiguan</v>
      </c>
      <c r="F20" s="6">
        <v>1</v>
      </c>
      <c r="G20" s="6">
        <v>1010</v>
      </c>
      <c r="H20" s="6" t="str">
        <f>VLOOKUP(G20,Основни!$G$3:$H$6,2,0)</f>
        <v>Алуминиеви джанти</v>
      </c>
      <c r="I20" s="21">
        <f>VLOOKUP(C20,Основни!$A$3:$E$17,4,0)*F20+F20*VLOOKUP(G20,Основни!$G$3:$I$6,3,0)</f>
        <v>54955</v>
      </c>
      <c r="J20" s="21">
        <f>I20*$P$4</f>
        <v>16486.5</v>
      </c>
      <c r="K20" s="9">
        <v>43334</v>
      </c>
      <c r="L20" s="9">
        <v>43334</v>
      </c>
      <c r="M20" s="10" t="str">
        <f>IF(L20&gt;K20,"'ИМА'"," ")</f>
        <v xml:space="preserve"> </v>
      </c>
      <c r="N20" s="11">
        <f>I20-J20</f>
        <v>38468.5</v>
      </c>
    </row>
    <row r="21" spans="1:14" outlineLevel="2" x14ac:dyDescent="0.2">
      <c r="A21" s="9">
        <v>43329</v>
      </c>
      <c r="B21" s="6" t="s">
        <v>38</v>
      </c>
      <c r="C21" s="6">
        <v>5</v>
      </c>
      <c r="D21" s="6" t="str">
        <f>VLOOKUP(Поръчки!C46,Основни!$A$3:$B$17,2,0)</f>
        <v>Градски модели</v>
      </c>
      <c r="E21" s="6" t="str">
        <f>VLOOKUP(C21,Основни!$A$3:$C$17,3,0)</f>
        <v>Tiguan</v>
      </c>
      <c r="F21" s="6">
        <v>2</v>
      </c>
      <c r="G21" s="6">
        <v>1013</v>
      </c>
      <c r="H21" s="6" t="str">
        <f>VLOOKUP(G21,Основни!$G$3:$H$6,2,0)</f>
        <v>Електрическо регулиране на седалката</v>
      </c>
      <c r="I21" s="21">
        <f>VLOOKUP(C21,Основни!$A$3:$E$17,4,0)*F21+F21*VLOOKUP(G21,Основни!$G$3:$I$6,3,0)</f>
        <v>109926</v>
      </c>
      <c r="J21" s="21">
        <f>I21*$P$4</f>
        <v>32977.799999999996</v>
      </c>
      <c r="K21" s="9">
        <v>43349</v>
      </c>
      <c r="L21" s="9">
        <v>43349</v>
      </c>
      <c r="M21" s="10" t="str">
        <f>IF(L21&gt;K21,"ИМА"," ")</f>
        <v xml:space="preserve"> </v>
      </c>
      <c r="N21" s="11">
        <f>I21-J21</f>
        <v>76948.200000000012</v>
      </c>
    </row>
    <row r="22" spans="1:14" outlineLevel="1" x14ac:dyDescent="0.2">
      <c r="A22" s="9"/>
      <c r="B22" s="6"/>
      <c r="C22" s="6"/>
      <c r="D22" s="6"/>
      <c r="E22" s="25" t="s">
        <v>114</v>
      </c>
      <c r="F22" s="6">
        <f>SUBTOTAL(9,F20:F21)</f>
        <v>3</v>
      </c>
      <c r="G22" s="6"/>
      <c r="H22" s="6"/>
      <c r="I22" s="21"/>
      <c r="J22" s="21"/>
      <c r="K22" s="9"/>
      <c r="L22" s="9"/>
      <c r="M22" s="10"/>
      <c r="N22" s="11"/>
    </row>
    <row r="23" spans="1:14" outlineLevel="2" x14ac:dyDescent="0.2">
      <c r="A23" s="9">
        <v>43319</v>
      </c>
      <c r="B23" s="6" t="s">
        <v>22</v>
      </c>
      <c r="C23" s="6">
        <v>6</v>
      </c>
      <c r="D23" s="6" t="str">
        <f>VLOOKUP(Поръчки!C17,Основни!$A$3:$B$17,2,0)</f>
        <v>Комби</v>
      </c>
      <c r="E23" s="6" t="str">
        <f>VLOOKUP(C23,Основни!$A$3:$C$17,3,0)</f>
        <v>T-Roc</v>
      </c>
      <c r="F23" s="6">
        <v>1</v>
      </c>
      <c r="G23" s="6">
        <v>1011</v>
      </c>
      <c r="H23" s="6" t="str">
        <f>VLOOKUP(G23,Основни!$G$3:$H$6,2,0)</f>
        <v>LED фарове ЗАВИВАЩИ /къси и дълги</v>
      </c>
      <c r="I23" s="21">
        <f>VLOOKUP(C23,Основни!$A$3:$E$17,4,0)*F23+F23*VLOOKUP(G23,Основни!$G$3:$I$6,3,0)</f>
        <v>37471</v>
      </c>
      <c r="J23" s="21">
        <f>I23*$P$4</f>
        <v>11241.3</v>
      </c>
      <c r="K23" s="9">
        <v>43339</v>
      </c>
      <c r="L23" s="9">
        <v>43339</v>
      </c>
      <c r="M23" s="10" t="str">
        <f>IF(L23&gt;K23,"ИМА"," ")</f>
        <v xml:space="preserve"> </v>
      </c>
      <c r="N23" s="11">
        <f>I23-J23</f>
        <v>26229.7</v>
      </c>
    </row>
    <row r="24" spans="1:14" outlineLevel="2" x14ac:dyDescent="0.2">
      <c r="A24" s="9">
        <v>43324</v>
      </c>
      <c r="B24" s="6" t="s">
        <v>26</v>
      </c>
      <c r="C24" s="6">
        <v>6</v>
      </c>
      <c r="D24" s="6" t="str">
        <f>VLOOKUP(Поръчки!C28,Основни!$A$3:$B$17,2,0)</f>
        <v>SUV</v>
      </c>
      <c r="E24" s="6" t="str">
        <f>VLOOKUP(C24,Основни!$A$3:$C$17,3,0)</f>
        <v>T-Roc</v>
      </c>
      <c r="F24" s="6">
        <v>1</v>
      </c>
      <c r="G24" s="6">
        <v>1010</v>
      </c>
      <c r="H24" s="6" t="str">
        <f>VLOOKUP(G24,Основни!$G$3:$H$6,2,0)</f>
        <v>Алуминиеви джанти</v>
      </c>
      <c r="I24" s="21">
        <f>VLOOKUP(C24,Основни!$A$3:$E$17,4,0)*F24+F24*VLOOKUP(G24,Основни!$G$3:$I$6,3,0)</f>
        <v>35673</v>
      </c>
      <c r="J24" s="21">
        <f>I24*$P$4</f>
        <v>10701.9</v>
      </c>
      <c r="K24" s="9">
        <v>43344</v>
      </c>
      <c r="L24" s="9">
        <v>43344</v>
      </c>
      <c r="M24" s="10" t="str">
        <f>IF(L24&gt;K24,"ИМА"," ")</f>
        <v xml:space="preserve"> </v>
      </c>
      <c r="N24" s="11">
        <f>I24-J24</f>
        <v>24971.1</v>
      </c>
    </row>
    <row r="25" spans="1:14" outlineLevel="2" x14ac:dyDescent="0.2">
      <c r="A25" s="9">
        <v>43329</v>
      </c>
      <c r="B25" s="6" t="s">
        <v>39</v>
      </c>
      <c r="C25" s="6">
        <v>6</v>
      </c>
      <c r="D25" s="6" t="str">
        <f>VLOOKUP(Поръчки!C47,Основни!$A$3:$B$17,2,0)</f>
        <v>Градски модели</v>
      </c>
      <c r="E25" s="6" t="str">
        <f>VLOOKUP(C25,Основни!$A$3:$C$17,3,0)</f>
        <v>T-Roc</v>
      </c>
      <c r="F25" s="6">
        <v>1</v>
      </c>
      <c r="G25" s="6">
        <v>1011</v>
      </c>
      <c r="H25" s="6" t="str">
        <f>VLOOKUP(G25,Основни!$G$3:$H$6,2,0)</f>
        <v>LED фарове ЗАВИВАЩИ /къси и дълги</v>
      </c>
      <c r="I25" s="21">
        <f>VLOOKUP(C25,Основни!$A$3:$E$17,4,0)*F25+F25*VLOOKUP(G25,Основни!$G$3:$I$6,3,0)</f>
        <v>37471</v>
      </c>
      <c r="J25" s="21">
        <f>I25*$P$4</f>
        <v>11241.3</v>
      </c>
      <c r="K25" s="9">
        <v>43349</v>
      </c>
      <c r="L25" s="9">
        <v>43349</v>
      </c>
      <c r="M25" s="10" t="str">
        <f>IF(L25&gt;K25,"ИМА"," ")</f>
        <v xml:space="preserve"> </v>
      </c>
      <c r="N25" s="11">
        <f>I25-J25</f>
        <v>26229.7</v>
      </c>
    </row>
    <row r="26" spans="1:14" outlineLevel="1" x14ac:dyDescent="0.2">
      <c r="A26" s="9"/>
      <c r="B26" s="6"/>
      <c r="C26" s="6"/>
      <c r="D26" s="6"/>
      <c r="E26" s="25" t="s">
        <v>115</v>
      </c>
      <c r="F26" s="6">
        <f>SUBTOTAL(9,F23:F25)</f>
        <v>3</v>
      </c>
      <c r="G26" s="6"/>
      <c r="H26" s="6"/>
      <c r="I26" s="21"/>
      <c r="J26" s="21"/>
      <c r="K26" s="9"/>
      <c r="L26" s="9"/>
      <c r="M26" s="10"/>
      <c r="N26" s="11"/>
    </row>
    <row r="27" spans="1:14" outlineLevel="2" x14ac:dyDescent="0.2">
      <c r="A27" s="9">
        <v>43320</v>
      </c>
      <c r="B27" s="6" t="s">
        <v>24</v>
      </c>
      <c r="C27" s="6">
        <v>7</v>
      </c>
      <c r="D27" s="6" t="str">
        <f>VLOOKUP(Поръчки!C20,Основни!$A$3:$B$17,2,0)</f>
        <v>SUV</v>
      </c>
      <c r="E27" s="6" t="str">
        <f>VLOOKUP(C27,Основни!$A$3:$C$17,3,0)</f>
        <v>Tiguan Allspace</v>
      </c>
      <c r="F27" s="6">
        <v>2</v>
      </c>
      <c r="G27" s="6">
        <v>1012</v>
      </c>
      <c r="H27" s="6" t="str">
        <f>VLOOKUP(G27,Основни!$G$3:$H$6,2,0)</f>
        <v>Безконтактно централно заключване</v>
      </c>
      <c r="I27" s="21">
        <f>VLOOKUP(C27,Основни!$A$3:$E$17,4,0)*F27+F27*VLOOKUP(G27,Основни!$G$3:$I$6,3,0)</f>
        <v>108568</v>
      </c>
      <c r="J27" s="21">
        <f>I27*$P$4</f>
        <v>32570.399999999998</v>
      </c>
      <c r="K27" s="9">
        <v>43334</v>
      </c>
      <c r="L27" s="9">
        <v>43334</v>
      </c>
      <c r="M27" s="10" t="str">
        <f>IF(L27&gt;K27,"ИМА"," ")</f>
        <v xml:space="preserve"> </v>
      </c>
      <c r="N27" s="11">
        <f>I27-J27</f>
        <v>75997.600000000006</v>
      </c>
    </row>
    <row r="28" spans="1:14" outlineLevel="2" x14ac:dyDescent="0.2">
      <c r="A28" s="9">
        <v>43325</v>
      </c>
      <c r="B28" s="6" t="s">
        <v>28</v>
      </c>
      <c r="C28" s="6">
        <v>7</v>
      </c>
      <c r="D28" s="6" t="str">
        <f>VLOOKUP(Поръчки!C31,Основни!$A$3:$B$17,2,0)</f>
        <v>SUV</v>
      </c>
      <c r="E28" s="6" t="str">
        <f>VLOOKUP(C28,Основни!$A$3:$C$17,3,0)</f>
        <v>Tiguan Allspace</v>
      </c>
      <c r="F28" s="6">
        <v>2</v>
      </c>
      <c r="G28" s="6">
        <v>1010</v>
      </c>
      <c r="H28" s="6" t="str">
        <f>VLOOKUP(G28,Основни!$G$3:$H$6,2,0)</f>
        <v>Алуминиеви джанти</v>
      </c>
      <c r="I28" s="21">
        <f>VLOOKUP(C28,Основни!$A$3:$E$17,4,0)*F28+F28*VLOOKUP(G28,Основни!$G$3:$I$6,3,0)</f>
        <v>109934</v>
      </c>
      <c r="J28" s="21">
        <f>I28*$P$4</f>
        <v>32980.199999999997</v>
      </c>
      <c r="K28" s="9">
        <v>43339</v>
      </c>
      <c r="L28" s="9">
        <v>43344</v>
      </c>
      <c r="M28" s="10" t="str">
        <f>IF(L28&gt;K28,"ИМА"," ")</f>
        <v>ИМА</v>
      </c>
      <c r="N28" s="11">
        <f>I28-J28</f>
        <v>76953.8</v>
      </c>
    </row>
    <row r="29" spans="1:14" outlineLevel="2" x14ac:dyDescent="0.2">
      <c r="A29" s="9">
        <v>43329</v>
      </c>
      <c r="B29" s="6" t="s">
        <v>36</v>
      </c>
      <c r="C29" s="6">
        <v>7</v>
      </c>
      <c r="D29" s="6" t="str">
        <f>VLOOKUP(Поръчки!C43,Основни!$A$3:$B$17,2,0)</f>
        <v>Градски модели</v>
      </c>
      <c r="E29" s="6" t="str">
        <f>VLOOKUP(C29,Основни!$A$3:$C$17,3,0)</f>
        <v>Tiguan Allspace</v>
      </c>
      <c r="F29" s="6">
        <v>2</v>
      </c>
      <c r="G29" s="6">
        <v>1010</v>
      </c>
      <c r="H29" s="6" t="str">
        <f>VLOOKUP(G29,Основни!$G$3:$H$6,2,0)</f>
        <v>Алуминиеви джанти</v>
      </c>
      <c r="I29" s="21">
        <f>VLOOKUP(C29,Основни!$A$3:$E$17,4,0)*F29+F29*VLOOKUP(G29,Основни!$G$3:$I$6,3,0)</f>
        <v>109934</v>
      </c>
      <c r="J29" s="21">
        <f>I29*$P$4</f>
        <v>32980.199999999997</v>
      </c>
      <c r="K29" s="9">
        <v>43342</v>
      </c>
      <c r="L29" s="9">
        <v>43342</v>
      </c>
      <c r="M29" s="10" t="str">
        <f>IF(L29&gt;K29,"ИМА"," ")</f>
        <v xml:space="preserve"> </v>
      </c>
      <c r="N29" s="11">
        <f>I29-J29</f>
        <v>76953.8</v>
      </c>
    </row>
    <row r="30" spans="1:14" outlineLevel="1" x14ac:dyDescent="0.2">
      <c r="A30" s="9"/>
      <c r="B30" s="6"/>
      <c r="C30" s="6"/>
      <c r="D30" s="6"/>
      <c r="E30" s="25" t="s">
        <v>116</v>
      </c>
      <c r="F30" s="6">
        <f>SUBTOTAL(9,F27:F29)</f>
        <v>6</v>
      </c>
      <c r="G30" s="6"/>
      <c r="H30" s="6"/>
      <c r="I30" s="21"/>
      <c r="J30" s="21"/>
      <c r="K30" s="9"/>
      <c r="L30" s="9"/>
      <c r="M30" s="10"/>
      <c r="N30" s="11"/>
    </row>
    <row r="31" spans="1:14" outlineLevel="2" x14ac:dyDescent="0.2">
      <c r="A31" s="9">
        <v>43322</v>
      </c>
      <c r="B31" s="6" t="s">
        <v>18</v>
      </c>
      <c r="C31" s="6">
        <v>8</v>
      </c>
      <c r="D31" s="6" t="str">
        <f>VLOOKUP(Поръчки!C24,Основни!$A$3:$B$17,2,0)</f>
        <v>SUV</v>
      </c>
      <c r="E31" s="6" t="str">
        <f>VLOOKUP(C31,Основни!$A$3:$C$17,3,0)</f>
        <v>Touareg 2018</v>
      </c>
      <c r="F31" s="6">
        <v>4</v>
      </c>
      <c r="G31" s="6">
        <v>1012</v>
      </c>
      <c r="H31" s="6" t="str">
        <f>VLOOKUP(G31,Основни!$G$3:$H$6,2,0)</f>
        <v>Безконтактно централно заключване</v>
      </c>
      <c r="I31" s="21">
        <f>VLOOKUP(C31,Основни!$A$3:$E$17,4,0)*F31+F31*VLOOKUP(G31,Основни!$G$3:$I$6,3,0)</f>
        <v>414688</v>
      </c>
      <c r="J31" s="21">
        <f>I31*$P$4</f>
        <v>124406.39999999999</v>
      </c>
      <c r="K31" s="9">
        <v>43346</v>
      </c>
      <c r="L31" s="9">
        <v>43346</v>
      </c>
      <c r="M31" s="10" t="str">
        <f>IF(L31&gt;K31,"ИМА"," ")</f>
        <v xml:space="preserve"> </v>
      </c>
      <c r="N31" s="11">
        <f>I31-J31</f>
        <v>290281.59999999998</v>
      </c>
    </row>
    <row r="32" spans="1:14" outlineLevel="2" x14ac:dyDescent="0.2">
      <c r="A32" s="9">
        <v>43333</v>
      </c>
      <c r="B32" s="6" t="s">
        <v>46</v>
      </c>
      <c r="C32" s="6">
        <v>8</v>
      </c>
      <c r="D32" s="6" t="str">
        <f>VLOOKUP(Поръчки!C59,Основни!$A$3:$B$17,2,0)</f>
        <v>Електрически модели</v>
      </c>
      <c r="E32" s="6" t="str">
        <f>VLOOKUP(C32,Основни!$A$3:$C$17,3,0)</f>
        <v>Touareg 2018</v>
      </c>
      <c r="F32" s="6">
        <v>1</v>
      </c>
      <c r="G32" s="6">
        <v>1010</v>
      </c>
      <c r="H32" s="6" t="str">
        <f>VLOOKUP(G32,Основни!$G$3:$H$6,2,0)</f>
        <v>Алуминиеви джанти</v>
      </c>
      <c r="I32" s="21">
        <f>VLOOKUP(C32,Основни!$A$3:$E$17,4,0)*F32+F32*VLOOKUP(G32,Основни!$G$3:$I$6,3,0)</f>
        <v>104355</v>
      </c>
      <c r="J32" s="21">
        <f>I32*$P$4</f>
        <v>31306.5</v>
      </c>
      <c r="K32" s="9">
        <v>43347</v>
      </c>
      <c r="L32" s="9">
        <v>43347</v>
      </c>
      <c r="M32" s="10" t="str">
        <f>IF(L32&gt;K32,"ИМА"," ")</f>
        <v xml:space="preserve"> </v>
      </c>
      <c r="N32" s="11">
        <f>I32-J32</f>
        <v>73048.5</v>
      </c>
    </row>
    <row r="33" spans="1:14" outlineLevel="1" x14ac:dyDescent="0.2">
      <c r="A33" s="9"/>
      <c r="B33" s="6"/>
      <c r="C33" s="6"/>
      <c r="D33" s="6"/>
      <c r="E33" s="25" t="s">
        <v>117</v>
      </c>
      <c r="F33" s="6">
        <f>SUBTOTAL(9,F31:F32)</f>
        <v>5</v>
      </c>
      <c r="G33" s="6"/>
      <c r="H33" s="6"/>
      <c r="I33" s="21"/>
      <c r="J33" s="21"/>
      <c r="K33" s="9"/>
      <c r="L33" s="9"/>
      <c r="M33" s="10"/>
      <c r="N33" s="11"/>
    </row>
    <row r="34" spans="1:14" outlineLevel="2" x14ac:dyDescent="0.2">
      <c r="A34" s="9">
        <v>43317</v>
      </c>
      <c r="B34" s="6" t="s">
        <v>16</v>
      </c>
      <c r="C34" s="6">
        <v>9</v>
      </c>
      <c r="D34" s="6" t="str">
        <f>VLOOKUP(Поръчки!C12,Основни!$A$3:$B$17,2,0)</f>
        <v>Комби</v>
      </c>
      <c r="E34" s="6" t="str">
        <f>VLOOKUP(C34,Основни!$A$3:$C$17,3,0)</f>
        <v>up!</v>
      </c>
      <c r="F34" s="6">
        <v>4</v>
      </c>
      <c r="G34" s="6">
        <v>1013</v>
      </c>
      <c r="H34" s="6" t="str">
        <f>VLOOKUP(G34,Основни!$G$3:$H$6,2,0)</f>
        <v>Електрическо регулиране на седалката</v>
      </c>
      <c r="I34" s="21">
        <f>VLOOKUP(C34,Основни!$A$3:$E$17,4,0)*F34+F34*VLOOKUP(G34,Основни!$G$3:$I$6,3,0)</f>
        <v>86560</v>
      </c>
      <c r="J34" s="21">
        <f>I34*$P$4</f>
        <v>25968</v>
      </c>
      <c r="K34" s="9">
        <v>43343</v>
      </c>
      <c r="L34" s="9">
        <v>43343</v>
      </c>
      <c r="M34" s="10" t="str">
        <f>IF(L34&gt;K34,"'ИМА'"," ")</f>
        <v xml:space="preserve"> </v>
      </c>
      <c r="N34" s="11">
        <f>I34-J34</f>
        <v>60592</v>
      </c>
    </row>
    <row r="35" spans="1:14" outlineLevel="2" x14ac:dyDescent="0.2">
      <c r="A35" s="9">
        <v>43326</v>
      </c>
      <c r="B35" s="6" t="s">
        <v>31</v>
      </c>
      <c r="C35" s="6">
        <v>9</v>
      </c>
      <c r="D35" s="6" t="str">
        <f>VLOOKUP(Поръчки!C35,Основни!$A$3:$B$17,2,0)</f>
        <v>Градски модели</v>
      </c>
      <c r="E35" s="6" t="str">
        <f>VLOOKUP(C35,Основни!$A$3:$C$17,3,0)</f>
        <v>up!</v>
      </c>
      <c r="F35" s="6">
        <v>1</v>
      </c>
      <c r="G35" s="6">
        <v>1010</v>
      </c>
      <c r="H35" s="6" t="str">
        <f>VLOOKUP(G35,Основни!$G$3:$H$6,2,0)</f>
        <v>Алуминиеви джанти</v>
      </c>
      <c r="I35" s="21">
        <f>VLOOKUP(C35,Основни!$A$3:$E$17,4,0)*F35+F35*VLOOKUP(G35,Основни!$G$3:$I$6,3,0)</f>
        <v>21632</v>
      </c>
      <c r="J35" s="21">
        <f>I35*$P$4</f>
        <v>6489.5999999999995</v>
      </c>
      <c r="K35" s="9">
        <v>43342</v>
      </c>
      <c r="L35" s="9">
        <v>43342</v>
      </c>
      <c r="M35" s="10" t="str">
        <f>IF(L35&gt;K35,"ИМА"," ")</f>
        <v xml:space="preserve"> </v>
      </c>
      <c r="N35" s="11">
        <f>I35-J35</f>
        <v>15142.400000000001</v>
      </c>
    </row>
    <row r="36" spans="1:14" outlineLevel="2" x14ac:dyDescent="0.2">
      <c r="A36" s="9">
        <v>43331</v>
      </c>
      <c r="B36" s="6" t="s">
        <v>42</v>
      </c>
      <c r="C36" s="6">
        <v>9</v>
      </c>
      <c r="D36" s="6" t="str">
        <f>VLOOKUP(Поръчки!C53,Основни!$A$3:$B$17,2,0)</f>
        <v>Градски модели</v>
      </c>
      <c r="E36" s="6" t="str">
        <f>VLOOKUP(C36,Основни!$A$3:$C$17,3,0)</f>
        <v>up!</v>
      </c>
      <c r="F36" s="6">
        <v>2</v>
      </c>
      <c r="G36" s="6">
        <v>1012</v>
      </c>
      <c r="H36" s="6" t="str">
        <f>VLOOKUP(G36,Основни!$G$3:$H$6,2,0)</f>
        <v>Безконтактно централно заключване</v>
      </c>
      <c r="I36" s="21">
        <f>VLOOKUP(C36,Основни!$A$3:$E$17,4,0)*F36+F36*VLOOKUP(G36,Основни!$G$3:$I$6,3,0)</f>
        <v>41898</v>
      </c>
      <c r="J36" s="21">
        <f>I36*$P$4</f>
        <v>12569.4</v>
      </c>
      <c r="K36" s="9">
        <v>43347</v>
      </c>
      <c r="L36" s="9">
        <v>43350</v>
      </c>
      <c r="M36" s="10" t="str">
        <f>IF(L36&gt;K36,"ИМА"," ")</f>
        <v>ИМА</v>
      </c>
      <c r="N36" s="11">
        <f>I36-J36</f>
        <v>29328.6</v>
      </c>
    </row>
    <row r="37" spans="1:14" outlineLevel="2" x14ac:dyDescent="0.2">
      <c r="A37" s="9">
        <v>43336</v>
      </c>
      <c r="B37" s="6" t="s">
        <v>50</v>
      </c>
      <c r="C37" s="6">
        <v>9</v>
      </c>
      <c r="D37" s="6" t="str">
        <f>VLOOKUP(Поръчки!C67,Основни!$A$3:$B$17,2,0)</f>
        <v>Електрически модели</v>
      </c>
      <c r="E37" s="6" t="str">
        <f>VLOOKUP(C37,Основни!$A$3:$C$17,3,0)</f>
        <v>up!</v>
      </c>
      <c r="F37" s="6">
        <v>1</v>
      </c>
      <c r="G37" s="6">
        <v>1012</v>
      </c>
      <c r="H37" s="6" t="str">
        <f>VLOOKUP(G37,Основни!$G$3:$H$6,2,0)</f>
        <v>Безконтактно централно заключване</v>
      </c>
      <c r="I37" s="21">
        <f>VLOOKUP(C37,Основни!$A$3:$E$17,4,0)*F37+F37*VLOOKUP(G37,Основни!$G$3:$I$6,3,0)</f>
        <v>20949</v>
      </c>
      <c r="J37" s="21">
        <f>I37*$P$4</f>
        <v>6284.7</v>
      </c>
      <c r="K37" s="9">
        <v>43352</v>
      </c>
      <c r="L37" s="9">
        <v>43352</v>
      </c>
      <c r="M37" s="10" t="str">
        <f>IF(L37&gt;K37,"ИМА"," ")</f>
        <v xml:space="preserve"> </v>
      </c>
      <c r="N37" s="11">
        <f>I37-J37</f>
        <v>14664.3</v>
      </c>
    </row>
    <row r="38" spans="1:14" outlineLevel="1" x14ac:dyDescent="0.2">
      <c r="A38" s="9"/>
      <c r="B38" s="6"/>
      <c r="C38" s="6"/>
      <c r="D38" s="6"/>
      <c r="E38" s="25" t="s">
        <v>118</v>
      </c>
      <c r="F38" s="6">
        <f>SUBTOTAL(9,F34:F37)</f>
        <v>8</v>
      </c>
      <c r="G38" s="6"/>
      <c r="H38" s="6"/>
      <c r="I38" s="21"/>
      <c r="J38" s="21"/>
      <c r="K38" s="9"/>
      <c r="L38" s="9"/>
      <c r="M38" s="10"/>
      <c r="N38" s="11"/>
    </row>
    <row r="39" spans="1:14" outlineLevel="2" x14ac:dyDescent="0.2">
      <c r="A39" s="9">
        <v>43317</v>
      </c>
      <c r="B39" s="6" t="s">
        <v>19</v>
      </c>
      <c r="C39" s="6">
        <v>10</v>
      </c>
      <c r="D39" s="6" t="str">
        <f>VLOOKUP(Поръчки!C11,Основни!$A$3:$B$17,2,0)</f>
        <v>Комби</v>
      </c>
      <c r="E39" s="6" t="str">
        <f>VLOOKUP(C39,Основни!$A$3:$C$17,3,0)</f>
        <v>Golf</v>
      </c>
      <c r="F39" s="6">
        <v>2</v>
      </c>
      <c r="G39" s="6">
        <v>1011</v>
      </c>
      <c r="H39" s="6" t="str">
        <f>VLOOKUP(G39,Основни!$G$3:$H$6,2,0)</f>
        <v>LED фарове ЗАВИВАЩИ /къси и дълги</v>
      </c>
      <c r="I39" s="21">
        <f>VLOOKUP(C39,Основни!$A$3:$E$17,4,0)*F39+F39*VLOOKUP(G39,Основни!$G$3:$I$6,3,0)</f>
        <v>77756</v>
      </c>
      <c r="J39" s="21">
        <f>I39*$P$4</f>
        <v>23326.799999999999</v>
      </c>
      <c r="K39" s="9">
        <v>43333</v>
      </c>
      <c r="L39" s="9">
        <v>43333</v>
      </c>
      <c r="M39" s="10" t="str">
        <f>IF(L39&gt;K39,"'ИМА'"," ")</f>
        <v xml:space="preserve"> </v>
      </c>
      <c r="N39" s="11">
        <f>I39-J39</f>
        <v>54429.2</v>
      </c>
    </row>
    <row r="40" spans="1:14" outlineLevel="2" x14ac:dyDescent="0.2">
      <c r="A40" s="9">
        <v>43320</v>
      </c>
      <c r="B40" s="6" t="s">
        <v>23</v>
      </c>
      <c r="C40" s="6">
        <v>10</v>
      </c>
      <c r="D40" s="6" t="str">
        <f>VLOOKUP(Поръчки!C18,Основни!$A$3:$B$17,2,0)</f>
        <v>Комби</v>
      </c>
      <c r="E40" s="6" t="str">
        <f>VLOOKUP(C40,Основни!$A$3:$C$17,3,0)</f>
        <v>Golf</v>
      </c>
      <c r="F40" s="6">
        <v>2</v>
      </c>
      <c r="G40" s="6">
        <v>1013</v>
      </c>
      <c r="H40" s="6" t="str">
        <f>VLOOKUP(G40,Основни!$G$3:$H$6,2,0)</f>
        <v>Електрическо регулиране на седалката</v>
      </c>
      <c r="I40" s="21">
        <f>VLOOKUP(C40,Основни!$A$3:$E$17,4,0)*F40+F40*VLOOKUP(G40,Основни!$G$3:$I$6,3,0)</f>
        <v>74176</v>
      </c>
      <c r="J40" s="21">
        <f>I40*$P$4</f>
        <v>22252.799999999999</v>
      </c>
      <c r="K40" s="9">
        <v>43336</v>
      </c>
      <c r="L40" s="9">
        <v>43336</v>
      </c>
      <c r="M40" s="10" t="str">
        <f>IF(L40&gt;K40,"ИМА"," ")</f>
        <v xml:space="preserve"> </v>
      </c>
      <c r="N40" s="11">
        <f>I40-J40</f>
        <v>51923.199999999997</v>
      </c>
    </row>
    <row r="41" spans="1:14" outlineLevel="2" x14ac:dyDescent="0.2">
      <c r="A41" s="9">
        <v>43327</v>
      </c>
      <c r="B41" s="6" t="s">
        <v>34</v>
      </c>
      <c r="C41" s="6">
        <v>10</v>
      </c>
      <c r="D41" s="6" t="str">
        <f>VLOOKUP(Поръчки!C39,Основни!$A$3:$B$17,2,0)</f>
        <v>Градски модели</v>
      </c>
      <c r="E41" s="6" t="str">
        <f>VLOOKUP(C41,Основни!$A$3:$C$17,3,0)</f>
        <v>Golf</v>
      </c>
      <c r="F41" s="6">
        <v>2</v>
      </c>
      <c r="G41" s="6">
        <v>1010</v>
      </c>
      <c r="H41" s="6" t="str">
        <f>VLOOKUP(G41,Основни!$G$3:$H$6,2,0)</f>
        <v>Алуминиеви джанти</v>
      </c>
      <c r="I41" s="21">
        <f>VLOOKUP(C41,Основни!$A$3:$E$17,4,0)*F41+F41*VLOOKUP(G41,Основни!$G$3:$I$6,3,0)</f>
        <v>74160</v>
      </c>
      <c r="J41" s="21">
        <f>I41*$P$4</f>
        <v>22248</v>
      </c>
      <c r="K41" s="9">
        <v>43343</v>
      </c>
      <c r="L41" s="9">
        <v>43343</v>
      </c>
      <c r="M41" s="10" t="str">
        <f>IF(L41&gt;K41,"ИМА"," ")</f>
        <v xml:space="preserve"> </v>
      </c>
      <c r="N41" s="11">
        <f>I41-J41</f>
        <v>51912</v>
      </c>
    </row>
    <row r="42" spans="1:14" outlineLevel="2" x14ac:dyDescent="0.2">
      <c r="A42" s="9">
        <v>43329</v>
      </c>
      <c r="B42" s="6" t="s">
        <v>40</v>
      </c>
      <c r="C42" s="6">
        <v>10</v>
      </c>
      <c r="D42" s="6" t="str">
        <f>VLOOKUP(Поръчки!C49,Основни!$A$3:$B$17,2,0)</f>
        <v>Градски модели</v>
      </c>
      <c r="E42" s="6" t="str">
        <f>VLOOKUP(C42,Основни!$A$3:$C$17,3,0)</f>
        <v>Golf</v>
      </c>
      <c r="F42" s="6">
        <v>2</v>
      </c>
      <c r="G42" s="6">
        <v>1013</v>
      </c>
      <c r="H42" s="6" t="str">
        <f>VLOOKUP(G42,Основни!$G$3:$H$6,2,0)</f>
        <v>Електрическо регулиране на седалката</v>
      </c>
      <c r="I42" s="21">
        <f>VLOOKUP(C42,Основни!$A$3:$E$17,4,0)*F42+F42*VLOOKUP(G42,Основни!$G$3:$I$6,3,0)</f>
        <v>74176</v>
      </c>
      <c r="J42" s="21">
        <f>I42*$P$4</f>
        <v>22252.799999999999</v>
      </c>
      <c r="K42" s="9">
        <v>43345</v>
      </c>
      <c r="L42" s="9">
        <v>43345</v>
      </c>
      <c r="M42" s="10" t="str">
        <f>IF(L42&gt;K42,"ИМА"," ")</f>
        <v xml:space="preserve"> </v>
      </c>
      <c r="N42" s="11">
        <f>I42-J42</f>
        <v>51923.199999999997</v>
      </c>
    </row>
    <row r="43" spans="1:14" outlineLevel="2" x14ac:dyDescent="0.2">
      <c r="A43" s="9">
        <v>43334</v>
      </c>
      <c r="B43" s="6" t="s">
        <v>48</v>
      </c>
      <c r="C43" s="6">
        <v>10</v>
      </c>
      <c r="D43" s="6" t="str">
        <f>VLOOKUP(Поръчки!C63,Основни!$A$3:$B$17,2,0)</f>
        <v>Електрически модели</v>
      </c>
      <c r="E43" s="6" t="str">
        <f>VLOOKUP(C43,Основни!$A$3:$C$17,3,0)</f>
        <v>Golf</v>
      </c>
      <c r="F43" s="6">
        <v>2</v>
      </c>
      <c r="G43" s="6">
        <v>1011</v>
      </c>
      <c r="H43" s="6" t="str">
        <f>VLOOKUP(G43,Основни!$G$3:$H$6,2,0)</f>
        <v>LED фарове ЗАВИВАЩИ /къси и дълги</v>
      </c>
      <c r="I43" s="21">
        <f>VLOOKUP(C43,Основни!$A$3:$E$17,4,0)*F43+F43*VLOOKUP(G43,Основни!$G$3:$I$6,3,0)</f>
        <v>77756</v>
      </c>
      <c r="J43" s="21">
        <f>I43*$P$4</f>
        <v>23326.799999999999</v>
      </c>
      <c r="K43" s="9">
        <v>43350</v>
      </c>
      <c r="L43" s="9">
        <v>43350</v>
      </c>
      <c r="M43" s="10" t="str">
        <f>IF(L43&gt;K43,"ИМА"," ")</f>
        <v xml:space="preserve"> </v>
      </c>
      <c r="N43" s="11">
        <f>I43-J43</f>
        <v>54429.2</v>
      </c>
    </row>
    <row r="44" spans="1:14" outlineLevel="2" x14ac:dyDescent="0.2">
      <c r="A44" s="9">
        <v>43337</v>
      </c>
      <c r="B44" s="6" t="s">
        <v>51</v>
      </c>
      <c r="C44" s="6">
        <v>10</v>
      </c>
      <c r="D44" s="6" t="str">
        <f>VLOOKUP(Поръчки!C69,Основни!$A$3:$B$17,2,0)</f>
        <v>Електрически модели</v>
      </c>
      <c r="E44" s="6" t="str">
        <f>VLOOKUP(C44,Основни!$A$3:$C$17,3,0)</f>
        <v>Golf</v>
      </c>
      <c r="F44" s="6">
        <v>4</v>
      </c>
      <c r="G44" s="6">
        <v>1013</v>
      </c>
      <c r="H44" s="6" t="str">
        <f>VLOOKUP(G44,Основни!$G$3:$H$6,2,0)</f>
        <v>Електрическо регулиране на седалката</v>
      </c>
      <c r="I44" s="21">
        <f>VLOOKUP(C44,Основни!$A$3:$E$17,4,0)*F44+F44*VLOOKUP(G44,Основни!$G$3:$I$6,3,0)</f>
        <v>148352</v>
      </c>
      <c r="J44" s="21">
        <f>I44*$P$4</f>
        <v>44505.599999999999</v>
      </c>
      <c r="K44" s="9">
        <v>43363</v>
      </c>
      <c r="L44" s="9">
        <v>43363</v>
      </c>
      <c r="M44" s="10" t="str">
        <f>IF(L44&gt;K44,"ИМА"," ")</f>
        <v xml:space="preserve"> </v>
      </c>
      <c r="N44" s="11">
        <f>I44-J44</f>
        <v>103846.39999999999</v>
      </c>
    </row>
    <row r="45" spans="1:14" outlineLevel="1" x14ac:dyDescent="0.2">
      <c r="A45" s="9"/>
      <c r="B45" s="6"/>
      <c r="C45" s="6"/>
      <c r="D45" s="6"/>
      <c r="E45" s="25" t="s">
        <v>119</v>
      </c>
      <c r="F45" s="6">
        <f>SUBTOTAL(9,F39:F44)</f>
        <v>14</v>
      </c>
      <c r="G45" s="6"/>
      <c r="H45" s="6"/>
      <c r="I45" s="21"/>
      <c r="J45" s="21"/>
      <c r="K45" s="9"/>
      <c r="L45" s="9"/>
      <c r="M45" s="10"/>
      <c r="N45" s="11"/>
    </row>
    <row r="46" spans="1:14" outlineLevel="2" x14ac:dyDescent="0.2">
      <c r="A46" s="9">
        <v>43314</v>
      </c>
      <c r="B46" s="6" t="s">
        <v>11</v>
      </c>
      <c r="C46" s="6">
        <v>11</v>
      </c>
      <c r="D46" s="6" t="str">
        <f>VLOOKUP(Поръчки!C5,Основни!$A$3:$B$17,2,0)</f>
        <v>Комби</v>
      </c>
      <c r="E46" s="6" t="str">
        <f>VLOOKUP(C46,Основни!$A$3:$C$17,3,0)</f>
        <v>Cargo up!</v>
      </c>
      <c r="F46" s="6">
        <v>2</v>
      </c>
      <c r="G46" s="6">
        <v>1010</v>
      </c>
      <c r="H46" s="6" t="str">
        <f>VLOOKUP(G46,Основни!$G$3:$H$6,2,0)</f>
        <v>Алуминиеви джанти</v>
      </c>
      <c r="I46" s="21">
        <f>VLOOKUP(C46,Основни!$A$3:$E$17,4,0)*F46+F46*VLOOKUP(G46,Основни!$G$3:$I$6,3,0)</f>
        <v>43264</v>
      </c>
      <c r="J46" s="21">
        <f>I46*$P$4</f>
        <v>12979.199999999999</v>
      </c>
      <c r="K46" s="9">
        <v>43332</v>
      </c>
      <c r="L46" s="9">
        <v>43332</v>
      </c>
      <c r="M46" s="10" t="str">
        <f>IF(L46&gt;K46,"'ИМА'"," ")</f>
        <v xml:space="preserve"> </v>
      </c>
      <c r="N46" s="11">
        <f>I46-J46</f>
        <v>30284.800000000003</v>
      </c>
    </row>
    <row r="47" spans="1:14" outlineLevel="2" x14ac:dyDescent="0.2">
      <c r="A47" s="9">
        <v>43334</v>
      </c>
      <c r="B47" s="6" t="s">
        <v>47</v>
      </c>
      <c r="C47" s="6">
        <v>11</v>
      </c>
      <c r="D47" s="6" t="str">
        <f>VLOOKUP(Поръчки!C62,Основни!$A$3:$B$17,2,0)</f>
        <v>Електрически модели</v>
      </c>
      <c r="E47" s="6" t="str">
        <f>VLOOKUP(C47,Основни!$A$3:$C$17,3,0)</f>
        <v>Cargo up!</v>
      </c>
      <c r="F47" s="6">
        <v>2</v>
      </c>
      <c r="G47" s="6">
        <v>1010</v>
      </c>
      <c r="H47" s="6" t="str">
        <f>VLOOKUP(G47,Основни!$G$3:$H$6,2,0)</f>
        <v>Алуминиеви джанти</v>
      </c>
      <c r="I47" s="21">
        <f>VLOOKUP(C47,Основни!$A$3:$E$17,4,0)*F47+F47*VLOOKUP(G47,Основни!$G$3:$I$6,3,0)</f>
        <v>43264</v>
      </c>
      <c r="J47" s="21">
        <f>I47*$P$4</f>
        <v>12979.199999999999</v>
      </c>
      <c r="K47" s="9">
        <v>43352</v>
      </c>
      <c r="L47" s="9">
        <v>43352</v>
      </c>
      <c r="M47" s="10" t="str">
        <f>IF(L47&gt;K47,"ИМА"," ")</f>
        <v xml:space="preserve"> </v>
      </c>
      <c r="N47" s="11">
        <f>I47-J47</f>
        <v>30284.800000000003</v>
      </c>
    </row>
    <row r="48" spans="1:14" outlineLevel="1" x14ac:dyDescent="0.2">
      <c r="A48" s="9"/>
      <c r="B48" s="6"/>
      <c r="C48" s="6"/>
      <c r="D48" s="6"/>
      <c r="E48" s="25" t="s">
        <v>120</v>
      </c>
      <c r="F48" s="6">
        <f>SUBTOTAL(9,F46:F47)</f>
        <v>4</v>
      </c>
      <c r="G48" s="6"/>
      <c r="H48" s="6"/>
      <c r="I48" s="21"/>
      <c r="J48" s="21"/>
      <c r="K48" s="9"/>
      <c r="L48" s="9"/>
      <c r="M48" s="10"/>
      <c r="N48" s="11"/>
    </row>
    <row r="49" spans="1:14" outlineLevel="2" x14ac:dyDescent="0.2">
      <c r="A49" s="9">
        <v>43323</v>
      </c>
      <c r="B49" s="6" t="s">
        <v>30</v>
      </c>
      <c r="C49" s="6">
        <v>12</v>
      </c>
      <c r="D49" s="6" t="str">
        <f>VLOOKUP(Поръчки!C27,Основни!$A$3:$B$17,2,0)</f>
        <v>SUV</v>
      </c>
      <c r="E49" s="6" t="str">
        <f>VLOOKUP(C49,Основни!$A$3:$C$17,3,0)</f>
        <v>e-load up!</v>
      </c>
      <c r="F49" s="6">
        <v>2</v>
      </c>
      <c r="G49" s="6">
        <v>1010</v>
      </c>
      <c r="H49" s="6" t="str">
        <f>VLOOKUP(G49,Основни!$G$3:$H$6,2,0)</f>
        <v>Алуминиеви джанти</v>
      </c>
      <c r="I49" s="21">
        <f>VLOOKUP(C49,Основни!$A$3:$E$17,4,0)*F49+F49*VLOOKUP(G49,Основни!$G$3:$I$6,3,0)</f>
        <v>49792</v>
      </c>
      <c r="J49" s="21">
        <f>I49*$P$4</f>
        <v>14937.599999999999</v>
      </c>
      <c r="K49" s="9">
        <v>43331</v>
      </c>
      <c r="L49" s="9">
        <v>43331</v>
      </c>
      <c r="M49" s="10" t="str">
        <f>IF(L49&gt;K49,"ИМА"," ")</f>
        <v xml:space="preserve"> </v>
      </c>
      <c r="N49" s="11">
        <f>I49-J49</f>
        <v>34854.400000000001</v>
      </c>
    </row>
    <row r="50" spans="1:14" outlineLevel="2" x14ac:dyDescent="0.2">
      <c r="A50" s="9">
        <v>43325</v>
      </c>
      <c r="B50" s="6" t="s">
        <v>28</v>
      </c>
      <c r="C50" s="6">
        <v>12</v>
      </c>
      <c r="D50" s="6" t="str">
        <f>VLOOKUP(Поръчки!C32,Основни!$A$3:$B$17,2,0)</f>
        <v>SUV</v>
      </c>
      <c r="E50" s="6" t="str">
        <f>VLOOKUP(C50,Основни!$A$3:$C$17,3,0)</f>
        <v>e-load up!</v>
      </c>
      <c r="F50" s="6">
        <v>4</v>
      </c>
      <c r="G50" s="6">
        <v>1010</v>
      </c>
      <c r="H50" s="6" t="str">
        <f>VLOOKUP(G50,Основни!$G$3:$H$6,2,0)</f>
        <v>Алуминиеви джанти</v>
      </c>
      <c r="I50" s="21">
        <f>VLOOKUP(C50,Основни!$A$3:$E$17,4,0)*F50+F50*VLOOKUP(G50,Основни!$G$3:$I$6,3,0)</f>
        <v>99584</v>
      </c>
      <c r="J50" s="21">
        <f>I50*$P$4</f>
        <v>29875.199999999997</v>
      </c>
      <c r="K50" s="9">
        <v>43343</v>
      </c>
      <c r="L50" s="9">
        <v>43343</v>
      </c>
      <c r="M50" s="10" t="str">
        <f>IF(L50&gt;K50,"ИМА"," ")</f>
        <v xml:space="preserve"> </v>
      </c>
      <c r="N50" s="11">
        <f>I50-J50</f>
        <v>69708.800000000003</v>
      </c>
    </row>
    <row r="51" spans="1:14" outlineLevel="2" x14ac:dyDescent="0.2">
      <c r="A51" s="9">
        <v>43329</v>
      </c>
      <c r="B51" s="6" t="s">
        <v>37</v>
      </c>
      <c r="C51" s="6">
        <v>12</v>
      </c>
      <c r="D51" s="6" t="str">
        <f>VLOOKUP(Поръчки!C44,Основни!$A$3:$B$17,2,0)</f>
        <v>Градски модели</v>
      </c>
      <c r="E51" s="6" t="str">
        <f>VLOOKUP(C51,Основни!$A$3:$C$17,3,0)</f>
        <v>e-load up!</v>
      </c>
      <c r="F51" s="6">
        <v>4</v>
      </c>
      <c r="G51" s="6">
        <v>1011</v>
      </c>
      <c r="H51" s="6" t="str">
        <f>VLOOKUP(G51,Основни!$G$3:$H$6,2,0)</f>
        <v>LED фарове ЗАВИВАЩИ /къси и дълги</v>
      </c>
      <c r="I51" s="21">
        <f>VLOOKUP(C51,Основни!$A$3:$E$17,4,0)*F51+F51*VLOOKUP(G51,Основни!$G$3:$I$6,3,0)</f>
        <v>106776</v>
      </c>
      <c r="J51" s="21">
        <f>I51*$P$4</f>
        <v>32032.799999999999</v>
      </c>
      <c r="K51" s="9">
        <v>43346</v>
      </c>
      <c r="L51" s="9">
        <v>43346</v>
      </c>
      <c r="M51" s="10" t="str">
        <f>IF(L51&gt;K51,"ИМА"," ")</f>
        <v xml:space="preserve"> </v>
      </c>
      <c r="N51" s="11">
        <f>I51-J51</f>
        <v>74743.199999999997</v>
      </c>
    </row>
    <row r="52" spans="1:14" outlineLevel="2" x14ac:dyDescent="0.2">
      <c r="A52" s="9">
        <v>43332</v>
      </c>
      <c r="B52" s="6" t="s">
        <v>43</v>
      </c>
      <c r="C52" s="6">
        <v>12</v>
      </c>
      <c r="D52" s="6" t="str">
        <f>VLOOKUP(Поръчки!C56,Основни!$A$3:$B$17,2,0)</f>
        <v>Електрически модели</v>
      </c>
      <c r="E52" s="6" t="str">
        <f>VLOOKUP(C52,Основни!$A$3:$C$17,3,0)</f>
        <v>e-load up!</v>
      </c>
      <c r="F52" s="6">
        <v>2</v>
      </c>
      <c r="G52" s="6">
        <v>1010</v>
      </c>
      <c r="H52" s="6" t="str">
        <f>VLOOKUP(G52,Основни!$G$3:$H$6,2,0)</f>
        <v>Алуминиеви джанти</v>
      </c>
      <c r="I52" s="21">
        <f>VLOOKUP(C52,Основни!$A$3:$E$17,4,0)*F52+F52*VLOOKUP(G52,Основни!$G$3:$I$6,3,0)</f>
        <v>49792</v>
      </c>
      <c r="J52" s="21">
        <f>I52*$P$4</f>
        <v>14937.599999999999</v>
      </c>
      <c r="K52" s="9">
        <v>43340</v>
      </c>
      <c r="L52" s="9">
        <v>43340</v>
      </c>
      <c r="M52" s="10" t="str">
        <f>IF(L52&gt;K52,"ИМА"," ")</f>
        <v xml:space="preserve"> </v>
      </c>
      <c r="N52" s="11">
        <f>I52-J52</f>
        <v>34854.400000000001</v>
      </c>
    </row>
    <row r="53" spans="1:14" outlineLevel="2" x14ac:dyDescent="0.2">
      <c r="A53" s="9">
        <v>43335</v>
      </c>
      <c r="B53" s="6" t="s">
        <v>49</v>
      </c>
      <c r="C53" s="6">
        <v>12</v>
      </c>
      <c r="D53" s="6" t="str">
        <f>VLOOKUP(Поръчки!C65,Основни!$A$3:$B$17,2,0)</f>
        <v>Електрически модели</v>
      </c>
      <c r="E53" s="6" t="str">
        <f>VLOOKUP(C53,Основни!$A$3:$C$17,3,0)</f>
        <v>e-load up!</v>
      </c>
      <c r="F53" s="6">
        <v>4</v>
      </c>
      <c r="G53" s="6">
        <v>1011</v>
      </c>
      <c r="H53" s="6" t="str">
        <f>VLOOKUP(G53,Основни!$G$3:$H$6,2,0)</f>
        <v>LED фарове ЗАВИВАЩИ /къси и дълги</v>
      </c>
      <c r="I53" s="21">
        <f>VLOOKUP(C53,Основни!$A$3:$E$17,4,0)*F53+F53*VLOOKUP(G53,Основни!$G$3:$I$6,3,0)</f>
        <v>106776</v>
      </c>
      <c r="J53" s="21">
        <f>I53*$P$4</f>
        <v>32032.799999999999</v>
      </c>
      <c r="K53" s="9">
        <v>43353</v>
      </c>
      <c r="L53" s="9">
        <v>43353</v>
      </c>
      <c r="M53" s="10" t="str">
        <f>IF(L53&gt;K53,"ИМА"," ")</f>
        <v xml:space="preserve"> </v>
      </c>
      <c r="N53" s="11">
        <f>I53-J53</f>
        <v>74743.199999999997</v>
      </c>
    </row>
    <row r="54" spans="1:14" outlineLevel="1" x14ac:dyDescent="0.2">
      <c r="A54" s="9"/>
      <c r="B54" s="6"/>
      <c r="C54" s="6"/>
      <c r="D54" s="6"/>
      <c r="E54" s="25" t="s">
        <v>121</v>
      </c>
      <c r="F54" s="6">
        <f>SUBTOTAL(9,F49:F53)</f>
        <v>16</v>
      </c>
      <c r="G54" s="6"/>
      <c r="H54" s="6"/>
      <c r="I54" s="21"/>
      <c r="J54" s="21"/>
      <c r="K54" s="9"/>
      <c r="L54" s="9"/>
      <c r="M54" s="10"/>
      <c r="N54" s="11"/>
    </row>
    <row r="55" spans="1:14" outlineLevel="2" x14ac:dyDescent="0.2">
      <c r="A55" s="9">
        <v>43315</v>
      </c>
      <c r="B55" s="6" t="s">
        <v>13</v>
      </c>
      <c r="C55" s="6">
        <v>13</v>
      </c>
      <c r="D55" s="6" t="str">
        <f>VLOOKUP(Поръчки!C6,Основни!$A$3:$B$17,2,0)</f>
        <v>Комби</v>
      </c>
      <c r="E55" s="6" t="str">
        <f>VLOOKUP(C55,Основни!$A$3:$C$17,3,0)</f>
        <v>e-Golf</v>
      </c>
      <c r="F55" s="6">
        <v>4</v>
      </c>
      <c r="G55" s="6">
        <v>1012</v>
      </c>
      <c r="H55" s="6" t="str">
        <f>VLOOKUP(G55,Основни!$G$3:$H$6,2,0)</f>
        <v>Безконтактно централно заключване</v>
      </c>
      <c r="I55" s="21">
        <f>VLOOKUP(C55,Основни!$A$3:$E$17,4,0)*F55+F55*VLOOKUP(G55,Основни!$G$3:$I$6,3,0)</f>
        <v>304696</v>
      </c>
      <c r="J55" s="21">
        <f>I55*$P$4</f>
        <v>91408.8</v>
      </c>
      <c r="K55" s="9">
        <v>43333</v>
      </c>
      <c r="L55" s="9">
        <v>43333</v>
      </c>
      <c r="M55" s="10" t="str">
        <f>IF(L55&gt;K55,"'ИМА'"," ")</f>
        <v xml:space="preserve"> </v>
      </c>
      <c r="N55" s="11">
        <f>I55-J55</f>
        <v>213287.2</v>
      </c>
    </row>
    <row r="56" spans="1:14" outlineLevel="2" x14ac:dyDescent="0.2">
      <c r="A56" s="9">
        <v>43322</v>
      </c>
      <c r="B56" s="6" t="s">
        <v>18</v>
      </c>
      <c r="C56" s="6">
        <v>13</v>
      </c>
      <c r="D56" s="6" t="str">
        <f>VLOOKUP(Поръчки!C25,Основни!$A$3:$B$17,2,0)</f>
        <v>SUV</v>
      </c>
      <c r="E56" s="6" t="str">
        <f>VLOOKUP(C56,Основни!$A$3:$C$17,3,0)</f>
        <v>e-Golf</v>
      </c>
      <c r="F56" s="6">
        <v>4</v>
      </c>
      <c r="G56" s="6">
        <v>1012</v>
      </c>
      <c r="H56" s="6" t="str">
        <f>VLOOKUP(G56,Основни!$G$3:$H$6,2,0)</f>
        <v>Безконтактно централно заключване</v>
      </c>
      <c r="I56" s="21">
        <f>VLOOKUP(C56,Основни!$A$3:$E$17,4,0)*F56+F56*VLOOKUP(G56,Основни!$G$3:$I$6,3,0)</f>
        <v>304696</v>
      </c>
      <c r="J56" s="21">
        <f>I56*$P$4</f>
        <v>91408.8</v>
      </c>
      <c r="K56" s="9">
        <v>43340</v>
      </c>
      <c r="L56" s="9">
        <v>43340</v>
      </c>
      <c r="M56" s="10" t="str">
        <f>IF(L56&gt;K56,"ИМА"," ")</f>
        <v xml:space="preserve"> </v>
      </c>
      <c r="N56" s="11">
        <f>I56-J56</f>
        <v>213287.2</v>
      </c>
    </row>
    <row r="57" spans="1:14" outlineLevel="2" x14ac:dyDescent="0.2">
      <c r="A57" s="9">
        <v>43326</v>
      </c>
      <c r="B57" s="6" t="s">
        <v>33</v>
      </c>
      <c r="C57" s="6">
        <v>13</v>
      </c>
      <c r="D57" s="6" t="str">
        <f>VLOOKUP(Поръчки!C36,Основни!$A$3:$B$17,2,0)</f>
        <v>Градски модели</v>
      </c>
      <c r="E57" s="6" t="str">
        <f>VLOOKUP(C57,Основни!$A$3:$C$17,3,0)</f>
        <v>e-Golf</v>
      </c>
      <c r="F57" s="6">
        <v>3</v>
      </c>
      <c r="G57" s="6">
        <v>1011</v>
      </c>
      <c r="H57" s="6" t="str">
        <f>VLOOKUP(G57,Основни!$G$3:$H$6,2,0)</f>
        <v>LED фарове ЗАВИВАЩИ /къси и дълги</v>
      </c>
      <c r="I57" s="21">
        <f>VLOOKUP(C57,Основни!$A$3:$E$17,4,0)*F57+F57*VLOOKUP(G57,Основни!$G$3:$I$6,3,0)</f>
        <v>235965</v>
      </c>
      <c r="J57" s="21">
        <f>I57*$P$4</f>
        <v>70789.5</v>
      </c>
      <c r="K57" s="9">
        <v>43344</v>
      </c>
      <c r="L57" s="9">
        <v>43344</v>
      </c>
      <c r="M57" s="10" t="str">
        <f>IF(L57&gt;K57,"ИМА"," ")</f>
        <v xml:space="preserve"> </v>
      </c>
      <c r="N57" s="11">
        <f>I57-J57</f>
        <v>165175.5</v>
      </c>
    </row>
    <row r="58" spans="1:14" outlineLevel="2" x14ac:dyDescent="0.2">
      <c r="A58" s="9">
        <v>43327</v>
      </c>
      <c r="B58" s="6" t="s">
        <v>35</v>
      </c>
      <c r="C58" s="6">
        <v>13</v>
      </c>
      <c r="D58" s="6" t="str">
        <f>VLOOKUP(Поръчки!C41,Основни!$A$3:$B$17,2,0)</f>
        <v>Градски модели</v>
      </c>
      <c r="E58" s="6" t="str">
        <f>VLOOKUP(C58,Основни!$A$3:$C$17,3,0)</f>
        <v>e-Golf</v>
      </c>
      <c r="F58" s="6">
        <v>6</v>
      </c>
      <c r="G58" s="6">
        <v>1012</v>
      </c>
      <c r="H58" s="6" t="str">
        <f>VLOOKUP(G58,Основни!$G$3:$H$6,2,0)</f>
        <v>Безконтактно централно заключване</v>
      </c>
      <c r="I58" s="21">
        <f>VLOOKUP(C58,Основни!$A$3:$E$17,4,0)*F58+F58*VLOOKUP(G58,Основни!$G$3:$I$6,3,0)</f>
        <v>457044</v>
      </c>
      <c r="J58" s="21">
        <f>I58*$P$4</f>
        <v>137113.19999999998</v>
      </c>
      <c r="K58" s="9">
        <v>43355</v>
      </c>
      <c r="L58" s="9">
        <v>43355</v>
      </c>
      <c r="M58" s="10" t="str">
        <f>IF(L58&gt;K58,"ИМА"," ")</f>
        <v xml:space="preserve"> </v>
      </c>
      <c r="N58" s="11">
        <f>I58-J58</f>
        <v>319930.80000000005</v>
      </c>
    </row>
    <row r="59" spans="1:14" outlineLevel="2" x14ac:dyDescent="0.2">
      <c r="A59" s="9">
        <v>43331</v>
      </c>
      <c r="B59" s="6" t="s">
        <v>42</v>
      </c>
      <c r="C59" s="6">
        <v>13</v>
      </c>
      <c r="D59" s="6" t="str">
        <f>VLOOKUP(Поръчки!C55,Основни!$A$3:$B$17,2,0)</f>
        <v>Електрически модели</v>
      </c>
      <c r="E59" s="6" t="str">
        <f>VLOOKUP(C59,Основни!$A$3:$C$17,3,0)</f>
        <v>e-Golf</v>
      </c>
      <c r="F59" s="6">
        <v>2</v>
      </c>
      <c r="G59" s="6">
        <v>1012</v>
      </c>
      <c r="H59" s="6" t="str">
        <f>VLOOKUP(G59,Основни!$G$3:$H$6,2,0)</f>
        <v>Безконтактно централно заключване</v>
      </c>
      <c r="I59" s="21">
        <f>VLOOKUP(C59,Основни!$A$3:$E$17,4,0)*F59+F59*VLOOKUP(G59,Основни!$G$3:$I$6,3,0)</f>
        <v>152348</v>
      </c>
      <c r="J59" s="21">
        <f>I59*$P$4</f>
        <v>45704.4</v>
      </c>
      <c r="K59" s="9">
        <v>43339</v>
      </c>
      <c r="L59" s="9">
        <v>43339</v>
      </c>
      <c r="M59" s="10" t="str">
        <f>IF(L59&gt;K59,"ИМА"," ")</f>
        <v xml:space="preserve"> </v>
      </c>
      <c r="N59" s="11">
        <f>I59-J59</f>
        <v>106643.6</v>
      </c>
    </row>
    <row r="60" spans="1:14" outlineLevel="2" x14ac:dyDescent="0.2">
      <c r="A60" s="9">
        <v>43337</v>
      </c>
      <c r="B60" s="6" t="s">
        <v>52</v>
      </c>
      <c r="C60" s="6">
        <v>13</v>
      </c>
      <c r="D60" s="6" t="str">
        <f>VLOOKUP(Поръчки!C70,Основни!$A$3:$B$17,2,0)</f>
        <v>Електрически модели</v>
      </c>
      <c r="E60" s="6" t="str">
        <f>VLOOKUP(C60,Основни!$A$3:$C$17,3,0)</f>
        <v>e-Golf</v>
      </c>
      <c r="F60" s="6">
        <v>6</v>
      </c>
      <c r="G60" s="6">
        <v>1010</v>
      </c>
      <c r="H60" s="6" t="str">
        <f>VLOOKUP(G60,Основни!$G$3:$H$6,2,0)</f>
        <v>Алуминиеви джанти</v>
      </c>
      <c r="I60" s="21">
        <f>VLOOKUP(C60,Основни!$A$3:$E$17,4,0)*F60+F60*VLOOKUP(G60,Основни!$G$3:$I$6,3,0)</f>
        <v>461142</v>
      </c>
      <c r="J60" s="21">
        <f>I60*$P$4</f>
        <v>138342.6</v>
      </c>
      <c r="K60" s="9">
        <v>43365</v>
      </c>
      <c r="L60" s="9">
        <v>43365</v>
      </c>
      <c r="M60" s="10" t="str">
        <f>IF(L60&gt;K60,"ИМА"," ")</f>
        <v xml:space="preserve"> </v>
      </c>
      <c r="N60" s="11">
        <f>I60-J60</f>
        <v>322799.40000000002</v>
      </c>
    </row>
    <row r="61" spans="1:14" outlineLevel="1" x14ac:dyDescent="0.2">
      <c r="A61" s="9"/>
      <c r="B61" s="6"/>
      <c r="C61" s="6"/>
      <c r="D61" s="6"/>
      <c r="E61" s="25" t="s">
        <v>122</v>
      </c>
      <c r="F61" s="6">
        <f>SUBTOTAL(9,F55:F60)</f>
        <v>25</v>
      </c>
      <c r="G61" s="6"/>
      <c r="H61" s="6"/>
      <c r="I61" s="21"/>
      <c r="J61" s="21"/>
      <c r="K61" s="9"/>
      <c r="L61" s="9"/>
      <c r="M61" s="10"/>
      <c r="N61" s="11"/>
    </row>
    <row r="62" spans="1:14" outlineLevel="2" x14ac:dyDescent="0.2">
      <c r="A62" s="9">
        <v>43317</v>
      </c>
      <c r="B62" s="6" t="s">
        <v>17</v>
      </c>
      <c r="C62" s="6">
        <v>14</v>
      </c>
      <c r="D62" s="6" t="str">
        <f>VLOOKUP(Поръчки!C13,Основни!$A$3:$B$17,2,0)</f>
        <v>Комби</v>
      </c>
      <c r="E62" s="6" t="str">
        <f>VLOOKUP(C62,Основни!$A$3:$C$17,3,0)</f>
        <v>Passat GTE</v>
      </c>
      <c r="F62" s="6">
        <v>6</v>
      </c>
      <c r="G62" s="6">
        <v>1010</v>
      </c>
      <c r="H62" s="6" t="str">
        <f>VLOOKUP(G62,Основни!$G$3:$H$6,2,0)</f>
        <v>Алуминиеви джанти</v>
      </c>
      <c r="I62" s="21">
        <f>VLOOKUP(C62,Основни!$A$3:$E$17,4,0)*F62+F62*VLOOKUP(G62,Основни!$G$3:$I$6,3,0)</f>
        <v>458100</v>
      </c>
      <c r="J62" s="21">
        <f>I62*$P$4</f>
        <v>137430</v>
      </c>
      <c r="K62" s="9">
        <v>43347</v>
      </c>
      <c r="L62" s="9">
        <v>43353</v>
      </c>
      <c r="M62" s="10" t="str">
        <f>IF(L62&gt;K62,"ИМА"," ")</f>
        <v>ИМА</v>
      </c>
      <c r="N62" s="11">
        <f>I62-J62</f>
        <v>320670</v>
      </c>
    </row>
    <row r="63" spans="1:14" outlineLevel="2" x14ac:dyDescent="0.2">
      <c r="A63" s="9">
        <v>43324</v>
      </c>
      <c r="B63" s="6" t="s">
        <v>27</v>
      </c>
      <c r="C63" s="6">
        <v>14</v>
      </c>
      <c r="D63" s="6" t="str">
        <f>VLOOKUP(Поръчки!C29,Основни!$A$3:$B$17,2,0)</f>
        <v>SUV</v>
      </c>
      <c r="E63" s="6" t="str">
        <f>VLOOKUP(C63,Основни!$A$3:$C$17,3,0)</f>
        <v>Passat GTE</v>
      </c>
      <c r="F63" s="6">
        <v>4</v>
      </c>
      <c r="G63" s="6">
        <v>1011</v>
      </c>
      <c r="H63" s="6" t="str">
        <f>VLOOKUP(G63,Основни!$G$3:$H$6,2,0)</f>
        <v>LED фарове ЗАВИВАЩИ /къси и дълги</v>
      </c>
      <c r="I63" s="21">
        <f>VLOOKUP(C63,Основни!$A$3:$E$17,4,0)*F63+F63*VLOOKUP(G63,Основни!$G$3:$I$6,3,0)</f>
        <v>312592</v>
      </c>
      <c r="J63" s="21">
        <f>I63*$P$4</f>
        <v>93777.599999999991</v>
      </c>
      <c r="K63" s="9">
        <v>43344</v>
      </c>
      <c r="L63" s="9">
        <v>43344</v>
      </c>
      <c r="M63" s="10" t="str">
        <f>IF(L63&gt;K63,"ИМА"," ")</f>
        <v xml:space="preserve"> </v>
      </c>
      <c r="N63" s="11">
        <f>I63-J63</f>
        <v>218814.40000000002</v>
      </c>
    </row>
    <row r="64" spans="1:14" outlineLevel="2" x14ac:dyDescent="0.2">
      <c r="A64" s="9">
        <v>43325</v>
      </c>
      <c r="B64" s="6" t="s">
        <v>29</v>
      </c>
      <c r="C64" s="6">
        <v>14</v>
      </c>
      <c r="D64" s="6" t="str">
        <f>VLOOKUP(Поръчки!C34,Основни!$A$3:$B$17,2,0)</f>
        <v>Градски модели</v>
      </c>
      <c r="E64" s="6" t="str">
        <f>VLOOKUP(C64,Основни!$A$3:$C$17,3,0)</f>
        <v>Passat GTE</v>
      </c>
      <c r="F64" s="6">
        <v>2</v>
      </c>
      <c r="G64" s="6">
        <v>1013</v>
      </c>
      <c r="H64" s="6" t="str">
        <f>VLOOKUP(G64,Основни!$G$3:$H$6,2,0)</f>
        <v>Електрическо регулиране на седалката</v>
      </c>
      <c r="I64" s="21">
        <f>VLOOKUP(C64,Основни!$A$3:$E$17,4,0)*F64+F64*VLOOKUP(G64,Основни!$G$3:$I$6,3,0)</f>
        <v>152716</v>
      </c>
      <c r="J64" s="21">
        <f>I64*$P$4</f>
        <v>45814.799999999996</v>
      </c>
      <c r="K64" s="9">
        <v>43335</v>
      </c>
      <c r="L64" s="9">
        <v>43335</v>
      </c>
      <c r="M64" s="10" t="str">
        <f>IF(L64&gt;K64,"ИМА"," ")</f>
        <v xml:space="preserve"> </v>
      </c>
      <c r="N64" s="11">
        <f>I64-J64</f>
        <v>106901.20000000001</v>
      </c>
    </row>
    <row r="65" spans="1:14" outlineLevel="2" x14ac:dyDescent="0.2">
      <c r="A65" s="9">
        <v>43330</v>
      </c>
      <c r="B65" s="6" t="s">
        <v>41</v>
      </c>
      <c r="C65" s="6">
        <v>14</v>
      </c>
      <c r="D65" s="6" t="str">
        <f>VLOOKUP(Поръчки!C51,Основни!$A$3:$B$17,2,0)</f>
        <v>Градски модели</v>
      </c>
      <c r="E65" s="6" t="str">
        <f>VLOOKUP(C65,Основни!$A$3:$C$17,3,0)</f>
        <v>Passat GTE</v>
      </c>
      <c r="F65" s="6">
        <v>4</v>
      </c>
      <c r="G65" s="6">
        <v>1013</v>
      </c>
      <c r="H65" s="6" t="str">
        <f>VLOOKUP(G65,Основни!$G$3:$H$6,2,0)</f>
        <v>Електрическо регулиране на седалката</v>
      </c>
      <c r="I65" s="21">
        <f>VLOOKUP(C65,Основни!$A$3:$E$17,4,0)*F65+F65*VLOOKUP(G65,Основни!$G$3:$I$6,3,0)</f>
        <v>305432</v>
      </c>
      <c r="J65" s="21">
        <f>I65*$P$4</f>
        <v>91629.599999999991</v>
      </c>
      <c r="K65" s="9">
        <v>43350</v>
      </c>
      <c r="L65" s="9">
        <v>43350</v>
      </c>
      <c r="M65" s="10" t="str">
        <f>IF(L65&gt;K65,"ИМА"," ")</f>
        <v xml:space="preserve"> </v>
      </c>
      <c r="N65" s="11">
        <f>I65-J65</f>
        <v>213802.40000000002</v>
      </c>
    </row>
    <row r="66" spans="1:14" outlineLevel="1" x14ac:dyDescent="0.2">
      <c r="A66" s="9"/>
      <c r="B66" s="6"/>
      <c r="C66" s="6"/>
      <c r="D66" s="6"/>
      <c r="E66" s="25" t="s">
        <v>123</v>
      </c>
      <c r="F66" s="6">
        <f>SUBTOTAL(9,F62:F65)</f>
        <v>16</v>
      </c>
      <c r="G66" s="6"/>
      <c r="H66" s="6"/>
      <c r="I66" s="21"/>
      <c r="J66" s="21"/>
      <c r="K66" s="9"/>
      <c r="L66" s="9"/>
      <c r="M66" s="10"/>
      <c r="N66" s="11"/>
    </row>
    <row r="67" spans="1:14" outlineLevel="2" x14ac:dyDescent="0.2">
      <c r="A67" s="9">
        <v>43319</v>
      </c>
      <c r="B67" s="6" t="s">
        <v>21</v>
      </c>
      <c r="C67" s="6">
        <v>15</v>
      </c>
      <c r="D67" s="6" t="str">
        <f>VLOOKUP(Поръчки!C16,Основни!$A$3:$B$17,2,0)</f>
        <v>Комби</v>
      </c>
      <c r="E67" s="6" t="str">
        <f>VLOOKUP(C67,Основни!$A$3:$C$17,3,0)</f>
        <v>GTE Variant</v>
      </c>
      <c r="F67" s="6">
        <v>1</v>
      </c>
      <c r="G67" s="6">
        <v>1011</v>
      </c>
      <c r="H67" s="6" t="str">
        <f>VLOOKUP(G67,Основни!$G$3:$H$6,2,0)</f>
        <v>LED фарове ЗАВИВАЩИ /къси и дълги</v>
      </c>
      <c r="I67" s="21">
        <f>VLOOKUP(C67,Основни!$A$3:$E$17,4,0)*F67+F67*VLOOKUP(G67,Основни!$G$3:$I$6,3,0)</f>
        <v>75153</v>
      </c>
      <c r="J67" s="21">
        <f>I67*$P$4</f>
        <v>22545.899999999998</v>
      </c>
      <c r="K67" s="9">
        <v>43337</v>
      </c>
      <c r="L67" s="9">
        <v>43337</v>
      </c>
      <c r="M67" s="10" t="str">
        <f>IF(L67&gt;K67,"ИМА"," ")</f>
        <v xml:space="preserve"> </v>
      </c>
      <c r="N67" s="11">
        <f>I67-J67</f>
        <v>52607.100000000006</v>
      </c>
    </row>
    <row r="68" spans="1:14" outlineLevel="2" x14ac:dyDescent="0.2">
      <c r="A68" s="9">
        <v>43329</v>
      </c>
      <c r="B68" s="6" t="s">
        <v>36</v>
      </c>
      <c r="C68" s="6">
        <v>15</v>
      </c>
      <c r="D68" s="6" t="str">
        <f>VLOOKUP(Поръчки!C42,Основни!$A$3:$B$17,2,0)</f>
        <v>Градски модели</v>
      </c>
      <c r="E68" s="6" t="str">
        <f>VLOOKUP(C68,Основни!$A$3:$C$17,3,0)</f>
        <v>GTE Variant</v>
      </c>
      <c r="F68" s="6">
        <v>1</v>
      </c>
      <c r="G68" s="6">
        <v>1010</v>
      </c>
      <c r="H68" s="6" t="str">
        <f>VLOOKUP(G68,Основни!$G$3:$H$6,2,0)</f>
        <v>Алуминиеви джанти</v>
      </c>
      <c r="I68" s="21">
        <f>VLOOKUP(C68,Основни!$A$3:$E$17,4,0)*F68+F68*VLOOKUP(G68,Основни!$G$3:$I$6,3,0)</f>
        <v>73355</v>
      </c>
      <c r="J68" s="21">
        <f>I68*$P$4</f>
        <v>22006.5</v>
      </c>
      <c r="K68" s="9">
        <v>43348</v>
      </c>
      <c r="L68" s="9">
        <v>43348</v>
      </c>
      <c r="M68" s="10" t="str">
        <f>IF(L68&gt;K68,"ИМА"," ")</f>
        <v xml:space="preserve"> </v>
      </c>
      <c r="N68" s="11">
        <f>I68-J68</f>
        <v>51348.5</v>
      </c>
    </row>
    <row r="69" spans="1:14" outlineLevel="2" x14ac:dyDescent="0.2">
      <c r="A69" s="9">
        <v>43332</v>
      </c>
      <c r="B69" s="6" t="s">
        <v>44</v>
      </c>
      <c r="C69" s="6">
        <v>15</v>
      </c>
      <c r="D69" s="6" t="str">
        <f>VLOOKUP(Поръчки!C57,Основни!$A$3:$B$17,2,0)</f>
        <v>Електрически модели</v>
      </c>
      <c r="E69" s="6" t="str">
        <f>VLOOKUP(C69,Основни!$A$3:$C$17,3,0)</f>
        <v>GTE Variant</v>
      </c>
      <c r="F69" s="6">
        <v>1</v>
      </c>
      <c r="G69" s="6">
        <v>1011</v>
      </c>
      <c r="H69" s="6" t="str">
        <f>VLOOKUP(G69,Основни!$G$3:$H$6,2,0)</f>
        <v>LED фарове ЗАВИВАЩИ /къси и дълги</v>
      </c>
      <c r="I69" s="21">
        <f>VLOOKUP(C69,Основни!$A$3:$E$17,4,0)*F69+F69*VLOOKUP(G69,Основни!$G$3:$I$6,3,0)</f>
        <v>75153</v>
      </c>
      <c r="J69" s="21">
        <f>I69*$P$4</f>
        <v>22545.899999999998</v>
      </c>
      <c r="K69" s="9">
        <v>43352</v>
      </c>
      <c r="L69" s="9">
        <v>43352</v>
      </c>
      <c r="M69" s="10" t="str">
        <f>IF(L69&gt;K69,"ИМА"," ")</f>
        <v xml:space="preserve"> </v>
      </c>
      <c r="N69" s="11">
        <f>I69-J69</f>
        <v>52607.100000000006</v>
      </c>
    </row>
    <row r="70" spans="1:14" outlineLevel="2" x14ac:dyDescent="0.2">
      <c r="A70" s="9">
        <v>43334</v>
      </c>
      <c r="B70" s="6" t="s">
        <v>47</v>
      </c>
      <c r="C70" s="6">
        <v>15</v>
      </c>
      <c r="D70" s="6" t="str">
        <f>VLOOKUP(Поръчки!C60,Основни!$A$3:$B$17,2,0)</f>
        <v>Електрически модели</v>
      </c>
      <c r="E70" s="6" t="str">
        <f>VLOOKUP(C70,Основни!$A$3:$C$17,3,0)</f>
        <v>GTE Variant</v>
      </c>
      <c r="F70" s="6">
        <v>1</v>
      </c>
      <c r="G70" s="6">
        <v>1010</v>
      </c>
      <c r="H70" s="6" t="str">
        <f>VLOOKUP(G70,Основни!$G$3:$H$6,2,0)</f>
        <v>Алуминиеви джанти</v>
      </c>
      <c r="I70" s="21">
        <f>VLOOKUP(C70,Основни!$A$3:$E$17,4,0)*F70+F70*VLOOKUP(G70,Основни!$G$3:$I$6,3,0)</f>
        <v>73355</v>
      </c>
      <c r="J70" s="21">
        <f>I70*$P$4</f>
        <v>22006.5</v>
      </c>
      <c r="K70" s="9">
        <v>43354</v>
      </c>
      <c r="L70" s="9">
        <v>43354</v>
      </c>
      <c r="M70" s="10" t="str">
        <f>IF(L70&gt;K70,"ИМА"," ")</f>
        <v xml:space="preserve"> </v>
      </c>
      <c r="N70" s="11">
        <f>I70-J70</f>
        <v>51348.5</v>
      </c>
    </row>
    <row r="71" spans="1:14" outlineLevel="1" x14ac:dyDescent="0.2">
      <c r="A71" s="26"/>
      <c r="B71" s="18"/>
      <c r="C71" s="18"/>
      <c r="D71" s="18"/>
      <c r="E71" s="30" t="s">
        <v>124</v>
      </c>
      <c r="F71" s="18">
        <f>SUBTOTAL(9,F67:F70)</f>
        <v>4</v>
      </c>
      <c r="G71" s="18"/>
      <c r="H71" s="18"/>
      <c r="I71" s="27"/>
      <c r="J71" s="27"/>
      <c r="K71" s="26"/>
      <c r="L71" s="26"/>
      <c r="M71" s="28"/>
      <c r="N71" s="29"/>
    </row>
    <row r="72" spans="1:14" x14ac:dyDescent="0.2">
      <c r="A72" s="26"/>
      <c r="B72" s="18"/>
      <c r="C72" s="18"/>
      <c r="D72" s="18"/>
      <c r="E72" s="30" t="s">
        <v>108</v>
      </c>
      <c r="F72" s="18">
        <f>SUBTOTAL(9,F4:F70)</f>
        <v>119</v>
      </c>
      <c r="G72" s="18"/>
      <c r="H72" s="18"/>
      <c r="I72" s="27"/>
      <c r="J72" s="27"/>
      <c r="K72" s="26"/>
      <c r="L72" s="26"/>
      <c r="M72" s="28"/>
      <c r="N72" s="29"/>
    </row>
    <row r="75" spans="1:14" x14ac:dyDescent="0.2">
      <c r="I75" s="1"/>
    </row>
    <row r="76" spans="1:14" x14ac:dyDescent="0.2">
      <c r="E76" s="7" t="s">
        <v>105</v>
      </c>
      <c r="F76" s="7" t="s">
        <v>106</v>
      </c>
      <c r="I76" s="1"/>
    </row>
    <row r="77" spans="1:14" x14ac:dyDescent="0.2">
      <c r="D77" t="s">
        <v>55</v>
      </c>
      <c r="E77" s="18" t="s">
        <v>75</v>
      </c>
      <c r="F77">
        <f>SUMIF($D$4:$D$70,E77,$F$4:$F$70)</f>
        <v>26</v>
      </c>
      <c r="H77" t="s">
        <v>56</v>
      </c>
      <c r="L77" s="2" t="s">
        <v>57</v>
      </c>
    </row>
    <row r="78" spans="1:14" x14ac:dyDescent="0.2">
      <c r="E78" s="18" t="s">
        <v>80</v>
      </c>
      <c r="F78">
        <f t="shared" ref="F78:F81" si="0">SUMIF($D$4:$D$70,E78,$F$4:$F$70)</f>
        <v>26</v>
      </c>
      <c r="K78" s="3"/>
    </row>
    <row r="79" spans="1:14" x14ac:dyDescent="0.2">
      <c r="E79" s="18" t="s">
        <v>92</v>
      </c>
      <c r="F79">
        <f t="shared" si="0"/>
        <v>37</v>
      </c>
      <c r="L79" s="3"/>
    </row>
    <row r="80" spans="1:14" x14ac:dyDescent="0.2">
      <c r="E80" s="18" t="s">
        <v>87</v>
      </c>
      <c r="F80">
        <f t="shared" si="0"/>
        <v>30</v>
      </c>
    </row>
    <row r="81" spans="4:4" x14ac:dyDescent="0.2">
      <c r="D81" t="s">
        <v>55</v>
      </c>
    </row>
  </sheetData>
  <sortState ref="A4:N70">
    <sortCondition ref="C4:C70"/>
  </sortState>
  <phoneticPr fontId="1" type="noConversion"/>
  <dataValidations count="1">
    <dataValidation errorStyle="warning" operator="equal" allowBlank="1" showInputMessage="1" showErrorMessage="1" errorTitle="ВНИМАНИЕ!" error="НЕВАЛИДЕН КОД!" sqref="G1:G6 G8:G9 G11:G13 G15:G18 G20:G21 G23:G25 G27:G29 G31:G32 G34:G37 G39:G44 G46:G47 G49:G53 G55:G60 G62:G65 G67:G70 G73:G1048576" xr:uid="{00000000-0002-0000-0200-000000000000}"/>
  </dataValidations>
  <pageMargins left="0.75" right="0.75" top="1" bottom="1" header="0.5" footer="0.5"/>
  <pageSetup paperSize="9" orientation="landscape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297-AA51-4C4A-AD45-C2D25031AC47}">
  <dimension ref="A1:B5"/>
  <sheetViews>
    <sheetView workbookViewId="0">
      <selection activeCell="A3" sqref="A3"/>
    </sheetView>
  </sheetViews>
  <sheetFormatPr defaultRowHeight="12.75" x14ac:dyDescent="0.2"/>
  <cols>
    <col min="1" max="1" width="20" bestFit="1" customWidth="1"/>
    <col min="2" max="2" width="12.7109375" bestFit="1" customWidth="1"/>
  </cols>
  <sheetData>
    <row r="1" spans="1:2" x14ac:dyDescent="0.2">
      <c r="A1" s="22" t="s">
        <v>6</v>
      </c>
      <c r="B1" s="24">
        <v>43315</v>
      </c>
    </row>
    <row r="3" spans="1:2" x14ac:dyDescent="0.2">
      <c r="A3" s="22" t="s">
        <v>107</v>
      </c>
      <c r="B3" t="s">
        <v>109</v>
      </c>
    </row>
    <row r="4" spans="1:2" x14ac:dyDescent="0.2">
      <c r="A4" s="3" t="s">
        <v>87</v>
      </c>
      <c r="B4" s="23">
        <v>4</v>
      </c>
    </row>
    <row r="5" spans="1:2" x14ac:dyDescent="0.2">
      <c r="A5" s="3" t="s">
        <v>108</v>
      </c>
      <c r="B5" s="23">
        <v>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EB33-B30A-4FEA-80FE-EC514F02E30B}">
  <dimension ref="A1:B10"/>
  <sheetViews>
    <sheetView workbookViewId="0">
      <selection activeCell="E22" sqref="E22"/>
    </sheetView>
  </sheetViews>
  <sheetFormatPr defaultRowHeight="12.75" x14ac:dyDescent="0.2"/>
  <cols>
    <col min="1" max="1" width="20.28515625" bestFit="1" customWidth="1"/>
    <col min="2" max="2" width="12.7109375" bestFit="1" customWidth="1"/>
  </cols>
  <sheetData>
    <row r="1" spans="1:2" x14ac:dyDescent="0.2">
      <c r="A1" t="s">
        <v>66</v>
      </c>
    </row>
    <row r="2" spans="1:2" x14ac:dyDescent="0.2">
      <c r="A2" t="s">
        <v>67</v>
      </c>
      <c r="B2">
        <v>50</v>
      </c>
    </row>
    <row r="3" spans="1:2" x14ac:dyDescent="0.2">
      <c r="A3" t="s">
        <v>68</v>
      </c>
      <c r="B3" s="12">
        <v>0.6</v>
      </c>
    </row>
    <row r="5" spans="1:2" x14ac:dyDescent="0.2">
      <c r="A5" t="s">
        <v>69</v>
      </c>
      <c r="B5" s="13">
        <v>30</v>
      </c>
    </row>
    <row r="6" spans="1:2" x14ac:dyDescent="0.2">
      <c r="A6" t="s">
        <v>70</v>
      </c>
      <c r="B6">
        <f>B2*B3</f>
        <v>30</v>
      </c>
    </row>
    <row r="7" spans="1:2" x14ac:dyDescent="0.2">
      <c r="A7" t="s">
        <v>71</v>
      </c>
      <c r="B7" s="13">
        <v>5</v>
      </c>
    </row>
    <row r="8" spans="1:2" x14ac:dyDescent="0.2">
      <c r="A8" t="s">
        <v>72</v>
      </c>
      <c r="B8">
        <f>ROUNDDOWN(B2/20,0)*B5</f>
        <v>60</v>
      </c>
    </row>
    <row r="9" spans="1:2" x14ac:dyDescent="0.2">
      <c r="A9" t="s">
        <v>73</v>
      </c>
      <c r="B9" s="13">
        <f>B6*B7</f>
        <v>150</v>
      </c>
    </row>
    <row r="10" spans="1:2" x14ac:dyDescent="0.2">
      <c r="A10" t="s">
        <v>74</v>
      </c>
      <c r="B10" s="13">
        <f>B9-B8</f>
        <v>90</v>
      </c>
    </row>
  </sheetData>
  <scenarios current="0" sqref="B10">
    <scenario name="лош" locked="1" count="2" user="Todoranova" comment="Created by Todoranova on 16/10/2018">
      <inputCells r="B2" val="50"/>
      <inputCells r="B3" val="0,6" numFmtId="9"/>
    </scenario>
    <scenario name="добър" locked="1" count="2" user="Todoranova" comment="Created by Todoranova on 16/10/2018">
      <inputCells r="B2" val="100"/>
      <inputCells r="B3" val="0,8" numFmtId="9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Задание</vt:lpstr>
      <vt:lpstr>Основни</vt:lpstr>
      <vt:lpstr>Поръчки</vt:lpstr>
      <vt:lpstr>Sheet1</vt:lpstr>
      <vt:lpstr>Сценарий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Todoranova</dc:creator>
  <cp:lastModifiedBy>Todoranova</cp:lastModifiedBy>
  <cp:lastPrinted>2008-12-29T15:35:43Z</cp:lastPrinted>
  <dcterms:created xsi:type="dcterms:W3CDTF">1996-10-14T23:33:28Z</dcterms:created>
  <dcterms:modified xsi:type="dcterms:W3CDTF">2018-10-16T09:58:30Z</dcterms:modified>
</cp:coreProperties>
</file>