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2300" activeTab="3"/>
  </bookViews>
  <sheets>
    <sheet name="Лист1" sheetId="4" r:id="rId1"/>
    <sheet name="Лист2" sheetId="2" r:id="rId2"/>
    <sheet name="Лист3" sheetId="3" r:id="rId3"/>
    <sheet name="Лист4" sheetId="1" r:id="rId4"/>
    <sheet name="Лист2-сортиран" sheetId="5" r:id="rId5"/>
  </sheets>
  <calcPr calcId="162913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17" i="5"/>
  <c r="H17" i="5" s="1"/>
  <c r="I17" i="5" s="1"/>
  <c r="E17" i="5"/>
  <c r="F14" i="5"/>
  <c r="H14" i="5" s="1"/>
  <c r="I14" i="5" s="1"/>
  <c r="E14" i="5"/>
  <c r="F20" i="5"/>
  <c r="H20" i="5" s="1"/>
  <c r="I20" i="5" s="1"/>
  <c r="E20" i="5"/>
  <c r="F24" i="5"/>
  <c r="H24" i="5" s="1"/>
  <c r="I24" i="5" s="1"/>
  <c r="E24" i="5"/>
  <c r="F9" i="5"/>
  <c r="H9" i="5" s="1"/>
  <c r="I9" i="5" s="1"/>
  <c r="E9" i="5"/>
  <c r="F15" i="5"/>
  <c r="H15" i="5" s="1"/>
  <c r="I15" i="5" s="1"/>
  <c r="E15" i="5"/>
  <c r="F16" i="5"/>
  <c r="H16" i="5" s="1"/>
  <c r="I16" i="5" s="1"/>
  <c r="E16" i="5"/>
  <c r="F8" i="5"/>
  <c r="H8" i="5" s="1"/>
  <c r="I8" i="5" s="1"/>
  <c r="E8" i="5"/>
  <c r="F7" i="5"/>
  <c r="H7" i="5" s="1"/>
  <c r="I7" i="5" s="1"/>
  <c r="E7" i="5"/>
  <c r="F11" i="5"/>
  <c r="H11" i="5" s="1"/>
  <c r="I11" i="5" s="1"/>
  <c r="E11" i="5"/>
  <c r="F23" i="5"/>
  <c r="H23" i="5" s="1"/>
  <c r="I23" i="5" s="1"/>
  <c r="E23" i="5"/>
  <c r="F18" i="5"/>
  <c r="H18" i="5" s="1"/>
  <c r="I18" i="5" s="1"/>
  <c r="E18" i="5"/>
  <c r="F10" i="5"/>
  <c r="H10" i="5" s="1"/>
  <c r="I10" i="5" s="1"/>
  <c r="E10" i="5"/>
  <c r="F13" i="5"/>
  <c r="H13" i="5" s="1"/>
  <c r="I13" i="5" s="1"/>
  <c r="E13" i="5"/>
  <c r="F19" i="5"/>
  <c r="H19" i="5" s="1"/>
  <c r="I19" i="5" s="1"/>
  <c r="E19" i="5"/>
  <c r="F12" i="5"/>
  <c r="H12" i="5" s="1"/>
  <c r="I12" i="5" s="1"/>
  <c r="E12" i="5"/>
  <c r="F21" i="5"/>
  <c r="H21" i="5" s="1"/>
  <c r="I21" i="5" s="1"/>
  <c r="E21" i="5"/>
  <c r="F22" i="5"/>
  <c r="H22" i="5" s="1"/>
  <c r="I22" i="5" s="1"/>
  <c r="E22" i="5"/>
  <c r="F6" i="5"/>
  <c r="H6" i="5" s="1"/>
  <c r="I6" i="5" s="1"/>
  <c r="E6" i="5"/>
  <c r="F5" i="5"/>
  <c r="H5" i="5" s="1"/>
  <c r="I5" i="5" s="1"/>
  <c r="E5" i="5"/>
  <c r="E34" i="2"/>
  <c r="E33" i="2"/>
  <c r="E32" i="2"/>
  <c r="E31" i="2"/>
  <c r="E30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7" i="4"/>
  <c r="J6" i="4"/>
  <c r="J5" i="4"/>
  <c r="J4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23" i="5" l="1"/>
  <c r="J13" i="5"/>
  <c r="J11" i="5"/>
  <c r="J8" i="5"/>
  <c r="J22" i="5"/>
  <c r="J16" i="5"/>
  <c r="J21" i="5"/>
  <c r="J10" i="5"/>
  <c r="J15" i="5"/>
  <c r="J12" i="5"/>
  <c r="J6" i="5"/>
  <c r="J14" i="5"/>
  <c r="J17" i="5"/>
  <c r="J24" i="5"/>
  <c r="J5" i="5"/>
  <c r="J20" i="5"/>
  <c r="J18" i="5"/>
  <c r="J19" i="5"/>
  <c r="J7" i="5"/>
  <c r="J9" i="5"/>
  <c r="K24" i="5" l="1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</calcChain>
</file>

<file path=xl/comments1.xml><?xml version="1.0" encoding="utf-8"?>
<comments xmlns="http://schemas.openxmlformats.org/spreadsheetml/2006/main">
  <authors>
    <author>Author</author>
  </authors>
  <commentList>
    <comment ref="F4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4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4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4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J4" authorId="0" shapeId="0">
      <text>
        <r>
          <rPr>
            <sz val="9"/>
            <color indexed="81"/>
            <rFont val="Tahoma"/>
            <family val="2"/>
            <charset val="204"/>
          </rPr>
          <t>Пребройте всички хора, чието тегло е над 75 кг.</t>
        </r>
      </text>
    </comment>
    <comment ref="F5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5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5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5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J5" authorId="0" shapeId="0">
      <text>
        <r>
          <rPr>
            <sz val="9"/>
            <color indexed="81"/>
            <rFont val="Tahoma"/>
            <family val="2"/>
            <charset val="204"/>
          </rPr>
          <t>Пребройте всички мъже</t>
        </r>
      </text>
    </comment>
    <comment ref="F6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6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6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6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J6" authorId="0" shapeId="0">
      <text>
        <r>
          <rPr>
            <sz val="9"/>
            <color indexed="81"/>
            <rFont val="Tahoma"/>
            <family val="2"/>
            <charset val="204"/>
          </rPr>
          <t>Пребройте хората, които са по-високи от 175 см.</t>
        </r>
      </text>
    </comment>
    <comment ref="F7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7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7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7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J7" authorId="0" shapeId="0">
      <text>
        <r>
          <rPr>
            <sz val="9"/>
            <color indexed="81"/>
            <rFont val="Tahoma"/>
            <family val="2"/>
            <charset val="204"/>
          </rPr>
          <t>Вмъкнете днешна дата чрез функция и задайте формат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8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8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9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9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9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9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0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0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0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0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1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1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1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1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2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2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2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2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3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3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3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3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4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4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4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4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5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5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5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5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  <comment ref="F16" authorId="0" shapeId="0">
      <text>
        <r>
          <rPr>
            <sz val="9"/>
            <color indexed="81"/>
            <rFont val="Tahoma"/>
            <family val="2"/>
            <charset val="204"/>
          </rPr>
          <t>Изведете съобщение "мъж" за всеки човек с пол=1 и "жена" - за пол=0</t>
        </r>
      </text>
    </comment>
    <comment ref="G16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всеки човек над 60 г., който е по-висок от 160 см.</t>
        </r>
      </text>
    </comment>
    <comment ref="H16" authorId="0" shapeId="0">
      <text>
        <r>
          <rPr>
            <sz val="9"/>
            <color indexed="81"/>
            <rFont val="Tahoma"/>
            <family val="2"/>
            <charset val="204"/>
          </rPr>
          <t>Изведете TRUE за всички, които или са високи над 170 см. или тежат над 70 кг.</t>
        </r>
      </text>
    </comment>
    <comment ref="I16" authorId="0" shapeId="0">
      <text>
        <r>
          <rPr>
            <sz val="9"/>
            <color indexed="81"/>
            <rFont val="Tahoma"/>
            <family val="2"/>
            <charset val="204"/>
          </rPr>
          <t xml:space="preserve">Изведете "едър ръст" за всички, които или са високи над 180 см. или тежат над 75 кг., а за останалите "среден ръст"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Чрез VLOOKUP въведете от Лист3 имената на стоките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Вземете стойностите от Лист3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Умножавате ед. цена по количество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  <charset val="204"/>
          </rPr>
          <t>ДДС от Лист3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  <charset val="204"/>
          </rPr>
          <t>За всяка сметка над 50 лв, да има отстъпка 10%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  <charset val="204"/>
          </rPr>
          <t>Сума с ДДС-Отстъпка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  <charset val="204"/>
          </rPr>
          <t>Брой клиенти, закупили стоки над 20 бройки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Сума на количеството закупените стоки
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  <charset val="204"/>
          </rPr>
          <t>Сума на количеството закупени ядки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  <charset val="204"/>
          </rPr>
          <t>Където има парични стойности, форматирайте подобаващо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  <charset val="204"/>
          </rPr>
          <t>Копирайте таблицата в нов лист и сортирайте по код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  <charset val="204"/>
          </rPr>
          <t>Направете subtotal на сортираната таблица и създайте диаграма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  <charset val="204"/>
          </rPr>
          <t>Да се изведат данните за стоката с код 102 /чрез Filter/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Въведете оценката на база точките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Изпишете оценката с думи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Ако полът е 1, в тази колона да се изписва "Мъж". Ако е 0 - "Жена"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Чрез VLOOKUP въведете от Лист3 имената на стоките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Вземете стойностите от Лист3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04"/>
          </rPr>
          <t>Умножавате ед. цена по количество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ДДС от Лист3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  <charset val="204"/>
          </rPr>
          <t>За всяка сметка над 50 лв, да има отстъпка 10%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  <charset val="204"/>
          </rPr>
          <t>Сума с ДДС-Отстъпка</t>
        </r>
      </text>
    </comment>
  </commentList>
</comments>
</file>

<file path=xl/sharedStrings.xml><?xml version="1.0" encoding="utf-8"?>
<sst xmlns="http://schemas.openxmlformats.org/spreadsheetml/2006/main" count="126" uniqueCount="78">
  <si>
    <t>Име</t>
  </si>
  <si>
    <t>Брой точки</t>
  </si>
  <si>
    <t>Оценки</t>
  </si>
  <si>
    <t>Пол</t>
  </si>
  <si>
    <t>Иван Иванов</t>
  </si>
  <si>
    <t>Камен Каменов</t>
  </si>
  <si>
    <t>Василка Василева</t>
  </si>
  <si>
    <t>Любо Любенов</t>
  </si>
  <si>
    <t>Дида Донева</t>
  </si>
  <si>
    <t>Добри Добрев</t>
  </si>
  <si>
    <t>Гиго Гогев</t>
  </si>
  <si>
    <t>Яво Овев</t>
  </si>
  <si>
    <t>Нана Тотова</t>
  </si>
  <si>
    <t>Йоско Йосков</t>
  </si>
  <si>
    <t>Филка Филева</t>
  </si>
  <si>
    <t>Илка Илкова</t>
  </si>
  <si>
    <t>Пешо Пешев</t>
  </si>
  <si>
    <t>Зузка Цекова</t>
  </si>
  <si>
    <t>Номер</t>
  </si>
  <si>
    <t>Клиент</t>
  </si>
  <si>
    <t>Сузи Росева</t>
  </si>
  <si>
    <t>Роско Гешев</t>
  </si>
  <si>
    <t>Хриско Христов</t>
  </si>
  <si>
    <t>Кольо Косев</t>
  </si>
  <si>
    <t>Веса Васева</t>
  </si>
  <si>
    <t>Милка Милкова</t>
  </si>
  <si>
    <t>Код</t>
  </si>
  <si>
    <t>Стока</t>
  </si>
  <si>
    <t>Ед. Цена</t>
  </si>
  <si>
    <t>Количество</t>
  </si>
  <si>
    <t>Общо</t>
  </si>
  <si>
    <t>Сума с ДДС</t>
  </si>
  <si>
    <t>дъвки</t>
  </si>
  <si>
    <t>бонбони</t>
  </si>
  <si>
    <t>солети</t>
  </si>
  <si>
    <t>бисквити</t>
  </si>
  <si>
    <t>ядки</t>
  </si>
  <si>
    <t>домати</t>
  </si>
  <si>
    <t>салам</t>
  </si>
  <si>
    <t>пасти</t>
  </si>
  <si>
    <t>сок</t>
  </si>
  <si>
    <t>Магазин "Захарни удоволствия"</t>
  </si>
  <si>
    <t>боза</t>
  </si>
  <si>
    <t>ед. Цена</t>
  </si>
  <si>
    <t>ДДС</t>
  </si>
  <si>
    <t>Отстъпка</t>
  </si>
  <si>
    <t>Финална цена</t>
  </si>
  <si>
    <t>Vip Клиенти</t>
  </si>
  <si>
    <t>Най-голяма сметка</t>
  </si>
  <si>
    <t>Най-малка сметка</t>
  </si>
  <si>
    <t>Общо стоки</t>
  </si>
  <si>
    <t>С думи</t>
  </si>
  <si>
    <t>Оценка</t>
  </si>
  <si>
    <t>Точки - долна граница</t>
  </si>
  <si>
    <t>картофи</t>
  </si>
  <si>
    <t>сирене</t>
  </si>
  <si>
    <t>кашкавал</t>
  </si>
  <si>
    <t>месо</t>
  </si>
  <si>
    <t>ориз</t>
  </si>
  <si>
    <t>уиски</t>
  </si>
  <si>
    <t>Общо закупени ядки</t>
  </si>
  <si>
    <t>ръст (см)</t>
  </si>
  <si>
    <t>тегло (кг)</t>
  </si>
  <si>
    <t>пол (1-м, 0-ж)</t>
  </si>
  <si>
    <t>възраст (г.)</t>
  </si>
  <si>
    <t>Зад. 2</t>
  </si>
  <si>
    <t>Зад. 1</t>
  </si>
  <si>
    <t>Зад. 3</t>
  </si>
  <si>
    <t>Зад. 4</t>
  </si>
  <si>
    <t>if(условие; арг1; арг2)</t>
  </si>
  <si>
    <t>if(and(усл1; усл2); арг1; арг2)</t>
  </si>
  <si>
    <t>if(or(усл1; усл2); арг1; арг2)</t>
  </si>
  <si>
    <t>countif(област;условие), като усл. може да е  запис или израз в кавички</t>
  </si>
  <si>
    <t>sumif(област; условие; област за сумиране)</t>
  </si>
  <si>
    <t>today()</t>
  </si>
  <si>
    <t>vlookup(търсена стойност; претърсвана област; номер колона; начин на търсене)</t>
  </si>
  <si>
    <t>and(усл1; усл2)</t>
  </si>
  <si>
    <t>or(усл1; усл2)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</si>
</sst>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лв.&quot;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2" fillId="3" borderId="1" xfId="3" applyBorder="1"/>
    <xf numFmtId="0" fontId="2" fillId="4" borderId="1" xfId="4" applyBorder="1"/>
    <xf numFmtId="0" fontId="2" fillId="5" borderId="1" xfId="5" applyBorder="1"/>
    <xf numFmtId="9" fontId="0" fillId="0" borderId="1" xfId="0" applyNumberFormat="1" applyBorder="1"/>
    <xf numFmtId="0" fontId="2" fillId="2" borderId="1" xfId="2" applyBorder="1"/>
    <xf numFmtId="14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5" fillId="7" borderId="1" xfId="7" applyFont="1" applyBorder="1"/>
    <xf numFmtId="0" fontId="2" fillId="8" borderId="1" xfId="6" applyFill="1" applyBorder="1"/>
    <xf numFmtId="0" fontId="1" fillId="0" borderId="0" xfId="1" applyAlignment="1">
      <alignment horizontal="center"/>
    </xf>
    <xf numFmtId="166" fontId="0" fillId="0" borderId="1" xfId="0" applyNumberFormat="1" applyBorder="1"/>
    <xf numFmtId="164" fontId="2" fillId="3" borderId="1" xfId="3" applyNumberFormat="1" applyBorder="1"/>
    <xf numFmtId="164" fontId="0" fillId="0" borderId="0" xfId="0" applyNumberFormat="1"/>
  </cellXfs>
  <cellStyles count="8">
    <cellStyle name="60% - Accent4" xfId="7" builtinId="44"/>
    <cellStyle name="Accent1" xfId="2" builtinId="29"/>
    <cellStyle name="Accent2" xfId="6" builtinId="33"/>
    <cellStyle name="Accent3" xfId="3" builtinId="37"/>
    <cellStyle name="Accent5" xfId="4" builtinId="45"/>
    <cellStyle name="Accent6" xfId="5" builtinId="49"/>
    <cellStyle name="Normal" xfId="0" builtinId="0"/>
    <cellStyle name="Title" xfId="1" builtinId="15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7"/>
  <sheetViews>
    <sheetView zoomScale="145" zoomScaleNormal="145" workbookViewId="0">
      <selection activeCell="L11" sqref="L11"/>
    </sheetView>
  </sheetViews>
  <sheetFormatPr defaultRowHeight="15" x14ac:dyDescent="0.25"/>
  <cols>
    <col min="2" max="2" width="10" bestFit="1" customWidth="1"/>
    <col min="3" max="3" width="10.28515625" bestFit="1" customWidth="1"/>
    <col min="4" max="4" width="15" bestFit="1" customWidth="1"/>
    <col min="5" max="5" width="12.140625" bestFit="1" customWidth="1"/>
    <col min="9" max="9" width="12.28515625" bestFit="1" customWidth="1"/>
    <col min="10" max="10" width="18.7109375" bestFit="1" customWidth="1"/>
  </cols>
  <sheetData>
    <row r="3" spans="2:10" x14ac:dyDescent="0.25">
      <c r="B3" s="13" t="s">
        <v>61</v>
      </c>
      <c r="C3" s="13" t="s">
        <v>62</v>
      </c>
      <c r="D3" s="13" t="s">
        <v>63</v>
      </c>
      <c r="E3" s="13" t="s">
        <v>64</v>
      </c>
      <c r="F3" s="13">
        <v>1</v>
      </c>
      <c r="G3" s="13">
        <v>2</v>
      </c>
      <c r="H3" s="13">
        <v>3</v>
      </c>
      <c r="I3" s="13">
        <v>4</v>
      </c>
      <c r="J3" s="13">
        <v>5</v>
      </c>
    </row>
    <row r="4" spans="2:10" x14ac:dyDescent="0.25">
      <c r="B4" s="10">
        <v>155</v>
      </c>
      <c r="C4" s="10">
        <v>55</v>
      </c>
      <c r="D4" s="11">
        <v>0</v>
      </c>
      <c r="E4" s="11">
        <v>61</v>
      </c>
      <c r="F4" s="1" t="str">
        <f>IF(D4=0,"Жена","Мъж")</f>
        <v>Жена</v>
      </c>
      <c r="G4" s="1" t="b">
        <f>AND(E4&gt;60,B4&gt;160)</f>
        <v>0</v>
      </c>
      <c r="H4" s="1" t="b">
        <f>OR(B4&gt;170,C4&gt;70)</f>
        <v>0</v>
      </c>
      <c r="I4" s="1" t="str">
        <f>IF(OR(B4&gt;180,C4&gt;75),"Едър ръст","Среден ръст")</f>
        <v>Среден ръст</v>
      </c>
      <c r="J4" s="1">
        <f>COUNTIF(C4:C16,"&gt;75")</f>
        <v>6</v>
      </c>
    </row>
    <row r="5" spans="2:10" x14ac:dyDescent="0.25">
      <c r="B5" s="10">
        <v>159</v>
      </c>
      <c r="C5" s="10">
        <v>58</v>
      </c>
      <c r="D5" s="11">
        <v>1</v>
      </c>
      <c r="E5" s="11">
        <v>58</v>
      </c>
      <c r="F5" s="1" t="str">
        <f t="shared" ref="F5:F16" si="0">IF(D5=0,"Жена","Мъж")</f>
        <v>Мъж</v>
      </c>
      <c r="G5" s="1" t="b">
        <f t="shared" ref="G5:G16" si="1">AND(E5&gt;60,B5&gt;160)</f>
        <v>0</v>
      </c>
      <c r="H5" s="1" t="b">
        <f t="shared" ref="H5:H16" si="2">OR(B5&gt;170,C5&gt;70)</f>
        <v>0</v>
      </c>
      <c r="I5" s="1" t="str">
        <f t="shared" ref="I5:I16" si="3">IF(OR(B5&gt;180,C5&gt;75),"Едър ръст","Среден ръст")</f>
        <v>Среден ръст</v>
      </c>
      <c r="J5" s="1">
        <f>COUNTIF(D4:D16,"=1")</f>
        <v>7</v>
      </c>
    </row>
    <row r="6" spans="2:10" x14ac:dyDescent="0.25">
      <c r="B6" s="10">
        <v>163</v>
      </c>
      <c r="C6" s="10">
        <v>61</v>
      </c>
      <c r="D6" s="11">
        <v>0</v>
      </c>
      <c r="E6" s="11">
        <v>55</v>
      </c>
      <c r="F6" s="1" t="str">
        <f t="shared" si="0"/>
        <v>Жена</v>
      </c>
      <c r="G6" s="1" t="b">
        <f t="shared" si="1"/>
        <v>0</v>
      </c>
      <c r="H6" s="1" t="b">
        <f t="shared" si="2"/>
        <v>0</v>
      </c>
      <c r="I6" s="1" t="str">
        <f t="shared" si="3"/>
        <v>Среден ръст</v>
      </c>
      <c r="J6" s="1">
        <f>COUNTIF(B4:B16,"&gt;175")</f>
        <v>7</v>
      </c>
    </row>
    <row r="7" spans="2:10" x14ac:dyDescent="0.25">
      <c r="B7" s="10">
        <v>167</v>
      </c>
      <c r="C7" s="10">
        <v>64</v>
      </c>
      <c r="D7" s="11">
        <v>1</v>
      </c>
      <c r="E7" s="11">
        <v>52</v>
      </c>
      <c r="F7" s="1" t="str">
        <f t="shared" si="0"/>
        <v>Мъж</v>
      </c>
      <c r="G7" s="1" t="b">
        <f t="shared" si="1"/>
        <v>0</v>
      </c>
      <c r="H7" s="1" t="b">
        <f t="shared" si="2"/>
        <v>0</v>
      </c>
      <c r="I7" s="1" t="str">
        <f t="shared" si="3"/>
        <v>Среден ръст</v>
      </c>
      <c r="J7" s="15">
        <f ca="1">NOW()</f>
        <v>43380.960554861114</v>
      </c>
    </row>
    <row r="8" spans="2:10" x14ac:dyDescent="0.25">
      <c r="B8" s="10">
        <v>171</v>
      </c>
      <c r="C8" s="10">
        <v>67</v>
      </c>
      <c r="D8" s="11">
        <v>0</v>
      </c>
      <c r="E8" s="11">
        <v>49</v>
      </c>
      <c r="F8" s="1" t="str">
        <f t="shared" si="0"/>
        <v>Жена</v>
      </c>
      <c r="G8" s="1" t="b">
        <f t="shared" si="1"/>
        <v>0</v>
      </c>
      <c r="H8" s="1" t="b">
        <f t="shared" si="2"/>
        <v>1</v>
      </c>
      <c r="I8" s="1" t="str">
        <f t="shared" si="3"/>
        <v>Среден ръст</v>
      </c>
    </row>
    <row r="9" spans="2:10" x14ac:dyDescent="0.25">
      <c r="B9" s="10">
        <v>175</v>
      </c>
      <c r="C9" s="10">
        <v>70</v>
      </c>
      <c r="D9" s="11">
        <v>1</v>
      </c>
      <c r="E9" s="11">
        <v>46</v>
      </c>
      <c r="F9" s="1" t="str">
        <f t="shared" si="0"/>
        <v>Мъж</v>
      </c>
      <c r="G9" s="1" t="b">
        <f t="shared" si="1"/>
        <v>0</v>
      </c>
      <c r="H9" s="1" t="b">
        <f t="shared" si="2"/>
        <v>1</v>
      </c>
      <c r="I9" s="1" t="str">
        <f t="shared" si="3"/>
        <v>Среден ръст</v>
      </c>
    </row>
    <row r="10" spans="2:10" x14ac:dyDescent="0.25">
      <c r="B10" s="10">
        <v>179</v>
      </c>
      <c r="C10" s="10">
        <v>73</v>
      </c>
      <c r="D10" s="11">
        <v>0</v>
      </c>
      <c r="E10" s="11">
        <v>43</v>
      </c>
      <c r="F10" s="1" t="str">
        <f t="shared" si="0"/>
        <v>Жена</v>
      </c>
      <c r="G10" s="1" t="b">
        <f t="shared" si="1"/>
        <v>0</v>
      </c>
      <c r="H10" s="1" t="b">
        <f t="shared" si="2"/>
        <v>1</v>
      </c>
      <c r="I10" s="1" t="str">
        <f t="shared" si="3"/>
        <v>Среден ръст</v>
      </c>
    </row>
    <row r="11" spans="2:10" x14ac:dyDescent="0.25">
      <c r="B11" s="10">
        <v>183</v>
      </c>
      <c r="C11" s="10">
        <v>76</v>
      </c>
      <c r="D11" s="11">
        <v>1</v>
      </c>
      <c r="E11" s="11">
        <v>80</v>
      </c>
      <c r="F11" s="1" t="str">
        <f t="shared" si="0"/>
        <v>Мъж</v>
      </c>
      <c r="G11" s="1" t="b">
        <f t="shared" si="1"/>
        <v>1</v>
      </c>
      <c r="H11" s="1" t="b">
        <f t="shared" si="2"/>
        <v>1</v>
      </c>
      <c r="I11" s="1" t="str">
        <f t="shared" si="3"/>
        <v>Едър ръст</v>
      </c>
    </row>
    <row r="12" spans="2:10" x14ac:dyDescent="0.25">
      <c r="B12" s="10">
        <v>187</v>
      </c>
      <c r="C12" s="10">
        <v>79</v>
      </c>
      <c r="D12" s="11">
        <v>0</v>
      </c>
      <c r="E12" s="11">
        <v>69</v>
      </c>
      <c r="F12" s="1" t="str">
        <f t="shared" si="0"/>
        <v>Жена</v>
      </c>
      <c r="G12" s="1" t="b">
        <f t="shared" si="1"/>
        <v>1</v>
      </c>
      <c r="H12" s="1" t="b">
        <f t="shared" si="2"/>
        <v>1</v>
      </c>
      <c r="I12" s="1" t="str">
        <f t="shared" si="3"/>
        <v>Едър ръст</v>
      </c>
    </row>
    <row r="13" spans="2:10" x14ac:dyDescent="0.25">
      <c r="B13" s="10">
        <v>191</v>
      </c>
      <c r="C13" s="10">
        <v>82</v>
      </c>
      <c r="D13" s="11">
        <v>1</v>
      </c>
      <c r="E13" s="11">
        <v>58</v>
      </c>
      <c r="F13" s="1" t="str">
        <f t="shared" si="0"/>
        <v>Мъж</v>
      </c>
      <c r="G13" s="1" t="b">
        <f t="shared" si="1"/>
        <v>0</v>
      </c>
      <c r="H13" s="1" t="b">
        <f t="shared" si="2"/>
        <v>1</v>
      </c>
      <c r="I13" s="1" t="str">
        <f t="shared" si="3"/>
        <v>Едър ръст</v>
      </c>
    </row>
    <row r="14" spans="2:10" x14ac:dyDescent="0.25">
      <c r="B14" s="10">
        <v>195</v>
      </c>
      <c r="C14" s="10">
        <v>85</v>
      </c>
      <c r="D14" s="11">
        <v>0</v>
      </c>
      <c r="E14" s="11">
        <v>47</v>
      </c>
      <c r="F14" s="1" t="str">
        <f t="shared" si="0"/>
        <v>Жена</v>
      </c>
      <c r="G14" s="1" t="b">
        <f t="shared" si="1"/>
        <v>0</v>
      </c>
      <c r="H14" s="1" t="b">
        <f t="shared" si="2"/>
        <v>1</v>
      </c>
      <c r="I14" s="1" t="str">
        <f t="shared" si="3"/>
        <v>Едър ръст</v>
      </c>
    </row>
    <row r="15" spans="2:10" x14ac:dyDescent="0.25">
      <c r="B15" s="10">
        <v>199</v>
      </c>
      <c r="C15" s="10">
        <v>88</v>
      </c>
      <c r="D15" s="11">
        <v>1</v>
      </c>
      <c r="E15" s="11">
        <v>36</v>
      </c>
      <c r="F15" s="1" t="str">
        <f t="shared" si="0"/>
        <v>Мъж</v>
      </c>
      <c r="G15" s="1" t="b">
        <f t="shared" si="1"/>
        <v>0</v>
      </c>
      <c r="H15" s="1" t="b">
        <f t="shared" si="2"/>
        <v>1</v>
      </c>
      <c r="I15" s="1" t="str">
        <f t="shared" si="3"/>
        <v>Едър ръст</v>
      </c>
    </row>
    <row r="16" spans="2:10" x14ac:dyDescent="0.25">
      <c r="B16" s="10">
        <v>203</v>
      </c>
      <c r="C16" s="10">
        <v>91</v>
      </c>
      <c r="D16" s="11">
        <v>1</v>
      </c>
      <c r="E16" s="11">
        <v>25</v>
      </c>
      <c r="F16" s="1" t="str">
        <f t="shared" si="0"/>
        <v>Мъж</v>
      </c>
      <c r="G16" s="1" t="b">
        <f t="shared" si="1"/>
        <v>0</v>
      </c>
      <c r="H16" s="1" t="b">
        <f t="shared" si="2"/>
        <v>1</v>
      </c>
      <c r="I16" s="1" t="str">
        <f t="shared" si="3"/>
        <v>Едър ръст</v>
      </c>
    </row>
    <row r="19" spans="2:2" x14ac:dyDescent="0.25">
      <c r="B19" t="s">
        <v>69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70</v>
      </c>
    </row>
    <row r="23" spans="2:2" x14ac:dyDescent="0.25">
      <c r="B23" t="s">
        <v>71</v>
      </c>
    </row>
    <row r="24" spans="2:2" x14ac:dyDescent="0.25">
      <c r="B24" t="s">
        <v>72</v>
      </c>
    </row>
    <row r="25" spans="2:2" x14ac:dyDescent="0.25">
      <c r="B25" t="s">
        <v>73</v>
      </c>
    </row>
    <row r="26" spans="2:2" x14ac:dyDescent="0.25">
      <c r="B26" t="s">
        <v>74</v>
      </c>
    </row>
    <row r="27" spans="2:2" x14ac:dyDescent="0.25">
      <c r="B27" t="s">
        <v>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L38"/>
  <sheetViews>
    <sheetView topLeftCell="A19" zoomScale="145" zoomScaleNormal="145" workbookViewId="0">
      <selection activeCell="G29" sqref="G29"/>
    </sheetView>
  </sheetViews>
  <sheetFormatPr defaultRowHeight="15" x14ac:dyDescent="0.25"/>
  <cols>
    <col min="1" max="1" width="9.140625" customWidth="1"/>
    <col min="2" max="2" width="9.7109375" customWidth="1"/>
    <col min="4" max="4" width="20.140625" bestFit="1" customWidth="1"/>
    <col min="5" max="5" width="9.85546875" bestFit="1" customWidth="1"/>
    <col min="6" max="6" width="11.5703125" bestFit="1" customWidth="1"/>
    <col min="7" max="7" width="8.85546875" style="17" bestFit="1" customWidth="1"/>
    <col min="8" max="8" width="11.28515625" bestFit="1" customWidth="1"/>
    <col min="9" max="9" width="9.85546875" bestFit="1" customWidth="1"/>
    <col min="10" max="10" width="11.28515625" bestFit="1" customWidth="1"/>
    <col min="11" max="11" width="9.28515625" style="17" bestFit="1" customWidth="1"/>
    <col min="12" max="12" width="14" bestFit="1" customWidth="1"/>
  </cols>
  <sheetData>
    <row r="4" spans="3:12" ht="22.5" x14ac:dyDescent="0.3">
      <c r="C4" s="14" t="s">
        <v>41</v>
      </c>
      <c r="D4" s="14"/>
      <c r="E4" s="14"/>
      <c r="F4" s="14"/>
      <c r="G4" s="14"/>
      <c r="H4" s="14"/>
      <c r="I4" s="14"/>
      <c r="J4" s="14"/>
      <c r="K4" s="14"/>
      <c r="L4" s="14"/>
    </row>
    <row r="6" spans="3:12" x14ac:dyDescent="0.25">
      <c r="C6" s="4" t="s">
        <v>18</v>
      </c>
      <c r="D6" s="4" t="s">
        <v>19</v>
      </c>
      <c r="E6" s="4" t="s">
        <v>26</v>
      </c>
      <c r="F6" s="4" t="s">
        <v>27</v>
      </c>
      <c r="G6" s="16" t="s">
        <v>28</v>
      </c>
      <c r="H6" s="4" t="s">
        <v>29</v>
      </c>
      <c r="I6" s="4" t="s">
        <v>30</v>
      </c>
      <c r="J6" s="4" t="s">
        <v>31</v>
      </c>
      <c r="K6" s="16" t="s">
        <v>45</v>
      </c>
      <c r="L6" s="4" t="s">
        <v>46</v>
      </c>
    </row>
    <row r="7" spans="3:12" x14ac:dyDescent="0.25">
      <c r="C7" s="1">
        <v>1</v>
      </c>
      <c r="D7" s="1" t="s">
        <v>4</v>
      </c>
      <c r="E7" s="1">
        <v>100</v>
      </c>
      <c r="F7" s="3" t="str">
        <f>VLOOKUP(E7,Лист3!$D$6:$E$21,2,0)</f>
        <v>дъвки</v>
      </c>
      <c r="G7" s="2">
        <f>VLOOKUP(E7,Лист3!$D$6:$F$21,3,0)</f>
        <v>1.2</v>
      </c>
      <c r="H7" s="3">
        <v>2</v>
      </c>
      <c r="I7" s="2">
        <f>G7*H7</f>
        <v>2.4</v>
      </c>
      <c r="J7" s="2">
        <f>I7*Лист3!$I$6+I7</f>
        <v>2.9279999999999999</v>
      </c>
      <c r="K7" s="2">
        <f>IF(J7&gt;50,J7*10%,0)</f>
        <v>0</v>
      </c>
      <c r="L7" s="2">
        <f>J7-K7</f>
        <v>2.9279999999999999</v>
      </c>
    </row>
    <row r="8" spans="3:12" x14ac:dyDescent="0.25">
      <c r="C8" s="1">
        <v>2</v>
      </c>
      <c r="D8" s="1" t="s">
        <v>5</v>
      </c>
      <c r="E8" s="1">
        <v>101</v>
      </c>
      <c r="F8" s="3" t="str">
        <f>VLOOKUP(E8,Лист3!$D$6:$E$21,2,0)</f>
        <v>бонбони</v>
      </c>
      <c r="G8" s="2">
        <f>VLOOKUP(E8,Лист3!$D$6:$F$21,3,0)</f>
        <v>2.2999999999999998</v>
      </c>
      <c r="H8" s="3">
        <v>3</v>
      </c>
      <c r="I8" s="2">
        <f t="shared" ref="I8:I26" si="0">G8*H8</f>
        <v>6.8999999999999995</v>
      </c>
      <c r="J8" s="2">
        <f>I8*Лист3!$I$6+I8</f>
        <v>8.4179999999999993</v>
      </c>
      <c r="K8" s="2">
        <f t="shared" ref="K8:K26" si="1">IF(J8&gt;50,J8*10%,0)</f>
        <v>0</v>
      </c>
      <c r="L8" s="2">
        <f t="shared" ref="L8:L26" si="2">J8-K8</f>
        <v>8.4179999999999993</v>
      </c>
    </row>
    <row r="9" spans="3:12" x14ac:dyDescent="0.25">
      <c r="C9" s="1">
        <v>3</v>
      </c>
      <c r="D9" s="1" t="s">
        <v>6</v>
      </c>
      <c r="E9" s="1">
        <v>114</v>
      </c>
      <c r="F9" s="3" t="str">
        <f>VLOOKUP(E9,Лист3!$D$6:$E$21,2,0)</f>
        <v>уиски</v>
      </c>
      <c r="G9" s="2">
        <f>VLOOKUP(E9,Лист3!$D$6:$F$21,3,0)</f>
        <v>20</v>
      </c>
      <c r="H9" s="3">
        <v>4</v>
      </c>
      <c r="I9" s="2">
        <f t="shared" si="0"/>
        <v>80</v>
      </c>
      <c r="J9" s="2">
        <f>I9*Лист3!$I$6+I9</f>
        <v>97.6</v>
      </c>
      <c r="K9" s="2">
        <f t="shared" si="1"/>
        <v>9.76</v>
      </c>
      <c r="L9" s="2">
        <f t="shared" si="2"/>
        <v>87.839999999999989</v>
      </c>
    </row>
    <row r="10" spans="3:12" x14ac:dyDescent="0.25">
      <c r="C10" s="1">
        <v>4</v>
      </c>
      <c r="D10" s="1" t="s">
        <v>7</v>
      </c>
      <c r="E10" s="1">
        <v>113</v>
      </c>
      <c r="F10" s="3" t="str">
        <f>VLOOKUP(E10,Лист3!$D$6:$E$21,2,0)</f>
        <v>ориз</v>
      </c>
      <c r="G10" s="2">
        <f>VLOOKUP(E10,Лист3!$D$6:$F$21,3,0)</f>
        <v>1.7</v>
      </c>
      <c r="H10" s="3">
        <v>61</v>
      </c>
      <c r="I10" s="2">
        <f t="shared" si="0"/>
        <v>103.7</v>
      </c>
      <c r="J10" s="2">
        <f>I10*Лист3!$I$6+I10</f>
        <v>126.51400000000001</v>
      </c>
      <c r="K10" s="2">
        <f t="shared" si="1"/>
        <v>12.651400000000002</v>
      </c>
      <c r="L10" s="2">
        <f t="shared" si="2"/>
        <v>113.86260000000001</v>
      </c>
    </row>
    <row r="11" spans="3:12" x14ac:dyDescent="0.25">
      <c r="C11" s="1">
        <v>5</v>
      </c>
      <c r="D11" s="1" t="s">
        <v>8</v>
      </c>
      <c r="E11" s="1">
        <v>104</v>
      </c>
      <c r="F11" s="3" t="str">
        <f>VLOOKUP(E11,Лист3!$D$6:$E$21,2,0)</f>
        <v>ядки</v>
      </c>
      <c r="G11" s="2">
        <f>VLOOKUP(E11,Лист3!$D$6:$F$21,3,0)</f>
        <v>4.5</v>
      </c>
      <c r="H11" s="3">
        <v>12</v>
      </c>
      <c r="I11" s="2">
        <f t="shared" si="0"/>
        <v>54</v>
      </c>
      <c r="J11" s="2">
        <f>I11*Лист3!$I$6+I11</f>
        <v>65.88</v>
      </c>
      <c r="K11" s="2">
        <f t="shared" si="1"/>
        <v>6.5880000000000001</v>
      </c>
      <c r="L11" s="2">
        <f t="shared" si="2"/>
        <v>59.291999999999994</v>
      </c>
    </row>
    <row r="12" spans="3:12" x14ac:dyDescent="0.25">
      <c r="C12" s="1">
        <v>6</v>
      </c>
      <c r="D12" s="1" t="s">
        <v>9</v>
      </c>
      <c r="E12" s="1">
        <v>112</v>
      </c>
      <c r="F12" s="3" t="str">
        <f>VLOOKUP(E12,Лист3!$D$6:$E$21,2,0)</f>
        <v>месо</v>
      </c>
      <c r="G12" s="2">
        <f>VLOOKUP(E12,Лист3!$D$6:$F$21,3,0)</f>
        <v>5</v>
      </c>
      <c r="H12" s="3">
        <v>56</v>
      </c>
      <c r="I12" s="2">
        <f t="shared" si="0"/>
        <v>280</v>
      </c>
      <c r="J12" s="2">
        <f>I12*Лист3!$I$6+I12</f>
        <v>341.6</v>
      </c>
      <c r="K12" s="2">
        <f t="shared" si="1"/>
        <v>34.160000000000004</v>
      </c>
      <c r="L12" s="2">
        <f t="shared" si="2"/>
        <v>307.44</v>
      </c>
    </row>
    <row r="13" spans="3:12" x14ac:dyDescent="0.25">
      <c r="C13" s="1">
        <v>7</v>
      </c>
      <c r="D13" s="1" t="s">
        <v>10</v>
      </c>
      <c r="E13" s="1">
        <v>104</v>
      </c>
      <c r="F13" s="3" t="str">
        <f>VLOOKUP(E13,Лист3!$D$6:$E$21,2,0)</f>
        <v>ядки</v>
      </c>
      <c r="G13" s="2">
        <f>VLOOKUP(E13,Лист3!$D$6:$F$21,3,0)</f>
        <v>4.5</v>
      </c>
      <c r="H13" s="3">
        <v>23</v>
      </c>
      <c r="I13" s="2">
        <f t="shared" si="0"/>
        <v>103.5</v>
      </c>
      <c r="J13" s="2">
        <f>I13*Лист3!$I$6+I13</f>
        <v>126.27</v>
      </c>
      <c r="K13" s="2">
        <f t="shared" si="1"/>
        <v>12.627000000000001</v>
      </c>
      <c r="L13" s="2">
        <f t="shared" si="2"/>
        <v>113.643</v>
      </c>
    </row>
    <row r="14" spans="3:12" x14ac:dyDescent="0.25">
      <c r="C14" s="1">
        <v>8</v>
      </c>
      <c r="D14" s="1" t="s">
        <v>11</v>
      </c>
      <c r="E14" s="1">
        <v>103</v>
      </c>
      <c r="F14" s="3" t="str">
        <f>VLOOKUP(E14,Лист3!$D$6:$E$21,2,0)</f>
        <v>бисквити</v>
      </c>
      <c r="G14" s="2">
        <f>VLOOKUP(E14,Лист3!$D$6:$F$21,3,0)</f>
        <v>2.2999999999999998</v>
      </c>
      <c r="H14" s="3">
        <v>17</v>
      </c>
      <c r="I14" s="2">
        <f t="shared" si="0"/>
        <v>39.099999999999994</v>
      </c>
      <c r="J14" s="2">
        <f>I14*Лист3!$I$6+I14</f>
        <v>47.701999999999991</v>
      </c>
      <c r="K14" s="2">
        <f t="shared" si="1"/>
        <v>0</v>
      </c>
      <c r="L14" s="2">
        <f t="shared" si="2"/>
        <v>47.701999999999991</v>
      </c>
    </row>
    <row r="15" spans="3:12" x14ac:dyDescent="0.25">
      <c r="C15" s="1">
        <v>9</v>
      </c>
      <c r="D15" s="1" t="s">
        <v>12</v>
      </c>
      <c r="E15" s="1">
        <v>109</v>
      </c>
      <c r="F15" s="3" t="str">
        <f>VLOOKUP(E15,Лист3!$D$6:$E$21,2,0)</f>
        <v>сок</v>
      </c>
      <c r="G15" s="2">
        <f>VLOOKUP(E15,Лист3!$D$6:$F$21,3,0)</f>
        <v>2.2000000000000002</v>
      </c>
      <c r="H15" s="3">
        <v>71</v>
      </c>
      <c r="I15" s="2">
        <f t="shared" si="0"/>
        <v>156.20000000000002</v>
      </c>
      <c r="J15" s="2">
        <f>I15*Лист3!$I$6+I15</f>
        <v>190.56400000000002</v>
      </c>
      <c r="K15" s="2">
        <f t="shared" si="1"/>
        <v>19.056400000000004</v>
      </c>
      <c r="L15" s="2">
        <f t="shared" si="2"/>
        <v>171.50760000000002</v>
      </c>
    </row>
    <row r="16" spans="3:12" x14ac:dyDescent="0.25">
      <c r="C16" s="1">
        <v>10</v>
      </c>
      <c r="D16" s="1" t="s">
        <v>13</v>
      </c>
      <c r="E16" s="1">
        <v>114</v>
      </c>
      <c r="F16" s="3" t="str">
        <f>VLOOKUP(E16,Лист3!$D$6:$E$21,2,0)</f>
        <v>уиски</v>
      </c>
      <c r="G16" s="2">
        <f>VLOOKUP(E16,Лист3!$D$6:$F$21,3,0)</f>
        <v>20</v>
      </c>
      <c r="H16" s="3">
        <v>23</v>
      </c>
      <c r="I16" s="2">
        <f t="shared" si="0"/>
        <v>460</v>
      </c>
      <c r="J16" s="2">
        <f>I16*Лист3!$I$6+I16</f>
        <v>561.20000000000005</v>
      </c>
      <c r="K16" s="2">
        <f t="shared" si="1"/>
        <v>56.120000000000005</v>
      </c>
      <c r="L16" s="2">
        <f t="shared" si="2"/>
        <v>505.08000000000004</v>
      </c>
    </row>
    <row r="17" spans="3:12" x14ac:dyDescent="0.25">
      <c r="C17" s="1">
        <v>11</v>
      </c>
      <c r="D17" s="1" t="s">
        <v>14</v>
      </c>
      <c r="E17" s="1">
        <v>103</v>
      </c>
      <c r="F17" s="3" t="str">
        <f>VLOOKUP(E17,Лист3!$D$6:$E$21,2,0)</f>
        <v>бисквити</v>
      </c>
      <c r="G17" s="2">
        <f>VLOOKUP(E17,Лист3!$D$6:$F$21,3,0)</f>
        <v>2.2999999999999998</v>
      </c>
      <c r="H17" s="3">
        <v>56</v>
      </c>
      <c r="I17" s="2">
        <f t="shared" si="0"/>
        <v>128.79999999999998</v>
      </c>
      <c r="J17" s="2">
        <f>I17*Лист3!$I$6+I17</f>
        <v>157.13599999999997</v>
      </c>
      <c r="K17" s="2">
        <f t="shared" si="1"/>
        <v>15.713599999999998</v>
      </c>
      <c r="L17" s="2">
        <f t="shared" si="2"/>
        <v>141.42239999999998</v>
      </c>
    </row>
    <row r="18" spans="3:12" x14ac:dyDescent="0.25">
      <c r="C18" s="1">
        <v>12</v>
      </c>
      <c r="D18" s="1" t="s">
        <v>15</v>
      </c>
      <c r="E18" s="1">
        <v>101</v>
      </c>
      <c r="F18" s="3" t="str">
        <f>VLOOKUP(E18,Лист3!$D$6:$E$21,2,0)</f>
        <v>бонбони</v>
      </c>
      <c r="G18" s="2">
        <f>VLOOKUP(E18,Лист3!$D$6:$F$21,3,0)</f>
        <v>2.2999999999999998</v>
      </c>
      <c r="H18" s="3">
        <v>12</v>
      </c>
      <c r="I18" s="2">
        <f t="shared" si="0"/>
        <v>27.599999999999998</v>
      </c>
      <c r="J18" s="2">
        <f>I18*Лист3!$I$6+I18</f>
        <v>33.671999999999997</v>
      </c>
      <c r="K18" s="2">
        <f t="shared" si="1"/>
        <v>0</v>
      </c>
      <c r="L18" s="2">
        <f t="shared" si="2"/>
        <v>33.671999999999997</v>
      </c>
    </row>
    <row r="19" spans="3:12" x14ac:dyDescent="0.25">
      <c r="C19" s="1">
        <v>13</v>
      </c>
      <c r="D19" s="1" t="s">
        <v>16</v>
      </c>
      <c r="E19" s="1">
        <v>102</v>
      </c>
      <c r="F19" s="3" t="str">
        <f>VLOOKUP(E19,Лист3!$D$6:$E$21,2,0)</f>
        <v>солети</v>
      </c>
      <c r="G19" s="2">
        <f>VLOOKUP(E19,Лист3!$D$6:$F$21,3,0)</f>
        <v>0.7</v>
      </c>
      <c r="H19" s="3">
        <v>95</v>
      </c>
      <c r="I19" s="2">
        <f t="shared" si="0"/>
        <v>66.5</v>
      </c>
      <c r="J19" s="2">
        <f>I19*Лист3!$I$6+I19</f>
        <v>81.13</v>
      </c>
      <c r="K19" s="2">
        <f t="shared" si="1"/>
        <v>8.1129999999999995</v>
      </c>
      <c r="L19" s="2">
        <f t="shared" si="2"/>
        <v>73.016999999999996</v>
      </c>
    </row>
    <row r="20" spans="3:12" x14ac:dyDescent="0.25">
      <c r="C20" s="1">
        <v>14</v>
      </c>
      <c r="D20" s="1" t="s">
        <v>17</v>
      </c>
      <c r="E20" s="1">
        <v>107</v>
      </c>
      <c r="F20" s="3" t="str">
        <f>VLOOKUP(E20,Лист3!$D$6:$E$21,2,0)</f>
        <v>картофи</v>
      </c>
      <c r="G20" s="2">
        <f>VLOOKUP(E20,Лист3!$D$6:$F$21,3,0)</f>
        <v>2.2999999999999998</v>
      </c>
      <c r="H20" s="3">
        <v>11</v>
      </c>
      <c r="I20" s="2">
        <f t="shared" si="0"/>
        <v>25.299999999999997</v>
      </c>
      <c r="J20" s="2">
        <f>I20*Лист3!$I$6+I20</f>
        <v>30.865999999999996</v>
      </c>
      <c r="K20" s="2">
        <f t="shared" si="1"/>
        <v>0</v>
      </c>
      <c r="L20" s="2">
        <f t="shared" si="2"/>
        <v>30.865999999999996</v>
      </c>
    </row>
    <row r="21" spans="3:12" x14ac:dyDescent="0.25">
      <c r="C21" s="1">
        <v>15</v>
      </c>
      <c r="D21" s="1" t="s">
        <v>20</v>
      </c>
      <c r="E21" s="1">
        <v>105</v>
      </c>
      <c r="F21" s="3" t="str">
        <f>VLOOKUP(E21,Лист3!$D$6:$E$21,2,0)</f>
        <v>домати</v>
      </c>
      <c r="G21" s="2">
        <f>VLOOKUP(E21,Лист3!$D$6:$F$21,3,0)</f>
        <v>1.4</v>
      </c>
      <c r="H21" s="3">
        <v>5</v>
      </c>
      <c r="I21" s="2">
        <f t="shared" si="0"/>
        <v>7</v>
      </c>
      <c r="J21" s="2">
        <f>I21*Лист3!$I$6+I21</f>
        <v>8.5399999999999991</v>
      </c>
      <c r="K21" s="2">
        <f t="shared" si="1"/>
        <v>0</v>
      </c>
      <c r="L21" s="2">
        <f t="shared" si="2"/>
        <v>8.5399999999999991</v>
      </c>
    </row>
    <row r="22" spans="3:12" x14ac:dyDescent="0.25">
      <c r="C22" s="1">
        <v>16</v>
      </c>
      <c r="D22" s="1" t="s">
        <v>21</v>
      </c>
      <c r="E22" s="1">
        <v>102</v>
      </c>
      <c r="F22" s="3" t="str">
        <f>VLOOKUP(E22,Лист3!$D$6:$E$21,2,0)</f>
        <v>солети</v>
      </c>
      <c r="G22" s="2">
        <f>VLOOKUP(E22,Лист3!$D$6:$F$21,3,0)</f>
        <v>0.7</v>
      </c>
      <c r="H22" s="3">
        <v>2</v>
      </c>
      <c r="I22" s="2">
        <f t="shared" si="0"/>
        <v>1.4</v>
      </c>
      <c r="J22" s="2">
        <f>I22*Лист3!$I$6+I22</f>
        <v>1.708</v>
      </c>
      <c r="K22" s="2">
        <f t="shared" si="1"/>
        <v>0</v>
      </c>
      <c r="L22" s="2">
        <f t="shared" si="2"/>
        <v>1.708</v>
      </c>
    </row>
    <row r="23" spans="3:12" x14ac:dyDescent="0.25">
      <c r="C23" s="1">
        <v>17</v>
      </c>
      <c r="D23" s="1" t="s">
        <v>22</v>
      </c>
      <c r="E23" s="1">
        <v>115</v>
      </c>
      <c r="F23" s="3" t="str">
        <f>VLOOKUP(E23,Лист3!$D$6:$E$21,2,0)</f>
        <v>боза</v>
      </c>
      <c r="G23" s="2">
        <f>VLOOKUP(E23,Лист3!$D$6:$F$21,3,0)</f>
        <v>0.5</v>
      </c>
      <c r="H23" s="3">
        <v>5</v>
      </c>
      <c r="I23" s="2">
        <f t="shared" si="0"/>
        <v>2.5</v>
      </c>
      <c r="J23" s="2">
        <f>I23*Лист3!$I$6+I23</f>
        <v>3.05</v>
      </c>
      <c r="K23" s="2">
        <f t="shared" si="1"/>
        <v>0</v>
      </c>
      <c r="L23" s="2">
        <f t="shared" si="2"/>
        <v>3.05</v>
      </c>
    </row>
    <row r="24" spans="3:12" x14ac:dyDescent="0.25">
      <c r="C24" s="1">
        <v>18</v>
      </c>
      <c r="D24" s="1" t="s">
        <v>23</v>
      </c>
      <c r="E24" s="1">
        <v>112</v>
      </c>
      <c r="F24" s="3" t="str">
        <f>VLOOKUP(E24,Лист3!$D$6:$E$21,2,0)</f>
        <v>месо</v>
      </c>
      <c r="G24" s="2">
        <f>VLOOKUP(E24,Лист3!$D$6:$F$21,3,0)</f>
        <v>5</v>
      </c>
      <c r="H24" s="3">
        <v>2</v>
      </c>
      <c r="I24" s="2">
        <f t="shared" si="0"/>
        <v>10</v>
      </c>
      <c r="J24" s="2">
        <f>I24*Лист3!$I$6+I24</f>
        <v>12.2</v>
      </c>
      <c r="K24" s="2">
        <f t="shared" si="1"/>
        <v>0</v>
      </c>
      <c r="L24" s="2">
        <f t="shared" si="2"/>
        <v>12.2</v>
      </c>
    </row>
    <row r="25" spans="3:12" x14ac:dyDescent="0.25">
      <c r="C25" s="1">
        <v>19</v>
      </c>
      <c r="D25" s="1" t="s">
        <v>24</v>
      </c>
      <c r="E25" s="1">
        <v>104</v>
      </c>
      <c r="F25" s="3" t="str">
        <f>VLOOKUP(E25,Лист3!$D$6:$E$21,2,0)</f>
        <v>ядки</v>
      </c>
      <c r="G25" s="2">
        <f>VLOOKUP(E25,Лист3!$D$6:$F$21,3,0)</f>
        <v>4.5</v>
      </c>
      <c r="H25" s="3">
        <v>8</v>
      </c>
      <c r="I25" s="2">
        <f t="shared" si="0"/>
        <v>36</v>
      </c>
      <c r="J25" s="2">
        <f>I25*Лист3!$I$6+I25</f>
        <v>43.92</v>
      </c>
      <c r="K25" s="2">
        <f t="shared" si="1"/>
        <v>0</v>
      </c>
      <c r="L25" s="2">
        <f t="shared" si="2"/>
        <v>43.92</v>
      </c>
    </row>
    <row r="26" spans="3:12" x14ac:dyDescent="0.25">
      <c r="C26" s="1">
        <v>20</v>
      </c>
      <c r="D26" s="1" t="s">
        <v>25</v>
      </c>
      <c r="E26" s="1">
        <v>108</v>
      </c>
      <c r="F26" s="3" t="str">
        <f>VLOOKUP(E26,Лист3!$D$6:$E$21,2,0)</f>
        <v>пасти</v>
      </c>
      <c r="G26" s="2">
        <f>VLOOKUP(E26,Лист3!$D$6:$F$21,3,0)</f>
        <v>5.6</v>
      </c>
      <c r="H26" s="3">
        <v>4</v>
      </c>
      <c r="I26" s="2">
        <f t="shared" si="0"/>
        <v>22.4</v>
      </c>
      <c r="J26" s="2">
        <f>I26*Лист3!$I$6+I26</f>
        <v>27.327999999999999</v>
      </c>
      <c r="K26" s="2">
        <f t="shared" si="1"/>
        <v>0</v>
      </c>
      <c r="L26" s="2">
        <f t="shared" si="2"/>
        <v>27.327999999999999</v>
      </c>
    </row>
    <row r="30" spans="3:12" x14ac:dyDescent="0.25">
      <c r="D30" s="12" t="s">
        <v>47</v>
      </c>
      <c r="E30" s="1">
        <f>COUNTIF(H7:H26,"&gt;20")</f>
        <v>7</v>
      </c>
    </row>
    <row r="31" spans="3:12" x14ac:dyDescent="0.25">
      <c r="D31" s="12" t="s">
        <v>49</v>
      </c>
      <c r="E31" s="2">
        <f>MIN(L7:L26)</f>
        <v>1.708</v>
      </c>
    </row>
    <row r="32" spans="3:12" x14ac:dyDescent="0.25">
      <c r="D32" s="12" t="s">
        <v>48</v>
      </c>
      <c r="E32" s="2">
        <f>MAX(L7:L26)</f>
        <v>505.08000000000004</v>
      </c>
    </row>
    <row r="33" spans="4:5" x14ac:dyDescent="0.25">
      <c r="D33" s="12" t="s">
        <v>50</v>
      </c>
      <c r="E33" s="1">
        <f>SUM(H7:H26)</f>
        <v>472</v>
      </c>
    </row>
    <row r="34" spans="4:5" x14ac:dyDescent="0.25">
      <c r="D34" s="12" t="s">
        <v>60</v>
      </c>
      <c r="E34" s="1">
        <f ca="1">SUMIF(F7:H26,"ядки",H7:H26)</f>
        <v>43</v>
      </c>
    </row>
    <row r="35" spans="4:5" x14ac:dyDescent="0.25">
      <c r="D35" s="12" t="s">
        <v>66</v>
      </c>
      <c r="E35" s="1"/>
    </row>
    <row r="36" spans="4:5" x14ac:dyDescent="0.25">
      <c r="D36" s="12" t="s">
        <v>65</v>
      </c>
      <c r="E36" s="1"/>
    </row>
    <row r="37" spans="4:5" x14ac:dyDescent="0.25">
      <c r="D37" s="12" t="s">
        <v>67</v>
      </c>
      <c r="E37" s="1"/>
    </row>
    <row r="38" spans="4:5" x14ac:dyDescent="0.25">
      <c r="D38" s="12" t="s">
        <v>68</v>
      </c>
      <c r="E38" s="1"/>
    </row>
  </sheetData>
  <sortState ref="C7:L26">
    <sortCondition ref="C7:C26"/>
  </sortState>
  <mergeCells count="1">
    <mergeCell ref="C4:L4"/>
  </mergeCells>
  <conditionalFormatting sqref="I7:I26">
    <cfRule type="cellIs" dxfId="1" priority="1" operator="greaterThan">
      <formula>50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1"/>
  <sheetViews>
    <sheetView zoomScale="145" zoomScaleNormal="145" workbookViewId="0">
      <selection activeCell="H22" sqref="H22"/>
    </sheetView>
  </sheetViews>
  <sheetFormatPr defaultRowHeight="15" x14ac:dyDescent="0.25"/>
  <sheetData>
    <row r="5" spans="4:9" x14ac:dyDescent="0.25">
      <c r="D5" s="6" t="s">
        <v>26</v>
      </c>
      <c r="E5" s="6" t="s">
        <v>27</v>
      </c>
      <c r="F5" s="6" t="s">
        <v>43</v>
      </c>
      <c r="I5" s="8" t="s">
        <v>44</v>
      </c>
    </row>
    <row r="6" spans="4:9" x14ac:dyDescent="0.25">
      <c r="D6" s="1">
        <v>100</v>
      </c>
      <c r="E6" s="1" t="s">
        <v>32</v>
      </c>
      <c r="F6" s="2">
        <v>1.2</v>
      </c>
      <c r="I6" s="7">
        <v>0.22</v>
      </c>
    </row>
    <row r="7" spans="4:9" x14ac:dyDescent="0.25">
      <c r="D7" s="1">
        <v>101</v>
      </c>
      <c r="E7" s="1" t="s">
        <v>33</v>
      </c>
      <c r="F7" s="2">
        <v>2.2999999999999998</v>
      </c>
    </row>
    <row r="8" spans="4:9" x14ac:dyDescent="0.25">
      <c r="D8" s="1">
        <v>102</v>
      </c>
      <c r="E8" s="1" t="s">
        <v>34</v>
      </c>
      <c r="F8" s="2">
        <v>0.7</v>
      </c>
    </row>
    <row r="9" spans="4:9" x14ac:dyDescent="0.25">
      <c r="D9" s="1">
        <v>103</v>
      </c>
      <c r="E9" s="1" t="s">
        <v>35</v>
      </c>
      <c r="F9" s="2">
        <v>2.2999999999999998</v>
      </c>
    </row>
    <row r="10" spans="4:9" x14ac:dyDescent="0.25">
      <c r="D10" s="1">
        <v>104</v>
      </c>
      <c r="E10" s="1" t="s">
        <v>36</v>
      </c>
      <c r="F10" s="2">
        <v>4.5</v>
      </c>
    </row>
    <row r="11" spans="4:9" x14ac:dyDescent="0.25">
      <c r="D11" s="1">
        <v>105</v>
      </c>
      <c r="E11" s="1" t="s">
        <v>37</v>
      </c>
      <c r="F11" s="2">
        <v>1.4</v>
      </c>
    </row>
    <row r="12" spans="4:9" x14ac:dyDescent="0.25">
      <c r="D12" s="1">
        <v>106</v>
      </c>
      <c r="E12" s="1" t="s">
        <v>38</v>
      </c>
      <c r="F12" s="2">
        <v>4.5</v>
      </c>
    </row>
    <row r="13" spans="4:9" x14ac:dyDescent="0.25">
      <c r="D13" s="1">
        <v>107</v>
      </c>
      <c r="E13" s="1" t="s">
        <v>54</v>
      </c>
      <c r="F13" s="2">
        <v>2.2999999999999998</v>
      </c>
    </row>
    <row r="14" spans="4:9" x14ac:dyDescent="0.25">
      <c r="D14" s="1">
        <v>108</v>
      </c>
      <c r="E14" s="1" t="s">
        <v>39</v>
      </c>
      <c r="F14" s="2">
        <v>5.6</v>
      </c>
    </row>
    <row r="15" spans="4:9" x14ac:dyDescent="0.25">
      <c r="D15" s="1">
        <v>109</v>
      </c>
      <c r="E15" s="1" t="s">
        <v>40</v>
      </c>
      <c r="F15" s="2">
        <v>2.2000000000000002</v>
      </c>
    </row>
    <row r="16" spans="4:9" x14ac:dyDescent="0.25">
      <c r="D16" s="1">
        <v>110</v>
      </c>
      <c r="E16" s="1" t="s">
        <v>55</v>
      </c>
      <c r="F16" s="2">
        <v>6.7</v>
      </c>
    </row>
    <row r="17" spans="4:6" x14ac:dyDescent="0.25">
      <c r="D17" s="1">
        <v>111</v>
      </c>
      <c r="E17" s="1" t="s">
        <v>56</v>
      </c>
      <c r="F17" s="2">
        <v>8.6</v>
      </c>
    </row>
    <row r="18" spans="4:6" x14ac:dyDescent="0.25">
      <c r="D18" s="1">
        <v>112</v>
      </c>
      <c r="E18" s="1" t="s">
        <v>57</v>
      </c>
      <c r="F18" s="2">
        <v>5</v>
      </c>
    </row>
    <row r="19" spans="4:6" x14ac:dyDescent="0.25">
      <c r="D19" s="1">
        <v>113</v>
      </c>
      <c r="E19" s="1" t="s">
        <v>58</v>
      </c>
      <c r="F19" s="2">
        <v>1.7</v>
      </c>
    </row>
    <row r="20" spans="4:6" x14ac:dyDescent="0.25">
      <c r="D20" s="1">
        <v>114</v>
      </c>
      <c r="E20" s="1" t="s">
        <v>59</v>
      </c>
      <c r="F20" s="2">
        <v>20</v>
      </c>
    </row>
    <row r="21" spans="4:6" x14ac:dyDescent="0.25">
      <c r="D21" s="1">
        <v>115</v>
      </c>
      <c r="E21" s="1" t="s">
        <v>42</v>
      </c>
      <c r="F21" s="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M29"/>
  <sheetViews>
    <sheetView tabSelected="1" zoomScale="130" zoomScaleNormal="130" workbookViewId="0">
      <selection activeCell="L9" sqref="L9"/>
    </sheetView>
  </sheetViews>
  <sheetFormatPr defaultRowHeight="15" x14ac:dyDescent="0.25"/>
  <cols>
    <col min="4" max="4" width="17.42578125" bestFit="1" customWidth="1"/>
    <col min="5" max="5" width="21.5703125" bestFit="1" customWidth="1"/>
    <col min="7" max="7" width="8.42578125" bestFit="1" customWidth="1"/>
    <col min="13" max="13" width="10.140625" bestFit="1" customWidth="1"/>
  </cols>
  <sheetData>
    <row r="4" spans="4:9" x14ac:dyDescent="0.25">
      <c r="D4" s="4" t="s">
        <v>0</v>
      </c>
      <c r="E4" s="4" t="s">
        <v>1</v>
      </c>
      <c r="F4" s="4" t="s">
        <v>2</v>
      </c>
      <c r="G4" s="4" t="s">
        <v>51</v>
      </c>
      <c r="H4" s="4" t="s">
        <v>3</v>
      </c>
      <c r="I4" s="4" t="s">
        <v>51</v>
      </c>
    </row>
    <row r="5" spans="4:9" x14ac:dyDescent="0.25">
      <c r="D5" s="1" t="s">
        <v>4</v>
      </c>
      <c r="E5" s="1">
        <v>25</v>
      </c>
      <c r="F5" s="1">
        <f>VLOOKUP(E5,$E$23:$F$27,2)</f>
        <v>2</v>
      </c>
      <c r="G5" s="1"/>
      <c r="H5" s="1">
        <v>1</v>
      </c>
      <c r="I5" s="1"/>
    </row>
    <row r="6" spans="4:9" x14ac:dyDescent="0.25">
      <c r="D6" s="1" t="s">
        <v>5</v>
      </c>
      <c r="E6" s="1">
        <v>87</v>
      </c>
      <c r="F6" s="1">
        <f t="shared" ref="F6:F18" si="0">VLOOKUP(E6,$E$23:$F$27,2)</f>
        <v>6</v>
      </c>
      <c r="G6" s="1"/>
      <c r="H6" s="1">
        <v>1</v>
      </c>
      <c r="I6" s="1"/>
    </row>
    <row r="7" spans="4:9" x14ac:dyDescent="0.25">
      <c r="D7" s="1" t="s">
        <v>6</v>
      </c>
      <c r="E7" s="1">
        <v>56</v>
      </c>
      <c r="F7" s="1">
        <f t="shared" si="0"/>
        <v>3</v>
      </c>
      <c r="G7" s="1"/>
      <c r="H7" s="1">
        <v>0</v>
      </c>
      <c r="I7" s="1"/>
    </row>
    <row r="8" spans="4:9" x14ac:dyDescent="0.25">
      <c r="D8" s="1" t="s">
        <v>7</v>
      </c>
      <c r="E8" s="1">
        <v>65</v>
      </c>
      <c r="F8" s="1">
        <f t="shared" si="0"/>
        <v>4</v>
      </c>
      <c r="G8" s="1"/>
      <c r="H8" s="1">
        <v>1</v>
      </c>
      <c r="I8" s="1"/>
    </row>
    <row r="9" spans="4:9" x14ac:dyDescent="0.25">
      <c r="D9" s="1" t="s">
        <v>8</v>
      </c>
      <c r="E9" s="1">
        <v>48</v>
      </c>
      <c r="F9" s="1">
        <f t="shared" si="0"/>
        <v>3</v>
      </c>
      <c r="G9" s="1"/>
      <c r="H9" s="1">
        <v>0</v>
      </c>
      <c r="I9" s="1"/>
    </row>
    <row r="10" spans="4:9" x14ac:dyDescent="0.25">
      <c r="D10" s="1" t="s">
        <v>9</v>
      </c>
      <c r="E10" s="1">
        <v>92</v>
      </c>
      <c r="F10" s="1">
        <f t="shared" si="0"/>
        <v>6</v>
      </c>
      <c r="G10" s="1"/>
      <c r="H10" s="1">
        <v>1</v>
      </c>
      <c r="I10" s="1"/>
    </row>
    <row r="11" spans="4:9" x14ac:dyDescent="0.25">
      <c r="D11" s="1" t="s">
        <v>10</v>
      </c>
      <c r="E11" s="1">
        <v>99</v>
      </c>
      <c r="F11" s="1">
        <f t="shared" si="0"/>
        <v>6</v>
      </c>
      <c r="G11" s="1"/>
      <c r="H11" s="1">
        <v>1</v>
      </c>
      <c r="I11" s="1"/>
    </row>
    <row r="12" spans="4:9" x14ac:dyDescent="0.25">
      <c r="D12" s="1" t="s">
        <v>11</v>
      </c>
      <c r="E12" s="1">
        <v>76</v>
      </c>
      <c r="F12" s="1">
        <f t="shared" si="0"/>
        <v>5</v>
      </c>
      <c r="G12" s="1"/>
      <c r="H12" s="1">
        <v>1</v>
      </c>
      <c r="I12" s="1"/>
    </row>
    <row r="13" spans="4:9" x14ac:dyDescent="0.25">
      <c r="D13" s="1" t="s">
        <v>12</v>
      </c>
      <c r="E13" s="1">
        <v>35</v>
      </c>
      <c r="F13" s="1">
        <f t="shared" si="0"/>
        <v>2</v>
      </c>
      <c r="G13" s="1"/>
      <c r="H13" s="1">
        <v>0</v>
      </c>
      <c r="I13" s="1"/>
    </row>
    <row r="14" spans="4:9" x14ac:dyDescent="0.25">
      <c r="D14" s="1" t="s">
        <v>13</v>
      </c>
      <c r="E14" s="1">
        <v>44</v>
      </c>
      <c r="F14" s="1">
        <f t="shared" si="0"/>
        <v>2</v>
      </c>
      <c r="G14" s="1"/>
      <c r="H14" s="1">
        <v>1</v>
      </c>
      <c r="I14" s="1"/>
    </row>
    <row r="15" spans="4:9" x14ac:dyDescent="0.25">
      <c r="D15" s="1" t="s">
        <v>14</v>
      </c>
      <c r="E15" s="1">
        <v>55</v>
      </c>
      <c r="F15" s="1">
        <f t="shared" si="0"/>
        <v>3</v>
      </c>
      <c r="G15" s="1"/>
      <c r="H15" s="1">
        <v>0</v>
      </c>
      <c r="I15" s="1"/>
    </row>
    <row r="16" spans="4:9" x14ac:dyDescent="0.25">
      <c r="D16" s="1" t="s">
        <v>15</v>
      </c>
      <c r="E16" s="1">
        <v>85</v>
      </c>
      <c r="F16" s="1">
        <f t="shared" si="0"/>
        <v>5</v>
      </c>
      <c r="G16" s="1"/>
      <c r="H16" s="1">
        <v>2</v>
      </c>
      <c r="I16" s="1"/>
    </row>
    <row r="17" spans="4:13" x14ac:dyDescent="0.25">
      <c r="D17" s="1" t="s">
        <v>16</v>
      </c>
      <c r="E17" s="1">
        <v>67</v>
      </c>
      <c r="F17" s="1">
        <f t="shared" si="0"/>
        <v>4</v>
      </c>
      <c r="G17" s="1"/>
      <c r="H17" s="1">
        <v>1</v>
      </c>
      <c r="I17" s="1"/>
    </row>
    <row r="18" spans="4:13" x14ac:dyDescent="0.25">
      <c r="D18" s="1" t="s">
        <v>17</v>
      </c>
      <c r="E18" s="1">
        <v>77</v>
      </c>
      <c r="F18" s="1">
        <f t="shared" si="0"/>
        <v>5</v>
      </c>
      <c r="G18" s="1"/>
      <c r="H18" s="1">
        <v>0</v>
      </c>
      <c r="I18" s="1"/>
    </row>
    <row r="22" spans="4:13" x14ac:dyDescent="0.25">
      <c r="E22" s="5" t="s">
        <v>53</v>
      </c>
      <c r="F22" s="5" t="s">
        <v>52</v>
      </c>
    </row>
    <row r="23" spans="4:13" x14ac:dyDescent="0.25">
      <c r="E23" s="1">
        <v>0</v>
      </c>
      <c r="F23" s="1">
        <v>2</v>
      </c>
    </row>
    <row r="24" spans="4:13" x14ac:dyDescent="0.25">
      <c r="E24" s="1">
        <v>45</v>
      </c>
      <c r="F24" s="1">
        <v>3</v>
      </c>
    </row>
    <row r="25" spans="4:13" x14ac:dyDescent="0.25">
      <c r="E25" s="1">
        <v>59</v>
      </c>
      <c r="F25" s="1">
        <v>4</v>
      </c>
    </row>
    <row r="26" spans="4:13" x14ac:dyDescent="0.25">
      <c r="E26" s="1">
        <v>73</v>
      </c>
      <c r="F26" s="1">
        <v>5</v>
      </c>
    </row>
    <row r="27" spans="4:13" x14ac:dyDescent="0.25">
      <c r="E27" s="1">
        <v>87</v>
      </c>
      <c r="F27" s="1">
        <v>6</v>
      </c>
    </row>
    <row r="29" spans="4:13" x14ac:dyDescent="0.25">
      <c r="M29" s="9"/>
    </row>
  </sheetData>
  <sortState ref="F23:F27">
    <sortCondition ref="F27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4"/>
  <sheetViews>
    <sheetView zoomScale="130" zoomScaleNormal="130" workbookViewId="0">
      <selection activeCell="O9" sqref="O9"/>
    </sheetView>
  </sheetViews>
  <sheetFormatPr defaultRowHeight="15" x14ac:dyDescent="0.25"/>
  <cols>
    <col min="2" max="2" width="7.140625" bestFit="1" customWidth="1"/>
    <col min="3" max="3" width="17.42578125" bestFit="1" customWidth="1"/>
    <col min="4" max="4" width="9.140625" customWidth="1"/>
    <col min="5" max="5" width="9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1.28515625" bestFit="1" customWidth="1"/>
    <col min="10" max="10" width="9.28515625" bestFit="1" customWidth="1"/>
    <col min="11" max="11" width="14" bestFit="1" customWidth="1"/>
  </cols>
  <sheetData>
    <row r="2" spans="2:11" ht="22.5" x14ac:dyDescent="0.3">
      <c r="B2" s="14" t="s">
        <v>41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25">
      <c r="F3" s="17"/>
      <c r="J3" s="17"/>
    </row>
    <row r="4" spans="2:11" x14ac:dyDescent="0.25">
      <c r="B4" s="4" t="s">
        <v>18</v>
      </c>
      <c r="C4" s="4" t="s">
        <v>19</v>
      </c>
      <c r="D4" s="4" t="s">
        <v>26</v>
      </c>
      <c r="E4" s="4" t="s">
        <v>27</v>
      </c>
      <c r="F4" s="16" t="s">
        <v>28</v>
      </c>
      <c r="G4" s="4" t="s">
        <v>29</v>
      </c>
      <c r="H4" s="4" t="s">
        <v>30</v>
      </c>
      <c r="I4" s="4" t="s">
        <v>31</v>
      </c>
      <c r="J4" s="16" t="s">
        <v>45</v>
      </c>
      <c r="K4" s="4" t="s">
        <v>46</v>
      </c>
    </row>
    <row r="5" spans="2:11" x14ac:dyDescent="0.25">
      <c r="B5" s="1">
        <v>1</v>
      </c>
      <c r="C5" s="1" t="s">
        <v>4</v>
      </c>
      <c r="D5" s="1">
        <v>100</v>
      </c>
      <c r="E5" s="3" t="str">
        <f>VLOOKUP(D5,Лист3!$D$6:$E$21,2,0)</f>
        <v>дъвки</v>
      </c>
      <c r="F5" s="2">
        <f>VLOOKUP(D5,Лист3!$D$6:$F$21,3,0)</f>
        <v>1.2</v>
      </c>
      <c r="G5" s="3">
        <v>2</v>
      </c>
      <c r="H5" s="2">
        <f>F5*G5</f>
        <v>2.4</v>
      </c>
      <c r="I5" s="2">
        <f>H5*Лист3!$I$6+H5</f>
        <v>2.9279999999999999</v>
      </c>
      <c r="J5" s="2">
        <f>IF(I5&gt;50,I5*10%,0)</f>
        <v>0</v>
      </c>
      <c r="K5" s="2">
        <f>I5-J5</f>
        <v>2.9279999999999999</v>
      </c>
    </row>
    <row r="6" spans="2:11" x14ac:dyDescent="0.25">
      <c r="B6" s="1">
        <v>2</v>
      </c>
      <c r="C6" s="1" t="s">
        <v>5</v>
      </c>
      <c r="D6" s="1">
        <v>101</v>
      </c>
      <c r="E6" s="3" t="str">
        <f>VLOOKUP(D6,Лист3!$D$6:$E$21,2,0)</f>
        <v>бонбони</v>
      </c>
      <c r="F6" s="2">
        <f>VLOOKUP(D6,Лист3!$D$6:$F$21,3,0)</f>
        <v>2.2999999999999998</v>
      </c>
      <c r="G6" s="3">
        <v>3</v>
      </c>
      <c r="H6" s="2">
        <f>F6*G6</f>
        <v>6.8999999999999995</v>
      </c>
      <c r="I6" s="2">
        <f>H6*Лист3!$I$6+H6</f>
        <v>8.4179999999999993</v>
      </c>
      <c r="J6" s="2">
        <f>IF(I6&gt;50,I6*10%,0)</f>
        <v>0</v>
      </c>
      <c r="K6" s="2">
        <f>I6-J6</f>
        <v>8.4179999999999993</v>
      </c>
    </row>
    <row r="7" spans="2:11" x14ac:dyDescent="0.25">
      <c r="B7" s="1">
        <v>12</v>
      </c>
      <c r="C7" s="1" t="s">
        <v>15</v>
      </c>
      <c r="D7" s="1">
        <v>101</v>
      </c>
      <c r="E7" s="3" t="str">
        <f>VLOOKUP(D7,Лист3!$D$6:$E$21,2,0)</f>
        <v>бонбони</v>
      </c>
      <c r="F7" s="2">
        <f>VLOOKUP(D7,Лист3!$D$6:$F$21,3,0)</f>
        <v>2.2999999999999998</v>
      </c>
      <c r="G7" s="3">
        <v>12</v>
      </c>
      <c r="H7" s="2">
        <f>F7*G7</f>
        <v>27.599999999999998</v>
      </c>
      <c r="I7" s="2">
        <f>H7*Лист3!$I$6+H7</f>
        <v>33.671999999999997</v>
      </c>
      <c r="J7" s="2">
        <f>IF(I7&gt;50,I7*10%,0)</f>
        <v>0</v>
      </c>
      <c r="K7" s="2">
        <f>I7-J7</f>
        <v>33.671999999999997</v>
      </c>
    </row>
    <row r="8" spans="2:11" x14ac:dyDescent="0.25">
      <c r="B8" s="1">
        <v>13</v>
      </c>
      <c r="C8" s="1" t="s">
        <v>16</v>
      </c>
      <c r="D8" s="1">
        <v>102</v>
      </c>
      <c r="E8" s="3" t="str">
        <f>VLOOKUP(D8,Лист3!$D$6:$E$21,2,0)</f>
        <v>солети</v>
      </c>
      <c r="F8" s="2">
        <f>VLOOKUP(D8,Лист3!$D$6:$F$21,3,0)</f>
        <v>0.7</v>
      </c>
      <c r="G8" s="3">
        <v>95</v>
      </c>
      <c r="H8" s="2">
        <f>F8*G8</f>
        <v>66.5</v>
      </c>
      <c r="I8" s="2">
        <f>H8*Лист3!$I$6+H8</f>
        <v>81.13</v>
      </c>
      <c r="J8" s="2">
        <f>IF(I8&gt;50,I8*10%,0)</f>
        <v>8.1129999999999995</v>
      </c>
      <c r="K8" s="2">
        <f>I8-J8</f>
        <v>73.016999999999996</v>
      </c>
    </row>
    <row r="9" spans="2:11" x14ac:dyDescent="0.25">
      <c r="B9" s="1">
        <v>16</v>
      </c>
      <c r="C9" s="1" t="s">
        <v>21</v>
      </c>
      <c r="D9" s="1">
        <v>102</v>
      </c>
      <c r="E9" s="3" t="str">
        <f>VLOOKUP(D9,Лист3!$D$6:$E$21,2,0)</f>
        <v>солети</v>
      </c>
      <c r="F9" s="2">
        <f>VLOOKUP(D9,Лист3!$D$6:$F$21,3,0)</f>
        <v>0.7</v>
      </c>
      <c r="G9" s="3">
        <v>2</v>
      </c>
      <c r="H9" s="2">
        <f>F9*G9</f>
        <v>1.4</v>
      </c>
      <c r="I9" s="2">
        <f>H9*Лист3!$I$6+H9</f>
        <v>1.708</v>
      </c>
      <c r="J9" s="2">
        <f>IF(I9&gt;50,I9*10%,0)</f>
        <v>0</v>
      </c>
      <c r="K9" s="2">
        <f>I9-J9</f>
        <v>1.708</v>
      </c>
    </row>
    <row r="10" spans="2:11" x14ac:dyDescent="0.25">
      <c r="B10" s="1">
        <v>8</v>
      </c>
      <c r="C10" s="1" t="s">
        <v>11</v>
      </c>
      <c r="D10" s="1">
        <v>103</v>
      </c>
      <c r="E10" s="3" t="str">
        <f>VLOOKUP(D10,Лист3!$D$6:$E$21,2,0)</f>
        <v>бисквити</v>
      </c>
      <c r="F10" s="2">
        <f>VLOOKUP(D10,Лист3!$D$6:$F$21,3,0)</f>
        <v>2.2999999999999998</v>
      </c>
      <c r="G10" s="3">
        <v>17</v>
      </c>
      <c r="H10" s="2">
        <f>F10*G10</f>
        <v>39.099999999999994</v>
      </c>
      <c r="I10" s="2">
        <f>H10*Лист3!$I$6+H10</f>
        <v>47.701999999999991</v>
      </c>
      <c r="J10" s="2">
        <f>IF(I10&gt;50,I10*10%,0)</f>
        <v>0</v>
      </c>
      <c r="K10" s="2">
        <f>I10-J10</f>
        <v>47.701999999999991</v>
      </c>
    </row>
    <row r="11" spans="2:11" x14ac:dyDescent="0.25">
      <c r="B11" s="1">
        <v>11</v>
      </c>
      <c r="C11" s="1" t="s">
        <v>14</v>
      </c>
      <c r="D11" s="1">
        <v>103</v>
      </c>
      <c r="E11" s="3" t="str">
        <f>VLOOKUP(D11,Лист3!$D$6:$E$21,2,0)</f>
        <v>бисквити</v>
      </c>
      <c r="F11" s="2">
        <f>VLOOKUP(D11,Лист3!$D$6:$F$21,3,0)</f>
        <v>2.2999999999999998</v>
      </c>
      <c r="G11" s="3">
        <v>56</v>
      </c>
      <c r="H11" s="2">
        <f>F11*G11</f>
        <v>128.79999999999998</v>
      </c>
      <c r="I11" s="2">
        <f>H11*Лист3!$I$6+H11</f>
        <v>157.13599999999997</v>
      </c>
      <c r="J11" s="2">
        <f>IF(I11&gt;50,I11*10%,0)</f>
        <v>15.713599999999998</v>
      </c>
      <c r="K11" s="2">
        <f>I11-J11</f>
        <v>141.42239999999998</v>
      </c>
    </row>
    <row r="12" spans="2:11" x14ac:dyDescent="0.25">
      <c r="B12" s="1">
        <v>5</v>
      </c>
      <c r="C12" s="1" t="s">
        <v>8</v>
      </c>
      <c r="D12" s="1">
        <v>104</v>
      </c>
      <c r="E12" s="3" t="str">
        <f>VLOOKUP(D12,Лист3!$D$6:$E$21,2,0)</f>
        <v>ядки</v>
      </c>
      <c r="F12" s="2">
        <f>VLOOKUP(D12,Лист3!$D$6:$F$21,3,0)</f>
        <v>4.5</v>
      </c>
      <c r="G12" s="3">
        <v>12</v>
      </c>
      <c r="H12" s="2">
        <f>F12*G12</f>
        <v>54</v>
      </c>
      <c r="I12" s="2">
        <f>H12*Лист3!$I$6+H12</f>
        <v>65.88</v>
      </c>
      <c r="J12" s="2">
        <f>IF(I12&gt;50,I12*10%,0)</f>
        <v>6.5880000000000001</v>
      </c>
      <c r="K12" s="2">
        <f>I12-J12</f>
        <v>59.291999999999994</v>
      </c>
    </row>
    <row r="13" spans="2:11" x14ac:dyDescent="0.25">
      <c r="B13" s="1">
        <v>7</v>
      </c>
      <c r="C13" s="1" t="s">
        <v>10</v>
      </c>
      <c r="D13" s="1">
        <v>104</v>
      </c>
      <c r="E13" s="3" t="str">
        <f>VLOOKUP(D13,Лист3!$D$6:$E$21,2,0)</f>
        <v>ядки</v>
      </c>
      <c r="F13" s="2">
        <f>VLOOKUP(D13,Лист3!$D$6:$F$21,3,0)</f>
        <v>4.5</v>
      </c>
      <c r="G13" s="3">
        <v>23</v>
      </c>
      <c r="H13" s="2">
        <f>F13*G13</f>
        <v>103.5</v>
      </c>
      <c r="I13" s="2">
        <f>H13*Лист3!$I$6+H13</f>
        <v>126.27</v>
      </c>
      <c r="J13" s="2">
        <f>IF(I13&gt;50,I13*10%,0)</f>
        <v>12.627000000000001</v>
      </c>
      <c r="K13" s="2">
        <f>I13-J13</f>
        <v>113.643</v>
      </c>
    </row>
    <row r="14" spans="2:11" x14ac:dyDescent="0.25">
      <c r="B14" s="1">
        <v>19</v>
      </c>
      <c r="C14" s="1" t="s">
        <v>24</v>
      </c>
      <c r="D14" s="1">
        <v>104</v>
      </c>
      <c r="E14" s="3" t="str">
        <f>VLOOKUP(D14,Лист3!$D$6:$E$21,2,0)</f>
        <v>ядки</v>
      </c>
      <c r="F14" s="2">
        <f>VLOOKUP(D14,Лист3!$D$6:$F$21,3,0)</f>
        <v>4.5</v>
      </c>
      <c r="G14" s="3">
        <v>8</v>
      </c>
      <c r="H14" s="2">
        <f>F14*G14</f>
        <v>36</v>
      </c>
      <c r="I14" s="2">
        <f>H14*Лист3!$I$6+H14</f>
        <v>43.92</v>
      </c>
      <c r="J14" s="2">
        <f>IF(I14&gt;50,I14*10%,0)</f>
        <v>0</v>
      </c>
      <c r="K14" s="2">
        <f>I14-J14</f>
        <v>43.92</v>
      </c>
    </row>
    <row r="15" spans="2:11" x14ac:dyDescent="0.25">
      <c r="B15" s="1">
        <v>15</v>
      </c>
      <c r="C15" s="1" t="s">
        <v>20</v>
      </c>
      <c r="D15" s="1">
        <v>105</v>
      </c>
      <c r="E15" s="3" t="str">
        <f>VLOOKUP(D15,Лист3!$D$6:$E$21,2,0)</f>
        <v>домати</v>
      </c>
      <c r="F15" s="2">
        <f>VLOOKUP(D15,Лист3!$D$6:$F$21,3,0)</f>
        <v>1.4</v>
      </c>
      <c r="G15" s="3">
        <v>5</v>
      </c>
      <c r="H15" s="2">
        <f>F15*G15</f>
        <v>7</v>
      </c>
      <c r="I15" s="2">
        <f>H15*Лист3!$I$6+H15</f>
        <v>8.5399999999999991</v>
      </c>
      <c r="J15" s="2">
        <f>IF(I15&gt;50,I15*10%,0)</f>
        <v>0</v>
      </c>
      <c r="K15" s="2">
        <f>I15-J15</f>
        <v>8.5399999999999991</v>
      </c>
    </row>
    <row r="16" spans="2:11" x14ac:dyDescent="0.25">
      <c r="B16" s="1">
        <v>14</v>
      </c>
      <c r="C16" s="1" t="s">
        <v>17</v>
      </c>
      <c r="D16" s="1">
        <v>107</v>
      </c>
      <c r="E16" s="3" t="str">
        <f>VLOOKUP(D16,Лист3!$D$6:$E$21,2,0)</f>
        <v>картофи</v>
      </c>
      <c r="F16" s="2">
        <f>VLOOKUP(D16,Лист3!$D$6:$F$21,3,0)</f>
        <v>2.2999999999999998</v>
      </c>
      <c r="G16" s="3">
        <v>11</v>
      </c>
      <c r="H16" s="2">
        <f>F16*G16</f>
        <v>25.299999999999997</v>
      </c>
      <c r="I16" s="2">
        <f>H16*Лист3!$I$6+H16</f>
        <v>30.865999999999996</v>
      </c>
      <c r="J16" s="2">
        <f>IF(I16&gt;50,I16*10%,0)</f>
        <v>0</v>
      </c>
      <c r="K16" s="2">
        <f>I16-J16</f>
        <v>30.865999999999996</v>
      </c>
    </row>
    <row r="17" spans="2:11" x14ac:dyDescent="0.25">
      <c r="B17" s="1">
        <v>20</v>
      </c>
      <c r="C17" s="1" t="s">
        <v>25</v>
      </c>
      <c r="D17" s="1">
        <v>108</v>
      </c>
      <c r="E17" s="3" t="str">
        <f>VLOOKUP(D17,Лист3!$D$6:$E$21,2,0)</f>
        <v>пасти</v>
      </c>
      <c r="F17" s="2">
        <f>VLOOKUP(D17,Лист3!$D$6:$F$21,3,0)</f>
        <v>5.6</v>
      </c>
      <c r="G17" s="3">
        <v>4</v>
      </c>
      <c r="H17" s="2">
        <f>F17*G17</f>
        <v>22.4</v>
      </c>
      <c r="I17" s="2">
        <f>H17*Лист3!$I$6+H17</f>
        <v>27.327999999999999</v>
      </c>
      <c r="J17" s="2">
        <f>IF(I17&gt;50,I17*10%,0)</f>
        <v>0</v>
      </c>
      <c r="K17" s="2">
        <f>I17-J17</f>
        <v>27.327999999999999</v>
      </c>
    </row>
    <row r="18" spans="2:11" x14ac:dyDescent="0.25">
      <c r="B18" s="1">
        <v>9</v>
      </c>
      <c r="C18" s="1" t="s">
        <v>12</v>
      </c>
      <c r="D18" s="1">
        <v>109</v>
      </c>
      <c r="E18" s="3" t="str">
        <f>VLOOKUP(D18,Лист3!$D$6:$E$21,2,0)</f>
        <v>сок</v>
      </c>
      <c r="F18" s="2">
        <f>VLOOKUP(D18,Лист3!$D$6:$F$21,3,0)</f>
        <v>2.2000000000000002</v>
      </c>
      <c r="G18" s="3">
        <v>71</v>
      </c>
      <c r="H18" s="2">
        <f>F18*G18</f>
        <v>156.20000000000002</v>
      </c>
      <c r="I18" s="2">
        <f>H18*Лист3!$I$6+H18</f>
        <v>190.56400000000002</v>
      </c>
      <c r="J18" s="2">
        <f>IF(I18&gt;50,I18*10%,0)</f>
        <v>19.056400000000004</v>
      </c>
      <c r="K18" s="2">
        <f>I18-J18</f>
        <v>171.50760000000002</v>
      </c>
    </row>
    <row r="19" spans="2:11" x14ac:dyDescent="0.25">
      <c r="B19" s="1">
        <v>6</v>
      </c>
      <c r="C19" s="1" t="s">
        <v>9</v>
      </c>
      <c r="D19" s="1">
        <v>112</v>
      </c>
      <c r="E19" s="3" t="str">
        <f>VLOOKUP(D19,Лист3!$D$6:$E$21,2,0)</f>
        <v>месо</v>
      </c>
      <c r="F19" s="2">
        <f>VLOOKUP(D19,Лист3!$D$6:$F$21,3,0)</f>
        <v>5</v>
      </c>
      <c r="G19" s="3">
        <v>56</v>
      </c>
      <c r="H19" s="2">
        <f>F19*G19</f>
        <v>280</v>
      </c>
      <c r="I19" s="2">
        <f>H19*Лист3!$I$6+H19</f>
        <v>341.6</v>
      </c>
      <c r="J19" s="2">
        <f>IF(I19&gt;50,I19*10%,0)</f>
        <v>34.160000000000004</v>
      </c>
      <c r="K19" s="2">
        <f>I19-J19</f>
        <v>307.44</v>
      </c>
    </row>
    <row r="20" spans="2:11" x14ac:dyDescent="0.25">
      <c r="B20" s="1">
        <v>18</v>
      </c>
      <c r="C20" s="1" t="s">
        <v>23</v>
      </c>
      <c r="D20" s="1">
        <v>112</v>
      </c>
      <c r="E20" s="3" t="str">
        <f>VLOOKUP(D20,Лист3!$D$6:$E$21,2,0)</f>
        <v>месо</v>
      </c>
      <c r="F20" s="2">
        <f>VLOOKUP(D20,Лист3!$D$6:$F$21,3,0)</f>
        <v>5</v>
      </c>
      <c r="G20" s="3">
        <v>2</v>
      </c>
      <c r="H20" s="2">
        <f>F20*G20</f>
        <v>10</v>
      </c>
      <c r="I20" s="2">
        <f>H20*Лист3!$I$6+H20</f>
        <v>12.2</v>
      </c>
      <c r="J20" s="2">
        <f>IF(I20&gt;50,I20*10%,0)</f>
        <v>0</v>
      </c>
      <c r="K20" s="2">
        <f>I20-J20</f>
        <v>12.2</v>
      </c>
    </row>
    <row r="21" spans="2:11" x14ac:dyDescent="0.25">
      <c r="B21" s="1">
        <v>4</v>
      </c>
      <c r="C21" s="1" t="s">
        <v>7</v>
      </c>
      <c r="D21" s="1">
        <v>113</v>
      </c>
      <c r="E21" s="3" t="str">
        <f>VLOOKUP(D21,Лист3!$D$6:$E$21,2,0)</f>
        <v>ориз</v>
      </c>
      <c r="F21" s="2">
        <f>VLOOKUP(D21,Лист3!$D$6:$F$21,3,0)</f>
        <v>1.7</v>
      </c>
      <c r="G21" s="3">
        <v>61</v>
      </c>
      <c r="H21" s="2">
        <f>F21*G21</f>
        <v>103.7</v>
      </c>
      <c r="I21" s="2">
        <f>H21*Лист3!$I$6+H21</f>
        <v>126.51400000000001</v>
      </c>
      <c r="J21" s="2">
        <f>IF(I21&gt;50,I21*10%,0)</f>
        <v>12.651400000000002</v>
      </c>
      <c r="K21" s="2">
        <f>I21-J21</f>
        <v>113.86260000000001</v>
      </c>
    </row>
    <row r="22" spans="2:11" x14ac:dyDescent="0.25">
      <c r="B22" s="1">
        <v>3</v>
      </c>
      <c r="C22" s="1" t="s">
        <v>6</v>
      </c>
      <c r="D22" s="1">
        <v>114</v>
      </c>
      <c r="E22" s="3" t="str">
        <f>VLOOKUP(D22,Лист3!$D$6:$E$21,2,0)</f>
        <v>уиски</v>
      </c>
      <c r="F22" s="2">
        <f>VLOOKUP(D22,Лист3!$D$6:$F$21,3,0)</f>
        <v>20</v>
      </c>
      <c r="G22" s="3">
        <v>4</v>
      </c>
      <c r="H22" s="2">
        <f>F22*G22</f>
        <v>80</v>
      </c>
      <c r="I22" s="2">
        <f>H22*Лист3!$I$6+H22</f>
        <v>97.6</v>
      </c>
      <c r="J22" s="2">
        <f>IF(I22&gt;50,I22*10%,0)</f>
        <v>9.76</v>
      </c>
      <c r="K22" s="2">
        <f>I22-J22</f>
        <v>87.839999999999989</v>
      </c>
    </row>
    <row r="23" spans="2:11" x14ac:dyDescent="0.25">
      <c r="B23" s="1">
        <v>10</v>
      </c>
      <c r="C23" s="1" t="s">
        <v>13</v>
      </c>
      <c r="D23" s="1">
        <v>114</v>
      </c>
      <c r="E23" s="3" t="str">
        <f>VLOOKUP(D23,Лист3!$D$6:$E$21,2,0)</f>
        <v>уиски</v>
      </c>
      <c r="F23" s="2">
        <f>VLOOKUP(D23,Лист3!$D$6:$F$21,3,0)</f>
        <v>20</v>
      </c>
      <c r="G23" s="3">
        <v>23</v>
      </c>
      <c r="H23" s="2">
        <f>F23*G23</f>
        <v>460</v>
      </c>
      <c r="I23" s="2">
        <f>H23*Лист3!$I$6+H23</f>
        <v>561.20000000000005</v>
      </c>
      <c r="J23" s="2">
        <f>IF(I23&gt;50,I23*10%,0)</f>
        <v>56.120000000000005</v>
      </c>
      <c r="K23" s="2">
        <f>I23-J23</f>
        <v>505.08000000000004</v>
      </c>
    </row>
    <row r="24" spans="2:11" x14ac:dyDescent="0.25">
      <c r="B24" s="1">
        <v>17</v>
      </c>
      <c r="C24" s="1" t="s">
        <v>22</v>
      </c>
      <c r="D24" s="1">
        <v>115</v>
      </c>
      <c r="E24" s="3" t="str">
        <f>VLOOKUP(D24,Лист3!$D$6:$E$21,2,0)</f>
        <v>боза</v>
      </c>
      <c r="F24" s="2">
        <f>VLOOKUP(D24,Лист3!$D$6:$F$21,3,0)</f>
        <v>0.5</v>
      </c>
      <c r="G24" s="3">
        <v>5</v>
      </c>
      <c r="H24" s="2">
        <f>F24*G24</f>
        <v>2.5</v>
      </c>
      <c r="I24" s="2">
        <f>H24*Лист3!$I$6+H24</f>
        <v>3.05</v>
      </c>
      <c r="J24" s="2">
        <f>IF(I24&gt;50,I24*10%,0)</f>
        <v>0</v>
      </c>
      <c r="K24" s="2">
        <f>I24-J24</f>
        <v>3.05</v>
      </c>
    </row>
  </sheetData>
  <sortState ref="B5:K24">
    <sortCondition ref="D5:D24"/>
  </sortState>
  <mergeCells count="1">
    <mergeCell ref="B2:K2"/>
  </mergeCells>
  <conditionalFormatting sqref="H5:H24">
    <cfRule type="cellIs" dxfId="0" priority="1" operator="greaterThan">
      <formula>50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Лист2-сортиран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2018-10-07T20:03:13Z</dcterms:modified>
</cp:coreProperties>
</file>