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showHorizontalScroll="0" showVerticalScroll="0" xWindow="0" yWindow="0" windowWidth="28800" windowHeight="10935" tabRatio="638" firstSheet="10" activeTab="22"/>
  </bookViews>
  <sheets>
    <sheet name="50578" sheetId="96" r:id="rId1"/>
    <sheet name="12501" sheetId="97" r:id="rId2"/>
    <sheet name="이론" sheetId="98" r:id="rId3"/>
    <sheet name="22012" sheetId="99" r:id="rId4"/>
    <sheet name="작성가이드" sheetId="6" r:id="rId5"/>
    <sheet name="전체매매내역" sheetId="70" r:id="rId6"/>
    <sheet name="투자유니버스" sheetId="13" r:id="rId7"/>
    <sheet name="포트변경내역(안정)" sheetId="54" r:id="rId8"/>
    <sheet name="MP내역(안정)" sheetId="55" r:id="rId9"/>
    <sheet name="잔고변경현황(안정1)" sheetId="79" r:id="rId10"/>
    <sheet name="잔고변경현황(안정2)" sheetId="80" r:id="rId11"/>
    <sheet name="잔고변경현황(안정3)" sheetId="81" r:id="rId12"/>
    <sheet name="포트변경내역(중립)" sheetId="82" r:id="rId13"/>
    <sheet name="MP내역(중립)" sheetId="83" r:id="rId14"/>
    <sheet name="잔고변경현황(중립1)" sheetId="89" r:id="rId15"/>
    <sheet name="잔고변경현황(중립2)" sheetId="90" r:id="rId16"/>
    <sheet name="잔고변경현황(중립3)" sheetId="91" r:id="rId17"/>
    <sheet name="포트변경내역(적극)" sheetId="87" r:id="rId18"/>
    <sheet name="MP내역(적극)" sheetId="88" r:id="rId19"/>
    <sheet name="잔고변경현황(적극1)" sheetId="92" r:id="rId20"/>
    <sheet name="잔고변경현황(적극2)" sheetId="93" r:id="rId21"/>
    <sheet name="잔고변경현황(적극3)" sheetId="94" r:id="rId22"/>
    <sheet name="로그첨부" sheetId="95" r:id="rId23"/>
  </sheets>
  <definedNames>
    <definedName name="_xlnm._FilterDatabase" localSheetId="5" hidden="1">전체매매내역!$A$1:$K$82</definedName>
    <definedName name="_xlnm._FilterDatabase" localSheetId="6" hidden="1">투자유니버스!$A$1:$I$24</definedName>
  </definedNames>
  <calcPr calcId="162913"/>
</workbook>
</file>

<file path=xl/calcChain.xml><?xml version="1.0" encoding="utf-8"?>
<calcChain xmlns="http://schemas.openxmlformats.org/spreadsheetml/2006/main">
  <c r="K13" i="97" l="1"/>
  <c r="L13" i="97"/>
  <c r="K14" i="97"/>
  <c r="L14" i="97"/>
  <c r="K15" i="97"/>
  <c r="L15" i="97"/>
  <c r="K7" i="97" l="1"/>
  <c r="L7" i="97"/>
  <c r="K8" i="97"/>
  <c r="L8" i="97"/>
  <c r="K9" i="97"/>
  <c r="L9" i="97"/>
  <c r="K10" i="97"/>
  <c r="L10" i="97"/>
  <c r="K11" i="97"/>
  <c r="L11" i="97"/>
  <c r="K12" i="97"/>
  <c r="L12" i="97"/>
  <c r="R1" i="96" l="1"/>
  <c r="L6" i="97"/>
  <c r="L5" i="97"/>
  <c r="L4" i="97"/>
  <c r="K6" i="97"/>
  <c r="K5" i="97"/>
  <c r="K4" i="97"/>
  <c r="H11" i="94"/>
  <c r="H11" i="93"/>
  <c r="H11" i="92"/>
  <c r="H11" i="91"/>
  <c r="H11" i="90"/>
  <c r="H11" i="89"/>
  <c r="H11" i="81"/>
  <c r="H11" i="80"/>
  <c r="H11" i="79"/>
  <c r="B11" i="93" l="1"/>
  <c r="B11" i="89"/>
  <c r="B11" i="81"/>
  <c r="A11" i="80"/>
  <c r="B11" i="94"/>
  <c r="A11" i="93"/>
  <c r="A11" i="89"/>
  <c r="B11" i="92"/>
  <c r="A11" i="90"/>
  <c r="A11" i="92"/>
  <c r="A11" i="81"/>
  <c r="B11" i="91"/>
  <c r="B11" i="80"/>
  <c r="A11" i="91"/>
  <c r="B11" i="90"/>
  <c r="A11" i="94"/>
  <c r="A5" i="88"/>
  <c r="G6" i="88" s="1"/>
  <c r="A4" i="83"/>
  <c r="A2" i="83"/>
  <c r="G2" i="83" s="1"/>
  <c r="A2" i="88"/>
  <c r="G2" i="88" s="1"/>
  <c r="A6" i="87"/>
  <c r="A4" i="88"/>
  <c r="A3" i="83"/>
  <c r="G3" i="83" s="1"/>
  <c r="A3" i="88"/>
  <c r="G3" i="88" s="1"/>
  <c r="A6" i="82"/>
  <c r="A7" i="88"/>
  <c r="A5" i="83"/>
  <c r="G6" i="83" s="1"/>
  <c r="A7" i="83"/>
  <c r="A6" i="88"/>
  <c r="G7" i="88" s="1"/>
  <c r="A6" i="83"/>
  <c r="G7" i="83" s="1"/>
  <c r="K82" i="70"/>
  <c r="J82" i="70"/>
  <c r="H82" i="70"/>
  <c r="E82" i="70" s="1"/>
  <c r="G82" i="70"/>
  <c r="F82" i="70"/>
  <c r="A82" i="70"/>
  <c r="K81" i="70"/>
  <c r="D81" i="70" s="1"/>
  <c r="J81" i="70"/>
  <c r="H81" i="70"/>
  <c r="E81" i="70" s="1"/>
  <c r="G81" i="70"/>
  <c r="F81" i="70"/>
  <c r="A81" i="70"/>
  <c r="K80" i="70"/>
  <c r="J80" i="70"/>
  <c r="H80" i="70"/>
  <c r="E80" i="70" s="1"/>
  <c r="G80" i="70"/>
  <c r="F80" i="70"/>
  <c r="A80" i="70"/>
  <c r="K79" i="70"/>
  <c r="J79" i="70"/>
  <c r="H79" i="70"/>
  <c r="E79" i="70" s="1"/>
  <c r="G79" i="70"/>
  <c r="F79" i="70"/>
  <c r="A79" i="70"/>
  <c r="K78" i="70"/>
  <c r="J78" i="70"/>
  <c r="H78" i="70"/>
  <c r="E78" i="70" s="1"/>
  <c r="G78" i="70"/>
  <c r="F78" i="70"/>
  <c r="A78" i="70"/>
  <c r="K77" i="70"/>
  <c r="J77" i="70"/>
  <c r="H77" i="70"/>
  <c r="E77" i="70" s="1"/>
  <c r="G77" i="70"/>
  <c r="F77" i="70"/>
  <c r="A77" i="70"/>
  <c r="K76" i="70"/>
  <c r="J76" i="70"/>
  <c r="H76" i="70"/>
  <c r="E76" i="70" s="1"/>
  <c r="G76" i="70"/>
  <c r="F76" i="70"/>
  <c r="A76" i="70"/>
  <c r="K75" i="70"/>
  <c r="J75" i="70"/>
  <c r="H75" i="70"/>
  <c r="E75" i="70" s="1"/>
  <c r="G75" i="70"/>
  <c r="F75" i="70"/>
  <c r="A75" i="70"/>
  <c r="K74" i="70"/>
  <c r="J74" i="70"/>
  <c r="H74" i="70"/>
  <c r="E74" i="70" s="1"/>
  <c r="G74" i="70"/>
  <c r="F74" i="70"/>
  <c r="A74" i="70"/>
  <c r="G5" i="88" l="1"/>
  <c r="G4" i="88"/>
  <c r="G4" i="83"/>
  <c r="G5" i="83"/>
  <c r="I80" i="70"/>
  <c r="I75" i="70"/>
  <c r="D80" i="70"/>
  <c r="Q82" i="96" s="1"/>
  <c r="D82" i="70"/>
  <c r="Q84" i="96" s="1"/>
  <c r="I82" i="70"/>
  <c r="D77" i="70"/>
  <c r="Q79" i="96" s="1"/>
  <c r="I77" i="70"/>
  <c r="D78" i="70"/>
  <c r="Q80" i="96" s="1"/>
  <c r="I78" i="70"/>
  <c r="C79" i="70"/>
  <c r="I79" i="70"/>
  <c r="C81" i="70"/>
  <c r="I81" i="70"/>
  <c r="D74" i="70"/>
  <c r="Q76" i="96" s="1"/>
  <c r="I74" i="70"/>
  <c r="D76" i="70"/>
  <c r="Q78" i="96" s="1"/>
  <c r="I76" i="70"/>
  <c r="C78" i="70"/>
  <c r="D79" i="70"/>
  <c r="Q81" i="96" s="1"/>
  <c r="C80" i="70"/>
  <c r="C75" i="70"/>
  <c r="D75" i="70"/>
  <c r="Q77" i="96" s="1"/>
  <c r="C82" i="70"/>
  <c r="C77" i="70"/>
  <c r="C76" i="70"/>
  <c r="C74" i="70"/>
  <c r="B10" i="94"/>
  <c r="A10" i="94"/>
  <c r="B9" i="94"/>
  <c r="A9" i="94"/>
  <c r="B8" i="94"/>
  <c r="A8" i="94"/>
  <c r="B7" i="94"/>
  <c r="A7" i="94"/>
  <c r="B6" i="94"/>
  <c r="A6" i="94"/>
  <c r="B5" i="94"/>
  <c r="A5" i="94"/>
  <c r="B10" i="93"/>
  <c r="A10" i="93"/>
  <c r="B9" i="93"/>
  <c r="A9" i="93"/>
  <c r="B8" i="93"/>
  <c r="A8" i="93"/>
  <c r="B7" i="93"/>
  <c r="A7" i="93"/>
  <c r="B6" i="93"/>
  <c r="A6" i="93"/>
  <c r="B5" i="93"/>
  <c r="A5" i="93"/>
  <c r="B10" i="92"/>
  <c r="A10" i="92"/>
  <c r="B9" i="92"/>
  <c r="A9" i="92"/>
  <c r="B8" i="92"/>
  <c r="A8" i="92"/>
  <c r="B7" i="92"/>
  <c r="A7" i="92"/>
  <c r="B6" i="92"/>
  <c r="A6" i="92"/>
  <c r="B5" i="92"/>
  <c r="A5" i="92"/>
  <c r="B10" i="91"/>
  <c r="A10" i="91"/>
  <c r="B9" i="91"/>
  <c r="A9" i="91"/>
  <c r="B8" i="91"/>
  <c r="A8" i="91"/>
  <c r="B7" i="91"/>
  <c r="A7" i="91"/>
  <c r="B6" i="91"/>
  <c r="A6" i="91"/>
  <c r="B5" i="91"/>
  <c r="A5" i="91"/>
  <c r="B10" i="90"/>
  <c r="A10" i="90"/>
  <c r="B9" i="90"/>
  <c r="A9" i="90"/>
  <c r="B8" i="90"/>
  <c r="A8" i="90"/>
  <c r="B7" i="90"/>
  <c r="A7" i="90"/>
  <c r="B6" i="90"/>
  <c r="A6" i="90"/>
  <c r="B5" i="90"/>
  <c r="A5" i="90"/>
  <c r="B10" i="89"/>
  <c r="A10" i="89"/>
  <c r="B9" i="89"/>
  <c r="A9" i="89"/>
  <c r="B8" i="89"/>
  <c r="A8" i="89"/>
  <c r="B7" i="89"/>
  <c r="A7" i="89"/>
  <c r="B6" i="89"/>
  <c r="A6" i="89"/>
  <c r="B5" i="89"/>
  <c r="A5" i="89"/>
  <c r="B10" i="81"/>
  <c r="A10" i="81"/>
  <c r="B9" i="81"/>
  <c r="A9" i="81"/>
  <c r="B8" i="81"/>
  <c r="A8" i="81"/>
  <c r="B7" i="81"/>
  <c r="A7" i="81"/>
  <c r="B6" i="81"/>
  <c r="A6" i="81"/>
  <c r="B5" i="81"/>
  <c r="A5" i="81"/>
  <c r="F11" i="79"/>
  <c r="F10" i="79"/>
  <c r="E10" i="79"/>
  <c r="I10" i="79" s="1"/>
  <c r="B11" i="79"/>
  <c r="A11" i="79"/>
  <c r="B10" i="80"/>
  <c r="A10" i="80"/>
  <c r="B9" i="80"/>
  <c r="A9" i="80"/>
  <c r="B8" i="80"/>
  <c r="A8" i="80"/>
  <c r="B7" i="80"/>
  <c r="A7" i="80"/>
  <c r="B6" i="80"/>
  <c r="A6" i="80"/>
  <c r="B5" i="80"/>
  <c r="A5" i="80"/>
  <c r="B10" i="79"/>
  <c r="A10" i="79"/>
  <c r="B9" i="79"/>
  <c r="A9" i="79"/>
  <c r="B8" i="79"/>
  <c r="A8" i="79"/>
  <c r="B7" i="79"/>
  <c r="A7" i="79"/>
  <c r="B6" i="79"/>
  <c r="A6" i="79"/>
  <c r="B5" i="79"/>
  <c r="A5" i="79"/>
  <c r="A7" i="55"/>
  <c r="A6" i="55"/>
  <c r="G7" i="55" s="1"/>
  <c r="A5" i="55"/>
  <c r="G6" i="55" s="1"/>
  <c r="A4" i="55"/>
  <c r="A3" i="55"/>
  <c r="G3" i="55" s="1"/>
  <c r="A2" i="55"/>
  <c r="G2" i="55" s="1"/>
  <c r="A6" i="54"/>
  <c r="A73" i="70"/>
  <c r="A72" i="70"/>
  <c r="A71" i="70"/>
  <c r="A70" i="70"/>
  <c r="A69" i="70"/>
  <c r="A68" i="70"/>
  <c r="A67" i="70"/>
  <c r="A66" i="70"/>
  <c r="A65" i="70"/>
  <c r="A64" i="70"/>
  <c r="A63" i="70"/>
  <c r="A62" i="70"/>
  <c r="A61" i="70"/>
  <c r="A60" i="70"/>
  <c r="A59" i="70"/>
  <c r="A58" i="70"/>
  <c r="A57" i="70"/>
  <c r="A56" i="70"/>
  <c r="A55" i="70"/>
  <c r="A54" i="70"/>
  <c r="A53" i="70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A3" i="70"/>
  <c r="A2" i="70"/>
  <c r="Q124" i="96"/>
  <c r="Q123" i="96"/>
  <c r="Q122" i="96"/>
  <c r="Q121" i="96"/>
  <c r="Q120" i="96"/>
  <c r="Q119" i="96"/>
  <c r="Q118" i="96"/>
  <c r="Q117" i="96"/>
  <c r="Q116" i="96"/>
  <c r="Q115" i="96"/>
  <c r="Q114" i="96"/>
  <c r="Q113" i="96"/>
  <c r="Q112" i="96"/>
  <c r="Q111" i="96"/>
  <c r="Q110" i="96"/>
  <c r="Q109" i="96"/>
  <c r="Q108" i="96"/>
  <c r="Q107" i="96"/>
  <c r="Q106" i="96"/>
  <c r="Q105" i="96"/>
  <c r="Q104" i="96"/>
  <c r="Q103" i="96"/>
  <c r="Q102" i="96"/>
  <c r="Q101" i="96"/>
  <c r="Q100" i="96"/>
  <c r="Q99" i="96"/>
  <c r="Q98" i="96"/>
  <c r="Q97" i="96"/>
  <c r="Q96" i="96"/>
  <c r="Q95" i="96"/>
  <c r="Q94" i="96"/>
  <c r="Q93" i="96"/>
  <c r="Q92" i="96"/>
  <c r="Q91" i="96"/>
  <c r="Q90" i="96"/>
  <c r="Q89" i="96"/>
  <c r="Q88" i="96"/>
  <c r="Q87" i="96"/>
  <c r="Q86" i="96"/>
  <c r="Q85" i="96"/>
  <c r="Q83" i="96"/>
  <c r="K73" i="70"/>
  <c r="D73" i="70" s="1"/>
  <c r="Q75" i="96" s="1"/>
  <c r="J73" i="70"/>
  <c r="H73" i="70"/>
  <c r="E73" i="70" s="1"/>
  <c r="G73" i="70"/>
  <c r="F73" i="70"/>
  <c r="K72" i="70"/>
  <c r="J72" i="70"/>
  <c r="H72" i="70"/>
  <c r="E72" i="70" s="1"/>
  <c r="G72" i="70"/>
  <c r="F72" i="70"/>
  <c r="K71" i="70"/>
  <c r="J71" i="70"/>
  <c r="H71" i="70"/>
  <c r="E71" i="70" s="1"/>
  <c r="G71" i="70"/>
  <c r="F71" i="70"/>
  <c r="K70" i="70"/>
  <c r="D70" i="70" s="1"/>
  <c r="Q72" i="96" s="1"/>
  <c r="J70" i="70"/>
  <c r="H70" i="70"/>
  <c r="E70" i="70" s="1"/>
  <c r="G70" i="70"/>
  <c r="F70" i="70"/>
  <c r="K69" i="70"/>
  <c r="C69" i="70" s="1"/>
  <c r="J69" i="70"/>
  <c r="H69" i="70"/>
  <c r="E69" i="70" s="1"/>
  <c r="G69" i="70"/>
  <c r="F69" i="70"/>
  <c r="K68" i="70"/>
  <c r="J68" i="70"/>
  <c r="H68" i="70"/>
  <c r="E68" i="70" s="1"/>
  <c r="G68" i="70"/>
  <c r="F68" i="70"/>
  <c r="K67" i="70"/>
  <c r="J67" i="70"/>
  <c r="H67" i="70"/>
  <c r="E67" i="70" s="1"/>
  <c r="G67" i="70"/>
  <c r="F67" i="70"/>
  <c r="K66" i="70"/>
  <c r="D66" i="70" s="1"/>
  <c r="Q68" i="96" s="1"/>
  <c r="J66" i="70"/>
  <c r="H66" i="70"/>
  <c r="E66" i="70" s="1"/>
  <c r="G66" i="70"/>
  <c r="F66" i="70"/>
  <c r="K65" i="70"/>
  <c r="J65" i="70"/>
  <c r="H65" i="70"/>
  <c r="E65" i="70" s="1"/>
  <c r="G65" i="70"/>
  <c r="F65" i="70"/>
  <c r="K64" i="70"/>
  <c r="D64" i="70" s="1"/>
  <c r="Q66" i="96" s="1"/>
  <c r="J64" i="70"/>
  <c r="H64" i="70"/>
  <c r="E64" i="70" s="1"/>
  <c r="G64" i="70"/>
  <c r="F64" i="70"/>
  <c r="K63" i="70"/>
  <c r="J63" i="70"/>
  <c r="H63" i="70"/>
  <c r="E63" i="70" s="1"/>
  <c r="G63" i="70"/>
  <c r="F63" i="70"/>
  <c r="K62" i="70"/>
  <c r="C62" i="70" s="1"/>
  <c r="J62" i="70"/>
  <c r="H62" i="70"/>
  <c r="E62" i="70" s="1"/>
  <c r="G62" i="70"/>
  <c r="F62" i="70"/>
  <c r="K61" i="70"/>
  <c r="C61" i="70" s="1"/>
  <c r="J61" i="70"/>
  <c r="H61" i="70"/>
  <c r="E61" i="70" s="1"/>
  <c r="G61" i="70"/>
  <c r="F61" i="70"/>
  <c r="K60" i="70"/>
  <c r="C60" i="70" s="1"/>
  <c r="J60" i="70"/>
  <c r="H60" i="70"/>
  <c r="E60" i="70" s="1"/>
  <c r="G60" i="70"/>
  <c r="F60" i="70"/>
  <c r="K59" i="70"/>
  <c r="J59" i="70"/>
  <c r="H59" i="70"/>
  <c r="E59" i="70" s="1"/>
  <c r="G59" i="70"/>
  <c r="F59" i="70"/>
  <c r="K58" i="70"/>
  <c r="J58" i="70"/>
  <c r="H58" i="70"/>
  <c r="E58" i="70" s="1"/>
  <c r="G58" i="70"/>
  <c r="F58" i="70"/>
  <c r="K57" i="70"/>
  <c r="C57" i="70" s="1"/>
  <c r="J57" i="70"/>
  <c r="H57" i="70"/>
  <c r="E57" i="70" s="1"/>
  <c r="G57" i="70"/>
  <c r="F57" i="70"/>
  <c r="K56" i="70"/>
  <c r="J56" i="70"/>
  <c r="H56" i="70"/>
  <c r="E56" i="70" s="1"/>
  <c r="G56" i="70"/>
  <c r="F56" i="70"/>
  <c r="K55" i="70"/>
  <c r="D55" i="70" s="1"/>
  <c r="Q57" i="96" s="1"/>
  <c r="J55" i="70"/>
  <c r="H55" i="70"/>
  <c r="E55" i="70" s="1"/>
  <c r="G55" i="70"/>
  <c r="F55" i="70"/>
  <c r="K54" i="70"/>
  <c r="D54" i="70" s="1"/>
  <c r="Q56" i="96" s="1"/>
  <c r="J54" i="70"/>
  <c r="H54" i="70"/>
  <c r="E54" i="70" s="1"/>
  <c r="G54" i="70"/>
  <c r="F54" i="70"/>
  <c r="K53" i="70"/>
  <c r="J53" i="70"/>
  <c r="H53" i="70"/>
  <c r="E53" i="70" s="1"/>
  <c r="G53" i="70"/>
  <c r="F53" i="70"/>
  <c r="K52" i="70"/>
  <c r="J52" i="70"/>
  <c r="H52" i="70"/>
  <c r="E52" i="70" s="1"/>
  <c r="G52" i="70"/>
  <c r="F52" i="70"/>
  <c r="K51" i="70"/>
  <c r="C51" i="70" s="1"/>
  <c r="J51" i="70"/>
  <c r="H51" i="70"/>
  <c r="E51" i="70" s="1"/>
  <c r="G51" i="70"/>
  <c r="F51" i="70"/>
  <c r="K50" i="70"/>
  <c r="J50" i="70"/>
  <c r="H50" i="70"/>
  <c r="E50" i="70" s="1"/>
  <c r="G50" i="70"/>
  <c r="F50" i="70"/>
  <c r="K49" i="70"/>
  <c r="J49" i="70"/>
  <c r="H49" i="70"/>
  <c r="E49" i="70" s="1"/>
  <c r="G49" i="70"/>
  <c r="F49" i="70"/>
  <c r="K48" i="70"/>
  <c r="C48" i="70" s="1"/>
  <c r="J48" i="70"/>
  <c r="H48" i="70"/>
  <c r="E48" i="70" s="1"/>
  <c r="G48" i="70"/>
  <c r="F48" i="70"/>
  <c r="K47" i="70"/>
  <c r="J47" i="70"/>
  <c r="H47" i="70"/>
  <c r="E47" i="70" s="1"/>
  <c r="G47" i="70"/>
  <c r="F47" i="70"/>
  <c r="K46" i="70"/>
  <c r="J46" i="70"/>
  <c r="H46" i="70"/>
  <c r="E46" i="70" s="1"/>
  <c r="G46" i="70"/>
  <c r="F46" i="70"/>
  <c r="K45" i="70"/>
  <c r="C45" i="70" s="1"/>
  <c r="J45" i="70"/>
  <c r="H45" i="70"/>
  <c r="E45" i="70" s="1"/>
  <c r="G45" i="70"/>
  <c r="F45" i="70"/>
  <c r="K44" i="70"/>
  <c r="C44" i="70" s="1"/>
  <c r="J44" i="70"/>
  <c r="H44" i="70"/>
  <c r="E44" i="70" s="1"/>
  <c r="G44" i="70"/>
  <c r="F44" i="70"/>
  <c r="K43" i="70"/>
  <c r="J43" i="70"/>
  <c r="H43" i="70"/>
  <c r="E43" i="70" s="1"/>
  <c r="G43" i="70"/>
  <c r="F43" i="70"/>
  <c r="K42" i="70"/>
  <c r="J42" i="70"/>
  <c r="H42" i="70"/>
  <c r="E42" i="70" s="1"/>
  <c r="G42" i="70"/>
  <c r="F42" i="70"/>
  <c r="K41" i="70"/>
  <c r="C41" i="70" s="1"/>
  <c r="J41" i="70"/>
  <c r="H41" i="70"/>
  <c r="E41" i="70" s="1"/>
  <c r="G41" i="70"/>
  <c r="F41" i="70"/>
  <c r="K40" i="70"/>
  <c r="J40" i="70"/>
  <c r="H40" i="70"/>
  <c r="E40" i="70" s="1"/>
  <c r="G40" i="70"/>
  <c r="F40" i="70"/>
  <c r="K39" i="70"/>
  <c r="C39" i="70" s="1"/>
  <c r="J39" i="70"/>
  <c r="H39" i="70"/>
  <c r="E39" i="70" s="1"/>
  <c r="G39" i="70"/>
  <c r="F39" i="70"/>
  <c r="K38" i="70"/>
  <c r="D38" i="70" s="1"/>
  <c r="Q40" i="96" s="1"/>
  <c r="J38" i="70"/>
  <c r="H38" i="70"/>
  <c r="E38" i="70" s="1"/>
  <c r="G38" i="70"/>
  <c r="F38" i="70"/>
  <c r="K37" i="70"/>
  <c r="J37" i="70"/>
  <c r="H37" i="70"/>
  <c r="E37" i="70" s="1"/>
  <c r="G37" i="70"/>
  <c r="F37" i="70"/>
  <c r="K36" i="70"/>
  <c r="J36" i="70"/>
  <c r="H36" i="70"/>
  <c r="E36" i="70" s="1"/>
  <c r="G36" i="70"/>
  <c r="F36" i="70"/>
  <c r="K35" i="70"/>
  <c r="C35" i="70" s="1"/>
  <c r="J35" i="70"/>
  <c r="H35" i="70"/>
  <c r="E35" i="70" s="1"/>
  <c r="G35" i="70"/>
  <c r="F35" i="70"/>
  <c r="K34" i="70"/>
  <c r="C34" i="70" s="1"/>
  <c r="J34" i="70"/>
  <c r="H34" i="70"/>
  <c r="E34" i="70" s="1"/>
  <c r="G34" i="70"/>
  <c r="F34" i="70"/>
  <c r="K33" i="70"/>
  <c r="J33" i="70"/>
  <c r="H33" i="70"/>
  <c r="E33" i="70" s="1"/>
  <c r="G33" i="70"/>
  <c r="F33" i="70"/>
  <c r="K32" i="70"/>
  <c r="J32" i="70"/>
  <c r="H32" i="70"/>
  <c r="E32" i="70" s="1"/>
  <c r="G32" i="70"/>
  <c r="F32" i="70"/>
  <c r="K31" i="70"/>
  <c r="J31" i="70"/>
  <c r="H31" i="70"/>
  <c r="E31" i="70" s="1"/>
  <c r="G31" i="70"/>
  <c r="F31" i="70"/>
  <c r="K30" i="70"/>
  <c r="J30" i="70"/>
  <c r="H30" i="70"/>
  <c r="E30" i="70" s="1"/>
  <c r="G30" i="70"/>
  <c r="F30" i="70"/>
  <c r="K29" i="70"/>
  <c r="J29" i="70"/>
  <c r="H29" i="70"/>
  <c r="E29" i="70" s="1"/>
  <c r="G29" i="70"/>
  <c r="F29" i="70"/>
  <c r="K28" i="70"/>
  <c r="C28" i="70" s="1"/>
  <c r="J28" i="70"/>
  <c r="H28" i="70"/>
  <c r="E28" i="70" s="1"/>
  <c r="G28" i="70"/>
  <c r="F28" i="70"/>
  <c r="K27" i="70"/>
  <c r="J27" i="70"/>
  <c r="H27" i="70"/>
  <c r="E27" i="70" s="1"/>
  <c r="G27" i="70"/>
  <c r="F27" i="70"/>
  <c r="K26" i="70"/>
  <c r="J26" i="70"/>
  <c r="H26" i="70"/>
  <c r="E26" i="70" s="1"/>
  <c r="G26" i="70"/>
  <c r="F26" i="70"/>
  <c r="K25" i="70"/>
  <c r="C25" i="70" s="1"/>
  <c r="J25" i="70"/>
  <c r="H25" i="70"/>
  <c r="E25" i="70" s="1"/>
  <c r="G25" i="70"/>
  <c r="F25" i="70"/>
  <c r="K24" i="70"/>
  <c r="J24" i="70"/>
  <c r="H24" i="70"/>
  <c r="E24" i="70" s="1"/>
  <c r="G24" i="70"/>
  <c r="F24" i="70"/>
  <c r="K23" i="70"/>
  <c r="J23" i="70"/>
  <c r="H23" i="70"/>
  <c r="E23" i="70" s="1"/>
  <c r="G23" i="70"/>
  <c r="F23" i="70"/>
  <c r="K22" i="70"/>
  <c r="J22" i="70"/>
  <c r="H22" i="70"/>
  <c r="E22" i="70" s="1"/>
  <c r="G22" i="70"/>
  <c r="F22" i="70"/>
  <c r="K21" i="70"/>
  <c r="D21" i="70" s="1"/>
  <c r="Q23" i="96" s="1"/>
  <c r="J21" i="70"/>
  <c r="H21" i="70"/>
  <c r="E21" i="70" s="1"/>
  <c r="G21" i="70"/>
  <c r="F21" i="70"/>
  <c r="K20" i="70"/>
  <c r="J20" i="70"/>
  <c r="H20" i="70"/>
  <c r="E20" i="70" s="1"/>
  <c r="G20" i="70"/>
  <c r="F20" i="70"/>
  <c r="K19" i="70"/>
  <c r="J19" i="70"/>
  <c r="H19" i="70"/>
  <c r="E19" i="70" s="1"/>
  <c r="G19" i="70"/>
  <c r="F19" i="70"/>
  <c r="K18" i="70"/>
  <c r="J18" i="70"/>
  <c r="H18" i="70"/>
  <c r="E18" i="70" s="1"/>
  <c r="G18" i="70"/>
  <c r="F18" i="70"/>
  <c r="K17" i="70"/>
  <c r="J17" i="70"/>
  <c r="H17" i="70"/>
  <c r="E17" i="70" s="1"/>
  <c r="G17" i="70"/>
  <c r="F17" i="70"/>
  <c r="K16" i="70"/>
  <c r="J16" i="70"/>
  <c r="H16" i="70"/>
  <c r="E16" i="70" s="1"/>
  <c r="G16" i="70"/>
  <c r="F16" i="70"/>
  <c r="K15" i="70"/>
  <c r="J15" i="70"/>
  <c r="H15" i="70"/>
  <c r="E15" i="70" s="1"/>
  <c r="G15" i="70"/>
  <c r="F15" i="70"/>
  <c r="K14" i="70"/>
  <c r="D14" i="70" s="1"/>
  <c r="Q16" i="96" s="1"/>
  <c r="J14" i="70"/>
  <c r="H14" i="70"/>
  <c r="E14" i="70" s="1"/>
  <c r="G14" i="70"/>
  <c r="F14" i="70"/>
  <c r="K13" i="70"/>
  <c r="J13" i="70"/>
  <c r="H13" i="70"/>
  <c r="E13" i="70" s="1"/>
  <c r="G13" i="70"/>
  <c r="F13" i="70"/>
  <c r="K12" i="70"/>
  <c r="J12" i="70"/>
  <c r="H12" i="70"/>
  <c r="E12" i="70" s="1"/>
  <c r="G12" i="70"/>
  <c r="F12" i="70"/>
  <c r="K11" i="70"/>
  <c r="J11" i="70"/>
  <c r="H11" i="70"/>
  <c r="E11" i="70" s="1"/>
  <c r="G11" i="70"/>
  <c r="F11" i="70"/>
  <c r="K10" i="70"/>
  <c r="J10" i="70"/>
  <c r="H10" i="70"/>
  <c r="E10" i="70" s="1"/>
  <c r="G10" i="70"/>
  <c r="F10" i="70"/>
  <c r="K9" i="70"/>
  <c r="J9" i="70"/>
  <c r="H9" i="70"/>
  <c r="E9" i="70" s="1"/>
  <c r="G9" i="70"/>
  <c r="F9" i="70"/>
  <c r="K8" i="70"/>
  <c r="J8" i="70"/>
  <c r="H8" i="70"/>
  <c r="E8" i="70" s="1"/>
  <c r="G8" i="70"/>
  <c r="F8" i="70"/>
  <c r="K7" i="70"/>
  <c r="D7" i="70" s="1"/>
  <c r="Q9" i="96" s="1"/>
  <c r="J7" i="70"/>
  <c r="H7" i="70"/>
  <c r="E7" i="70" s="1"/>
  <c r="G7" i="70"/>
  <c r="F7" i="70"/>
  <c r="K6" i="70"/>
  <c r="J6" i="70"/>
  <c r="H6" i="70"/>
  <c r="E6" i="70" s="1"/>
  <c r="G6" i="70"/>
  <c r="F6" i="70"/>
  <c r="K5" i="70"/>
  <c r="C5" i="70" s="1"/>
  <c r="J5" i="70"/>
  <c r="H5" i="70"/>
  <c r="E5" i="70" s="1"/>
  <c r="G5" i="70"/>
  <c r="F5" i="70"/>
  <c r="K4" i="70"/>
  <c r="J4" i="70"/>
  <c r="H4" i="70"/>
  <c r="E4" i="70" s="1"/>
  <c r="G4" i="70"/>
  <c r="F4" i="70"/>
  <c r="K3" i="70"/>
  <c r="J3" i="70"/>
  <c r="H3" i="70"/>
  <c r="E3" i="70" s="1"/>
  <c r="G3" i="70"/>
  <c r="F3" i="70"/>
  <c r="C21" i="70" l="1"/>
  <c r="C54" i="70"/>
  <c r="I4" i="70"/>
  <c r="D48" i="70"/>
  <c r="Q50" i="96" s="1"/>
  <c r="I65" i="70"/>
  <c r="D41" i="70"/>
  <c r="Q43" i="96" s="1"/>
  <c r="I46" i="70"/>
  <c r="C38" i="70"/>
  <c r="I26" i="70"/>
  <c r="I9" i="70"/>
  <c r="C73" i="70"/>
  <c r="D28" i="70"/>
  <c r="Q30" i="96" s="1"/>
  <c r="I33" i="70"/>
  <c r="I56" i="70"/>
  <c r="I59" i="70"/>
  <c r="D61" i="70"/>
  <c r="Q63" i="96" s="1"/>
  <c r="C65" i="70"/>
  <c r="I71" i="70"/>
  <c r="C64" i="70"/>
  <c r="D46" i="70"/>
  <c r="Q48" i="96" s="1"/>
  <c r="I10" i="70"/>
  <c r="C14" i="70"/>
  <c r="I36" i="70"/>
  <c r="I55" i="70"/>
  <c r="I66" i="70"/>
  <c r="C71" i="70"/>
  <c r="D26" i="70"/>
  <c r="Q28" i="96" s="1"/>
  <c r="I31" i="70"/>
  <c r="D50" i="70"/>
  <c r="Q52" i="96" s="1"/>
  <c r="I50" i="70"/>
  <c r="D6" i="70"/>
  <c r="Q8" i="96" s="1"/>
  <c r="I6" i="70"/>
  <c r="I12" i="70"/>
  <c r="I17" i="70"/>
  <c r="I23" i="70"/>
  <c r="C31" i="70"/>
  <c r="I43" i="70"/>
  <c r="D65" i="70"/>
  <c r="Q67" i="96" s="1"/>
  <c r="C68" i="70"/>
  <c r="I68" i="70"/>
  <c r="I69" i="70"/>
  <c r="D71" i="70"/>
  <c r="Q73" i="96" s="1"/>
  <c r="C15" i="70"/>
  <c r="I15" i="70"/>
  <c r="D15" i="70"/>
  <c r="Q17" i="96" s="1"/>
  <c r="D24" i="70"/>
  <c r="Q26" i="96" s="1"/>
  <c r="I24" i="70"/>
  <c r="D30" i="70"/>
  <c r="Q32" i="96" s="1"/>
  <c r="I30" i="70"/>
  <c r="D62" i="70"/>
  <c r="Q64" i="96" s="1"/>
  <c r="I62" i="70"/>
  <c r="D3" i="70"/>
  <c r="Q5" i="96" s="1"/>
  <c r="I3" i="70"/>
  <c r="C8" i="70"/>
  <c r="I8" i="70"/>
  <c r="D19" i="70"/>
  <c r="Q21" i="96" s="1"/>
  <c r="I19" i="70"/>
  <c r="D10" i="70"/>
  <c r="Q12" i="96" s="1"/>
  <c r="D16" i="70"/>
  <c r="Q18" i="96" s="1"/>
  <c r="I16" i="70"/>
  <c r="D49" i="70"/>
  <c r="Q51" i="96" s="1"/>
  <c r="I49" i="70"/>
  <c r="C12" i="70"/>
  <c r="C17" i="70"/>
  <c r="C23" i="70"/>
  <c r="I28" i="70"/>
  <c r="C30" i="70"/>
  <c r="C36" i="70"/>
  <c r="C43" i="70"/>
  <c r="I48" i="70"/>
  <c r="C50" i="70"/>
  <c r="C53" i="70"/>
  <c r="I53" i="70"/>
  <c r="I54" i="70"/>
  <c r="C56" i="70"/>
  <c r="D69" i="70"/>
  <c r="Q71" i="96" s="1"/>
  <c r="C72" i="70"/>
  <c r="I72" i="70"/>
  <c r="I73" i="70"/>
  <c r="I7" i="70"/>
  <c r="D9" i="70"/>
  <c r="Q11" i="96" s="1"/>
  <c r="C19" i="70"/>
  <c r="D33" i="70"/>
  <c r="Q35" i="96" s="1"/>
  <c r="D37" i="70"/>
  <c r="Q39" i="96" s="1"/>
  <c r="I37" i="70"/>
  <c r="D44" i="70"/>
  <c r="Q46" i="96" s="1"/>
  <c r="I44" i="70"/>
  <c r="I51" i="70"/>
  <c r="D57" i="70"/>
  <c r="Q59" i="96" s="1"/>
  <c r="I57" i="70"/>
  <c r="C7" i="70"/>
  <c r="D11" i="70"/>
  <c r="Q13" i="96" s="1"/>
  <c r="I11" i="70"/>
  <c r="D22" i="70"/>
  <c r="Q24" i="96" s="1"/>
  <c r="I22" i="70"/>
  <c r="C24" i="70"/>
  <c r="D29" i="70"/>
  <c r="Q31" i="96" s="1"/>
  <c r="I29" i="70"/>
  <c r="D31" i="70"/>
  <c r="Q33" i="96" s="1"/>
  <c r="D35" i="70"/>
  <c r="Q37" i="96" s="1"/>
  <c r="I35" i="70"/>
  <c r="D42" i="70"/>
  <c r="Q44" i="96" s="1"/>
  <c r="I42" i="70"/>
  <c r="D51" i="70"/>
  <c r="Q53" i="96" s="1"/>
  <c r="I5" i="70"/>
  <c r="D12" i="70"/>
  <c r="Q14" i="96" s="1"/>
  <c r="D17" i="70"/>
  <c r="Q19" i="96" s="1"/>
  <c r="D20" i="70"/>
  <c r="Q22" i="96" s="1"/>
  <c r="I20" i="70"/>
  <c r="I21" i="70"/>
  <c r="D23" i="70"/>
  <c r="Q25" i="96" s="1"/>
  <c r="D27" i="70"/>
  <c r="Q29" i="96" s="1"/>
  <c r="I27" i="70"/>
  <c r="C29" i="70"/>
  <c r="D34" i="70"/>
  <c r="Q36" i="96" s="1"/>
  <c r="I34" i="70"/>
  <c r="D36" i="70"/>
  <c r="Q38" i="96" s="1"/>
  <c r="D40" i="70"/>
  <c r="Q42" i="96" s="1"/>
  <c r="I40" i="70"/>
  <c r="I41" i="70"/>
  <c r="D43" i="70"/>
  <c r="Q45" i="96" s="1"/>
  <c r="D47" i="70"/>
  <c r="Q49" i="96" s="1"/>
  <c r="I47" i="70"/>
  <c r="C49" i="70"/>
  <c r="C55" i="70"/>
  <c r="D56" i="70"/>
  <c r="Q58" i="96" s="1"/>
  <c r="I60" i="70"/>
  <c r="I61" i="70"/>
  <c r="D67" i="70"/>
  <c r="Q69" i="96" s="1"/>
  <c r="I67" i="70"/>
  <c r="C58" i="70"/>
  <c r="I58" i="70"/>
  <c r="C4" i="70"/>
  <c r="D25" i="70"/>
  <c r="Q27" i="96" s="1"/>
  <c r="I25" i="70"/>
  <c r="D32" i="70"/>
  <c r="Q34" i="96" s="1"/>
  <c r="I32" i="70"/>
  <c r="D39" i="70"/>
  <c r="Q41" i="96" s="1"/>
  <c r="I39" i="70"/>
  <c r="D45" i="70"/>
  <c r="Q47" i="96" s="1"/>
  <c r="I45" i="70"/>
  <c r="D52" i="70"/>
  <c r="Q54" i="96" s="1"/>
  <c r="I52" i="70"/>
  <c r="C59" i="70"/>
  <c r="D4" i="70"/>
  <c r="Q6" i="96" s="1"/>
  <c r="D5" i="70"/>
  <c r="Q7" i="96" s="1"/>
  <c r="C9" i="70"/>
  <c r="C10" i="70"/>
  <c r="D13" i="70"/>
  <c r="Q15" i="96" s="1"/>
  <c r="I13" i="70"/>
  <c r="I14" i="70"/>
  <c r="D18" i="70"/>
  <c r="Q20" i="96" s="1"/>
  <c r="I18" i="70"/>
  <c r="C20" i="70"/>
  <c r="C26" i="70"/>
  <c r="C33" i="70"/>
  <c r="I38" i="70"/>
  <c r="C40" i="70"/>
  <c r="C46" i="70"/>
  <c r="D59" i="70"/>
  <c r="Q61" i="96" s="1"/>
  <c r="D60" i="70"/>
  <c r="Q62" i="96" s="1"/>
  <c r="C63" i="70"/>
  <c r="I63" i="70"/>
  <c r="I64" i="70"/>
  <c r="C66" i="70"/>
  <c r="C67" i="70"/>
  <c r="C70" i="70"/>
  <c r="I70" i="70"/>
  <c r="J11" i="79"/>
  <c r="J10" i="79"/>
  <c r="K10" i="79" s="1"/>
  <c r="G5" i="55"/>
  <c r="G4" i="55"/>
  <c r="H10" i="79"/>
  <c r="D72" i="70"/>
  <c r="Q74" i="96" s="1"/>
  <c r="D53" i="70"/>
  <c r="Q55" i="96" s="1"/>
  <c r="D58" i="70"/>
  <c r="Q60" i="96" s="1"/>
  <c r="D63" i="70"/>
  <c r="Q65" i="96" s="1"/>
  <c r="D68" i="70"/>
  <c r="Q70" i="96" s="1"/>
  <c r="C22" i="70"/>
  <c r="C27" i="70"/>
  <c r="C32" i="70"/>
  <c r="C42" i="70"/>
  <c r="C47" i="70"/>
  <c r="C52" i="70"/>
  <c r="C37" i="70"/>
  <c r="C3" i="70"/>
  <c r="C13" i="70"/>
  <c r="C18" i="70"/>
  <c r="D8" i="70"/>
  <c r="C6" i="70"/>
  <c r="C11" i="70"/>
  <c r="C16" i="70"/>
  <c r="Q10" i="96" l="1"/>
  <c r="J2" i="70"/>
  <c r="K2" i="70"/>
  <c r="F2" i="70"/>
  <c r="G2" i="70"/>
  <c r="H2" i="70"/>
  <c r="E2" i="70" s="1"/>
  <c r="E5" i="92"/>
  <c r="E6" i="92"/>
  <c r="E7" i="92"/>
  <c r="E8" i="92"/>
  <c r="E9" i="92"/>
  <c r="E10" i="92"/>
  <c r="E11" i="92"/>
  <c r="C6" i="94" l="1"/>
  <c r="C10" i="92"/>
  <c r="C8" i="91"/>
  <c r="C6" i="90"/>
  <c r="C5" i="89"/>
  <c r="C11" i="80"/>
  <c r="C10" i="79"/>
  <c r="C11" i="89"/>
  <c r="C9" i="80"/>
  <c r="C7" i="92"/>
  <c r="C9" i="81"/>
  <c r="C10" i="94"/>
  <c r="C10" i="90"/>
  <c r="C7" i="80"/>
  <c r="C7" i="93"/>
  <c r="C8" i="89"/>
  <c r="C5" i="79"/>
  <c r="C10" i="91"/>
  <c r="C6" i="81"/>
  <c r="C5" i="93"/>
  <c r="C6" i="89"/>
  <c r="C5" i="94"/>
  <c r="C9" i="92"/>
  <c r="C7" i="91"/>
  <c r="C5" i="90"/>
  <c r="C11" i="81"/>
  <c r="C10" i="80"/>
  <c r="C9" i="79"/>
  <c r="C6" i="91"/>
  <c r="C10" i="81"/>
  <c r="C9" i="93"/>
  <c r="C10" i="89"/>
  <c r="C7" i="79"/>
  <c r="C6" i="92"/>
  <c r="C8" i="81"/>
  <c r="C9" i="94"/>
  <c r="C9" i="90"/>
  <c r="C6" i="80"/>
  <c r="C6" i="93"/>
  <c r="C7" i="89"/>
  <c r="C7" i="94"/>
  <c r="C7" i="90"/>
  <c r="C11" i="79"/>
  <c r="C10" i="93"/>
  <c r="C8" i="92"/>
  <c r="C8" i="79"/>
  <c r="C5" i="91"/>
  <c r="C8" i="80"/>
  <c r="C8" i="93"/>
  <c r="C9" i="89"/>
  <c r="C6" i="79"/>
  <c r="C5" i="92"/>
  <c r="C7" i="81"/>
  <c r="C8" i="94"/>
  <c r="C8" i="90"/>
  <c r="C5" i="80"/>
  <c r="C9" i="91"/>
  <c r="C5" i="81"/>
  <c r="I9" i="92"/>
  <c r="H9" i="92"/>
  <c r="I5" i="92"/>
  <c r="H5" i="92"/>
  <c r="I8" i="92"/>
  <c r="H8" i="92"/>
  <c r="I6" i="92"/>
  <c r="H6" i="92"/>
  <c r="H7" i="92"/>
  <c r="I7" i="92"/>
  <c r="I10" i="92"/>
  <c r="H10" i="92"/>
  <c r="I2" i="70"/>
  <c r="C2" i="70"/>
  <c r="D2" i="70"/>
  <c r="J5" i="79"/>
  <c r="J6" i="79"/>
  <c r="J7" i="79"/>
  <c r="J8" i="79"/>
  <c r="J9" i="79"/>
  <c r="D2" i="55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11" i="92" l="1"/>
  <c r="Q4" i="96"/>
  <c r="G9" i="92"/>
  <c r="G7" i="92"/>
  <c r="G10" i="92"/>
  <c r="G6" i="92"/>
  <c r="G10" i="79"/>
  <c r="L10" i="79" s="1"/>
  <c r="M10" i="79" s="1"/>
  <c r="G8" i="92"/>
  <c r="G5" i="92"/>
  <c r="K6" i="87"/>
  <c r="K6" i="82"/>
  <c r="K6" i="54"/>
  <c r="F5" i="79"/>
  <c r="F6" i="79"/>
  <c r="F7" i="79"/>
  <c r="F8" i="79"/>
  <c r="F9" i="79"/>
  <c r="F6" i="80"/>
  <c r="F7" i="80"/>
  <c r="F8" i="80"/>
  <c r="F9" i="80"/>
  <c r="F10" i="80"/>
  <c r="F11" i="80"/>
  <c r="F5" i="80"/>
  <c r="F6" i="81"/>
  <c r="F7" i="81"/>
  <c r="F8" i="81"/>
  <c r="F9" i="81"/>
  <c r="F10" i="81"/>
  <c r="F11" i="81"/>
  <c r="F5" i="81"/>
  <c r="F3" i="83"/>
  <c r="F4" i="83"/>
  <c r="F5" i="83"/>
  <c r="F6" i="83"/>
  <c r="F7" i="83"/>
  <c r="F2" i="83"/>
  <c r="E3" i="83"/>
  <c r="E4" i="83"/>
  <c r="E5" i="83"/>
  <c r="E6" i="83"/>
  <c r="E7" i="83"/>
  <c r="E2" i="83"/>
  <c r="D3" i="83"/>
  <c r="D4" i="83"/>
  <c r="D5" i="83"/>
  <c r="D6" i="83"/>
  <c r="D7" i="83"/>
  <c r="D2" i="83"/>
  <c r="F6" i="89"/>
  <c r="F7" i="89"/>
  <c r="F8" i="89"/>
  <c r="F9" i="89"/>
  <c r="F10" i="89"/>
  <c r="F11" i="89"/>
  <c r="F5" i="89"/>
  <c r="F6" i="90"/>
  <c r="F7" i="90"/>
  <c r="F8" i="90"/>
  <c r="F9" i="90"/>
  <c r="F10" i="90"/>
  <c r="F11" i="90"/>
  <c r="F5" i="90"/>
  <c r="F6" i="91"/>
  <c r="F7" i="91"/>
  <c r="F8" i="91"/>
  <c r="F9" i="91"/>
  <c r="F10" i="91"/>
  <c r="F11" i="91"/>
  <c r="F5" i="91"/>
  <c r="F6" i="94"/>
  <c r="F7" i="94"/>
  <c r="F8" i="94"/>
  <c r="F9" i="94"/>
  <c r="F10" i="94"/>
  <c r="F11" i="94"/>
  <c r="F5" i="94"/>
  <c r="F6" i="93"/>
  <c r="F7" i="93"/>
  <c r="F8" i="93"/>
  <c r="F9" i="93"/>
  <c r="F10" i="93"/>
  <c r="F11" i="93"/>
  <c r="F5" i="93"/>
  <c r="F6" i="92"/>
  <c r="F7" i="92"/>
  <c r="F8" i="92"/>
  <c r="F9" i="92"/>
  <c r="F10" i="92"/>
  <c r="F11" i="92"/>
  <c r="F5" i="92"/>
  <c r="F3" i="88"/>
  <c r="F4" i="88"/>
  <c r="F5" i="88"/>
  <c r="F6" i="88"/>
  <c r="F7" i="88"/>
  <c r="F2" i="88"/>
  <c r="E3" i="88"/>
  <c r="E4" i="88"/>
  <c r="E5" i="88"/>
  <c r="E6" i="88"/>
  <c r="E7" i="88"/>
  <c r="E2" i="88"/>
  <c r="D3" i="88"/>
  <c r="D4" i="88"/>
  <c r="D5" i="88"/>
  <c r="D6" i="88"/>
  <c r="D7" i="88"/>
  <c r="D2" i="88"/>
  <c r="E3" i="55"/>
  <c r="E4" i="55"/>
  <c r="E5" i="55"/>
  <c r="E6" i="55"/>
  <c r="E7" i="55"/>
  <c r="E2" i="55"/>
  <c r="F3" i="55"/>
  <c r="F4" i="55"/>
  <c r="F5" i="55"/>
  <c r="F6" i="55"/>
  <c r="F7" i="55"/>
  <c r="F2" i="55"/>
  <c r="D3" i="55"/>
  <c r="D4" i="55"/>
  <c r="D5" i="55"/>
  <c r="D6" i="55"/>
  <c r="D7" i="55"/>
  <c r="B6" i="54" l="1"/>
  <c r="B6" i="82"/>
  <c r="J11" i="94"/>
  <c r="J10" i="94"/>
  <c r="J9" i="94"/>
  <c r="J8" i="94"/>
  <c r="J7" i="94"/>
  <c r="J6" i="94"/>
  <c r="J5" i="94"/>
  <c r="J11" i="93"/>
  <c r="J10" i="93"/>
  <c r="J9" i="93"/>
  <c r="J8" i="93"/>
  <c r="J7" i="93"/>
  <c r="J6" i="93"/>
  <c r="J5" i="93"/>
  <c r="J6" i="92"/>
  <c r="K6" i="92" s="1"/>
  <c r="L6" i="92" s="1"/>
  <c r="M6" i="92" s="1"/>
  <c r="J7" i="92"/>
  <c r="K7" i="92" s="1"/>
  <c r="L7" i="92" s="1"/>
  <c r="M7" i="92" s="1"/>
  <c r="J8" i="92"/>
  <c r="K8" i="92" s="1"/>
  <c r="L8" i="92" s="1"/>
  <c r="M8" i="92" s="1"/>
  <c r="J9" i="92"/>
  <c r="K9" i="92" s="1"/>
  <c r="L9" i="92" s="1"/>
  <c r="M9" i="92" s="1"/>
  <c r="J10" i="92"/>
  <c r="K10" i="92" s="1"/>
  <c r="L10" i="92" s="1"/>
  <c r="M10" i="92" s="1"/>
  <c r="J11" i="92"/>
  <c r="K11" i="92" s="1"/>
  <c r="J5" i="92"/>
  <c r="K5" i="92" s="1"/>
  <c r="L5" i="92" s="1"/>
  <c r="M5" i="92" s="1"/>
  <c r="G24" i="82"/>
  <c r="H24" i="82"/>
  <c r="I24" i="82"/>
  <c r="J24" i="82"/>
  <c r="K24" i="82"/>
  <c r="G25" i="82"/>
  <c r="H25" i="82"/>
  <c r="I25" i="82"/>
  <c r="J25" i="82"/>
  <c r="K25" i="82"/>
  <c r="G26" i="82"/>
  <c r="H26" i="82"/>
  <c r="I26" i="82"/>
  <c r="J26" i="82"/>
  <c r="K26" i="82"/>
  <c r="G27" i="82"/>
  <c r="H27" i="82"/>
  <c r="I27" i="82"/>
  <c r="J27" i="82"/>
  <c r="K27" i="82"/>
  <c r="G28" i="82"/>
  <c r="H28" i="82"/>
  <c r="I28" i="82"/>
  <c r="J28" i="82"/>
  <c r="K28" i="82"/>
  <c r="G29" i="82"/>
  <c r="H29" i="82"/>
  <c r="I29" i="82"/>
  <c r="J29" i="82"/>
  <c r="K29" i="82"/>
  <c r="G30" i="82"/>
  <c r="H30" i="82"/>
  <c r="I30" i="82"/>
  <c r="J30" i="82"/>
  <c r="K30" i="82"/>
  <c r="G31" i="82"/>
  <c r="H31" i="82"/>
  <c r="I31" i="82"/>
  <c r="J31" i="82"/>
  <c r="K31" i="82"/>
  <c r="G32" i="82"/>
  <c r="H32" i="82"/>
  <c r="I32" i="82"/>
  <c r="J32" i="82"/>
  <c r="K32" i="82"/>
  <c r="G33" i="82"/>
  <c r="H33" i="82"/>
  <c r="I33" i="82"/>
  <c r="J33" i="82"/>
  <c r="K33" i="82"/>
  <c r="G34" i="82"/>
  <c r="H34" i="82"/>
  <c r="I34" i="82"/>
  <c r="J34" i="82"/>
  <c r="K34" i="82"/>
  <c r="G35" i="82"/>
  <c r="H35" i="82"/>
  <c r="I35" i="82"/>
  <c r="J35" i="82"/>
  <c r="K35" i="82"/>
  <c r="G36" i="82"/>
  <c r="H36" i="82"/>
  <c r="I36" i="82"/>
  <c r="J36" i="82"/>
  <c r="K36" i="82"/>
  <c r="G37" i="82"/>
  <c r="H37" i="82"/>
  <c r="I37" i="82"/>
  <c r="J37" i="82"/>
  <c r="K37" i="82"/>
  <c r="G38" i="82"/>
  <c r="H38" i="82"/>
  <c r="I38" i="82"/>
  <c r="J38" i="82"/>
  <c r="K38" i="82"/>
  <c r="G39" i="82"/>
  <c r="H39" i="82"/>
  <c r="I39" i="82"/>
  <c r="J39" i="82"/>
  <c r="K39" i="82"/>
  <c r="G40" i="82"/>
  <c r="H40" i="82"/>
  <c r="I40" i="82"/>
  <c r="J40" i="82"/>
  <c r="K40" i="82"/>
  <c r="G41" i="82"/>
  <c r="H41" i="82"/>
  <c r="I41" i="82"/>
  <c r="J41" i="82"/>
  <c r="K41" i="82"/>
  <c r="G42" i="82"/>
  <c r="H42" i="82"/>
  <c r="I42" i="82"/>
  <c r="J42" i="82"/>
  <c r="K42" i="82"/>
  <c r="G43" i="82"/>
  <c r="H43" i="82"/>
  <c r="I43" i="82"/>
  <c r="J43" i="82"/>
  <c r="K43" i="82"/>
  <c r="G44" i="82"/>
  <c r="H44" i="82"/>
  <c r="I44" i="82"/>
  <c r="J44" i="82"/>
  <c r="K44" i="82"/>
  <c r="G45" i="82"/>
  <c r="H45" i="82"/>
  <c r="I45" i="82"/>
  <c r="J45" i="82"/>
  <c r="K45" i="82"/>
  <c r="G46" i="82"/>
  <c r="H46" i="82"/>
  <c r="I46" i="82"/>
  <c r="J46" i="82"/>
  <c r="K46" i="82"/>
  <c r="G47" i="82"/>
  <c r="H47" i="82"/>
  <c r="I47" i="82"/>
  <c r="J47" i="82"/>
  <c r="K47" i="82"/>
  <c r="G48" i="82"/>
  <c r="H48" i="82"/>
  <c r="I48" i="82"/>
  <c r="J48" i="82"/>
  <c r="K48" i="82"/>
  <c r="G49" i="82"/>
  <c r="H49" i="82"/>
  <c r="I49" i="82"/>
  <c r="J49" i="82"/>
  <c r="K49" i="82"/>
  <c r="G50" i="82"/>
  <c r="H50" i="82"/>
  <c r="I50" i="82"/>
  <c r="J50" i="82"/>
  <c r="K50" i="82"/>
  <c r="G51" i="82"/>
  <c r="H51" i="82"/>
  <c r="I51" i="82"/>
  <c r="J51" i="82"/>
  <c r="K51" i="82"/>
  <c r="G52" i="82"/>
  <c r="H52" i="82"/>
  <c r="I52" i="82"/>
  <c r="J52" i="82"/>
  <c r="K52" i="82"/>
  <c r="G53" i="82"/>
  <c r="H53" i="82"/>
  <c r="I53" i="82"/>
  <c r="J53" i="82"/>
  <c r="K53" i="82"/>
  <c r="G54" i="82"/>
  <c r="H54" i="82"/>
  <c r="I54" i="82"/>
  <c r="J54" i="82"/>
  <c r="K54" i="82"/>
  <c r="G55" i="82"/>
  <c r="H55" i="82"/>
  <c r="I55" i="82"/>
  <c r="J55" i="82"/>
  <c r="K55" i="82"/>
  <c r="G56" i="82"/>
  <c r="H56" i="82"/>
  <c r="I56" i="82"/>
  <c r="J56" i="82"/>
  <c r="K56" i="82"/>
  <c r="G57" i="82"/>
  <c r="H57" i="82"/>
  <c r="I57" i="82"/>
  <c r="J57" i="82"/>
  <c r="K57" i="82"/>
  <c r="G58" i="82"/>
  <c r="H58" i="82"/>
  <c r="I58" i="82"/>
  <c r="J58" i="82"/>
  <c r="K58" i="82"/>
  <c r="G59" i="82"/>
  <c r="H59" i="82"/>
  <c r="I59" i="82"/>
  <c r="J59" i="82"/>
  <c r="K59" i="82"/>
  <c r="G60" i="82"/>
  <c r="H60" i="82"/>
  <c r="I60" i="82"/>
  <c r="J60" i="82"/>
  <c r="K60" i="82"/>
  <c r="G61" i="82"/>
  <c r="H61" i="82"/>
  <c r="I61" i="82"/>
  <c r="J61" i="82"/>
  <c r="K61" i="82"/>
  <c r="G62" i="82"/>
  <c r="H62" i="82"/>
  <c r="I62" i="82"/>
  <c r="J62" i="82"/>
  <c r="K62" i="82"/>
  <c r="G63" i="82"/>
  <c r="H63" i="82"/>
  <c r="I63" i="82"/>
  <c r="J63" i="82"/>
  <c r="K63" i="82"/>
  <c r="G64" i="82"/>
  <c r="H64" i="82"/>
  <c r="I64" i="82"/>
  <c r="J64" i="82"/>
  <c r="K64" i="82"/>
  <c r="G65" i="82"/>
  <c r="H65" i="82"/>
  <c r="I65" i="82"/>
  <c r="J65" i="82"/>
  <c r="K65" i="82"/>
  <c r="G66" i="82"/>
  <c r="H66" i="82"/>
  <c r="I66" i="82"/>
  <c r="J66" i="82"/>
  <c r="K66" i="82"/>
  <c r="G67" i="82"/>
  <c r="H67" i="82"/>
  <c r="I67" i="82"/>
  <c r="J67" i="82"/>
  <c r="K67" i="82"/>
  <c r="G68" i="82"/>
  <c r="H68" i="82"/>
  <c r="I68" i="82"/>
  <c r="J68" i="82"/>
  <c r="K68" i="82"/>
  <c r="G69" i="82"/>
  <c r="H69" i="82"/>
  <c r="I69" i="82"/>
  <c r="J69" i="82"/>
  <c r="K69" i="82"/>
  <c r="G70" i="82"/>
  <c r="H70" i="82"/>
  <c r="I70" i="82"/>
  <c r="J70" i="82"/>
  <c r="K70" i="82"/>
  <c r="G71" i="82"/>
  <c r="H71" i="82"/>
  <c r="I71" i="82"/>
  <c r="J71" i="82"/>
  <c r="K71" i="82"/>
  <c r="G72" i="82"/>
  <c r="H72" i="82"/>
  <c r="I72" i="82"/>
  <c r="J72" i="82"/>
  <c r="K72" i="82"/>
  <c r="G73" i="82"/>
  <c r="H73" i="82"/>
  <c r="I73" i="82"/>
  <c r="J73" i="82"/>
  <c r="K73" i="82"/>
  <c r="G74" i="82"/>
  <c r="H74" i="82"/>
  <c r="I74" i="82"/>
  <c r="J74" i="82"/>
  <c r="K74" i="82"/>
  <c r="G75" i="82"/>
  <c r="H75" i="82"/>
  <c r="I75" i="82"/>
  <c r="J75" i="82"/>
  <c r="K75" i="82"/>
  <c r="G76" i="82"/>
  <c r="H76" i="82"/>
  <c r="I76" i="82"/>
  <c r="J76" i="82"/>
  <c r="K76" i="82"/>
  <c r="G77" i="82"/>
  <c r="H77" i="82"/>
  <c r="I77" i="82"/>
  <c r="J77" i="82"/>
  <c r="K77" i="82"/>
  <c r="G78" i="82"/>
  <c r="H78" i="82"/>
  <c r="I78" i="82"/>
  <c r="J78" i="82"/>
  <c r="K78" i="82"/>
  <c r="G79" i="82"/>
  <c r="H79" i="82"/>
  <c r="I79" i="82"/>
  <c r="J79" i="82"/>
  <c r="K79" i="82"/>
  <c r="G80" i="82"/>
  <c r="H80" i="82"/>
  <c r="I80" i="82"/>
  <c r="J80" i="82"/>
  <c r="K80" i="82"/>
  <c r="G81" i="82"/>
  <c r="H81" i="82"/>
  <c r="I81" i="82"/>
  <c r="J81" i="82"/>
  <c r="K81" i="82"/>
  <c r="G82" i="82"/>
  <c r="H82" i="82"/>
  <c r="I82" i="82"/>
  <c r="J82" i="82"/>
  <c r="K82" i="82"/>
  <c r="G83" i="82"/>
  <c r="H83" i="82"/>
  <c r="I83" i="82"/>
  <c r="J83" i="82"/>
  <c r="K83" i="82"/>
  <c r="G84" i="82"/>
  <c r="H84" i="82"/>
  <c r="I84" i="82"/>
  <c r="J84" i="82"/>
  <c r="K84" i="82"/>
  <c r="G85" i="82"/>
  <c r="H85" i="82"/>
  <c r="I85" i="82"/>
  <c r="J85" i="82"/>
  <c r="K85" i="82"/>
  <c r="G86" i="82"/>
  <c r="H86" i="82"/>
  <c r="I86" i="82"/>
  <c r="J86" i="82"/>
  <c r="K86" i="82"/>
  <c r="G87" i="82"/>
  <c r="H87" i="82"/>
  <c r="I87" i="82"/>
  <c r="J87" i="82"/>
  <c r="K87" i="82"/>
  <c r="G88" i="82"/>
  <c r="H88" i="82"/>
  <c r="I88" i="82"/>
  <c r="J88" i="82"/>
  <c r="K88" i="82"/>
  <c r="G89" i="82"/>
  <c r="H89" i="82"/>
  <c r="I89" i="82"/>
  <c r="J89" i="82"/>
  <c r="K89" i="82"/>
  <c r="G90" i="82"/>
  <c r="H90" i="82"/>
  <c r="I90" i="82"/>
  <c r="J90" i="82"/>
  <c r="K90" i="82"/>
  <c r="G91" i="82"/>
  <c r="H91" i="82"/>
  <c r="I91" i="82"/>
  <c r="J91" i="82"/>
  <c r="K91" i="82"/>
  <c r="G92" i="82"/>
  <c r="H92" i="82"/>
  <c r="I92" i="82"/>
  <c r="J92" i="82"/>
  <c r="K92" i="82"/>
  <c r="G93" i="82"/>
  <c r="H93" i="82"/>
  <c r="I93" i="82"/>
  <c r="J93" i="82"/>
  <c r="K93" i="82"/>
  <c r="G94" i="82"/>
  <c r="H94" i="82"/>
  <c r="I94" i="82"/>
  <c r="J94" i="82"/>
  <c r="K94" i="82"/>
  <c r="G95" i="82"/>
  <c r="H95" i="82"/>
  <c r="I95" i="82"/>
  <c r="J95" i="82"/>
  <c r="K95" i="82"/>
  <c r="G96" i="82"/>
  <c r="H96" i="82"/>
  <c r="I96" i="82"/>
  <c r="J96" i="82"/>
  <c r="K96" i="82"/>
  <c r="G97" i="82"/>
  <c r="H97" i="82"/>
  <c r="I97" i="82"/>
  <c r="J97" i="82"/>
  <c r="K97" i="82"/>
  <c r="G98" i="82"/>
  <c r="H98" i="82"/>
  <c r="I98" i="82"/>
  <c r="J98" i="82"/>
  <c r="K98" i="82"/>
  <c r="G99" i="82"/>
  <c r="H99" i="82"/>
  <c r="I99" i="82"/>
  <c r="J99" i="82"/>
  <c r="K99" i="82"/>
  <c r="G100" i="82"/>
  <c r="H100" i="82"/>
  <c r="I100" i="82"/>
  <c r="J100" i="82"/>
  <c r="K100" i="82"/>
  <c r="G101" i="82"/>
  <c r="H101" i="82"/>
  <c r="I101" i="82"/>
  <c r="J101" i="82"/>
  <c r="K101" i="82"/>
  <c r="G102" i="82"/>
  <c r="H102" i="82"/>
  <c r="I102" i="82"/>
  <c r="J102" i="82"/>
  <c r="K102" i="82"/>
  <c r="G103" i="82"/>
  <c r="H103" i="82"/>
  <c r="I103" i="82"/>
  <c r="J103" i="82"/>
  <c r="K103" i="82"/>
  <c r="G104" i="82"/>
  <c r="H104" i="82"/>
  <c r="I104" i="82"/>
  <c r="J104" i="82"/>
  <c r="K104" i="82"/>
  <c r="G105" i="82"/>
  <c r="H105" i="82"/>
  <c r="I105" i="82"/>
  <c r="J105" i="82"/>
  <c r="K105" i="82"/>
  <c r="G106" i="82"/>
  <c r="H106" i="82"/>
  <c r="I106" i="82"/>
  <c r="J106" i="82"/>
  <c r="K106" i="82"/>
  <c r="G107" i="82"/>
  <c r="H107" i="82"/>
  <c r="I107" i="82"/>
  <c r="J107" i="82"/>
  <c r="K107" i="82"/>
  <c r="G108" i="82"/>
  <c r="H108" i="82"/>
  <c r="I108" i="82"/>
  <c r="J108" i="82"/>
  <c r="K108" i="82"/>
  <c r="G109" i="82"/>
  <c r="H109" i="82"/>
  <c r="I109" i="82"/>
  <c r="J109" i="82"/>
  <c r="K109" i="82"/>
  <c r="G110" i="82"/>
  <c r="H110" i="82"/>
  <c r="I110" i="82"/>
  <c r="J110" i="82"/>
  <c r="K110" i="82"/>
  <c r="G111" i="82"/>
  <c r="H111" i="82"/>
  <c r="I111" i="82"/>
  <c r="J111" i="82"/>
  <c r="K111" i="82"/>
  <c r="G112" i="82"/>
  <c r="H112" i="82"/>
  <c r="I112" i="82"/>
  <c r="J112" i="82"/>
  <c r="K112" i="82"/>
  <c r="G113" i="82"/>
  <c r="H113" i="82"/>
  <c r="I113" i="82"/>
  <c r="J113" i="82"/>
  <c r="K113" i="82"/>
  <c r="G114" i="82"/>
  <c r="H114" i="82"/>
  <c r="I114" i="82"/>
  <c r="J114" i="82"/>
  <c r="K114" i="82"/>
  <c r="G115" i="82"/>
  <c r="H115" i="82"/>
  <c r="I115" i="82"/>
  <c r="J115" i="82"/>
  <c r="K115" i="82"/>
  <c r="G116" i="82"/>
  <c r="H116" i="82"/>
  <c r="I116" i="82"/>
  <c r="J116" i="82"/>
  <c r="K116" i="82"/>
  <c r="G117" i="82"/>
  <c r="H117" i="82"/>
  <c r="I117" i="82"/>
  <c r="J117" i="82"/>
  <c r="K117" i="82"/>
  <c r="G118" i="82"/>
  <c r="H118" i="82"/>
  <c r="I118" i="82"/>
  <c r="J118" i="82"/>
  <c r="K118" i="82"/>
  <c r="G119" i="82"/>
  <c r="H119" i="82"/>
  <c r="I119" i="82"/>
  <c r="J119" i="82"/>
  <c r="K119" i="82"/>
  <c r="G120" i="82"/>
  <c r="H120" i="82"/>
  <c r="I120" i="82"/>
  <c r="J120" i="82"/>
  <c r="K120" i="82"/>
  <c r="G121" i="82"/>
  <c r="H121" i="82"/>
  <c r="I121" i="82"/>
  <c r="J121" i="82"/>
  <c r="K121" i="82"/>
  <c r="G122" i="82"/>
  <c r="H122" i="82"/>
  <c r="I122" i="82"/>
  <c r="J122" i="82"/>
  <c r="K122" i="82"/>
  <c r="G123" i="82"/>
  <c r="H123" i="82"/>
  <c r="I123" i="82"/>
  <c r="J123" i="82"/>
  <c r="K123" i="82"/>
  <c r="G124" i="82"/>
  <c r="H124" i="82"/>
  <c r="I124" i="82"/>
  <c r="J124" i="82"/>
  <c r="K124" i="82"/>
  <c r="G125" i="82"/>
  <c r="H125" i="82"/>
  <c r="I125" i="82"/>
  <c r="J125" i="82"/>
  <c r="K125" i="82"/>
  <c r="G126" i="82"/>
  <c r="H126" i="82"/>
  <c r="I126" i="82"/>
  <c r="J126" i="82"/>
  <c r="K126" i="82"/>
  <c r="G127" i="82"/>
  <c r="H127" i="82"/>
  <c r="I127" i="82"/>
  <c r="J127" i="82"/>
  <c r="K127" i="82"/>
  <c r="G128" i="82"/>
  <c r="H128" i="82"/>
  <c r="I128" i="82"/>
  <c r="J128" i="82"/>
  <c r="K128" i="82"/>
  <c r="G129" i="82"/>
  <c r="H129" i="82"/>
  <c r="I129" i="82"/>
  <c r="J129" i="82"/>
  <c r="K129" i="82"/>
  <c r="G130" i="82"/>
  <c r="H130" i="82"/>
  <c r="I130" i="82"/>
  <c r="J130" i="82"/>
  <c r="K130" i="82"/>
  <c r="G131" i="82"/>
  <c r="H131" i="82"/>
  <c r="I131" i="82"/>
  <c r="J131" i="82"/>
  <c r="K131" i="82"/>
  <c r="G132" i="82"/>
  <c r="H132" i="82"/>
  <c r="I132" i="82"/>
  <c r="J132" i="82"/>
  <c r="K132" i="82"/>
  <c r="G133" i="82"/>
  <c r="H133" i="82"/>
  <c r="I133" i="82"/>
  <c r="J133" i="82"/>
  <c r="K133" i="82"/>
  <c r="G134" i="82"/>
  <c r="H134" i="82"/>
  <c r="I134" i="82"/>
  <c r="J134" i="82"/>
  <c r="K134" i="82"/>
  <c r="G135" i="82"/>
  <c r="H135" i="82"/>
  <c r="I135" i="82"/>
  <c r="J135" i="82"/>
  <c r="K135" i="82"/>
  <c r="G136" i="82"/>
  <c r="H136" i="82"/>
  <c r="I136" i="82"/>
  <c r="J136" i="82"/>
  <c r="K136" i="82"/>
  <c r="G137" i="82"/>
  <c r="H137" i="82"/>
  <c r="I137" i="82"/>
  <c r="J137" i="82"/>
  <c r="K137" i="82"/>
  <c r="G138" i="82"/>
  <c r="H138" i="82"/>
  <c r="I138" i="82"/>
  <c r="J138" i="82"/>
  <c r="K138" i="82"/>
  <c r="G139" i="82"/>
  <c r="H139" i="82"/>
  <c r="I139" i="82"/>
  <c r="J139" i="82"/>
  <c r="K139" i="82"/>
  <c r="G140" i="82"/>
  <c r="H140" i="82"/>
  <c r="I140" i="82"/>
  <c r="J140" i="82"/>
  <c r="K140" i="82"/>
  <c r="G141" i="82"/>
  <c r="H141" i="82"/>
  <c r="I141" i="82"/>
  <c r="J141" i="82"/>
  <c r="K141" i="82"/>
  <c r="G142" i="82"/>
  <c r="H142" i="82"/>
  <c r="I142" i="82"/>
  <c r="J142" i="82"/>
  <c r="K142" i="82"/>
  <c r="G143" i="82"/>
  <c r="H143" i="82"/>
  <c r="I143" i="82"/>
  <c r="J143" i="82"/>
  <c r="K143" i="82"/>
  <c r="G144" i="82"/>
  <c r="H144" i="82"/>
  <c r="I144" i="82"/>
  <c r="J144" i="82"/>
  <c r="K144" i="82"/>
  <c r="G145" i="82"/>
  <c r="H145" i="82"/>
  <c r="I145" i="82"/>
  <c r="J145" i="82"/>
  <c r="K145" i="82"/>
  <c r="G146" i="82"/>
  <c r="H146" i="82"/>
  <c r="I146" i="82"/>
  <c r="J146" i="82"/>
  <c r="K146" i="82"/>
  <c r="G147" i="82"/>
  <c r="H147" i="82"/>
  <c r="I147" i="82"/>
  <c r="J147" i="82"/>
  <c r="K147" i="82"/>
  <c r="G148" i="82"/>
  <c r="H148" i="82"/>
  <c r="I148" i="82"/>
  <c r="J148" i="82"/>
  <c r="K148" i="82"/>
  <c r="G149" i="82"/>
  <c r="H149" i="82"/>
  <c r="I149" i="82"/>
  <c r="J149" i="82"/>
  <c r="K149" i="82"/>
  <c r="G150" i="82"/>
  <c r="H150" i="82"/>
  <c r="I150" i="82"/>
  <c r="J150" i="82"/>
  <c r="K150" i="82"/>
  <c r="G151" i="82"/>
  <c r="H151" i="82"/>
  <c r="I151" i="82"/>
  <c r="J151" i="82"/>
  <c r="K151" i="82"/>
  <c r="G152" i="82"/>
  <c r="H152" i="82"/>
  <c r="I152" i="82"/>
  <c r="J152" i="82"/>
  <c r="K152" i="82"/>
  <c r="G153" i="82"/>
  <c r="H153" i="82"/>
  <c r="I153" i="82"/>
  <c r="J153" i="82"/>
  <c r="K153" i="82"/>
  <c r="G154" i="82"/>
  <c r="H154" i="82"/>
  <c r="I154" i="82"/>
  <c r="J154" i="82"/>
  <c r="K154" i="82"/>
  <c r="G155" i="82"/>
  <c r="H155" i="82"/>
  <c r="I155" i="82"/>
  <c r="J155" i="82"/>
  <c r="K155" i="82"/>
  <c r="G156" i="82"/>
  <c r="H156" i="82"/>
  <c r="I156" i="82"/>
  <c r="J156" i="82"/>
  <c r="K156" i="82"/>
  <c r="G157" i="82"/>
  <c r="H157" i="82"/>
  <c r="I157" i="82"/>
  <c r="J157" i="82"/>
  <c r="K157" i="82"/>
  <c r="G158" i="82"/>
  <c r="H158" i="82"/>
  <c r="I158" i="82"/>
  <c r="J158" i="82"/>
  <c r="K158" i="82"/>
  <c r="G159" i="82"/>
  <c r="H159" i="82"/>
  <c r="I159" i="82"/>
  <c r="J159" i="82"/>
  <c r="K159" i="82"/>
  <c r="G160" i="82"/>
  <c r="H160" i="82"/>
  <c r="I160" i="82"/>
  <c r="J160" i="82"/>
  <c r="K160" i="82"/>
  <c r="G161" i="82"/>
  <c r="H161" i="82"/>
  <c r="I161" i="82"/>
  <c r="J161" i="82"/>
  <c r="K161" i="82"/>
  <c r="G162" i="82"/>
  <c r="H162" i="82"/>
  <c r="I162" i="82"/>
  <c r="J162" i="82"/>
  <c r="K162" i="82"/>
  <c r="G163" i="82"/>
  <c r="H163" i="82"/>
  <c r="I163" i="82"/>
  <c r="J163" i="82"/>
  <c r="K163" i="82"/>
  <c r="G164" i="82"/>
  <c r="H164" i="82"/>
  <c r="I164" i="82"/>
  <c r="J164" i="82"/>
  <c r="K164" i="82"/>
  <c r="G165" i="82"/>
  <c r="H165" i="82"/>
  <c r="I165" i="82"/>
  <c r="J165" i="82"/>
  <c r="K165" i="82"/>
  <c r="G166" i="82"/>
  <c r="H166" i="82"/>
  <c r="I166" i="82"/>
  <c r="J166" i="82"/>
  <c r="K166" i="82"/>
  <c r="G167" i="82"/>
  <c r="H167" i="82"/>
  <c r="I167" i="82"/>
  <c r="J167" i="82"/>
  <c r="K167" i="82"/>
  <c r="G168" i="82"/>
  <c r="H168" i="82"/>
  <c r="I168" i="82"/>
  <c r="J168" i="82"/>
  <c r="K168" i="82"/>
  <c r="G169" i="82"/>
  <c r="H169" i="82"/>
  <c r="I169" i="82"/>
  <c r="J169" i="82"/>
  <c r="K169" i="82"/>
  <c r="G170" i="82"/>
  <c r="H170" i="82"/>
  <c r="I170" i="82"/>
  <c r="J170" i="82"/>
  <c r="K170" i="82"/>
  <c r="G171" i="82"/>
  <c r="H171" i="82"/>
  <c r="I171" i="82"/>
  <c r="J171" i="82"/>
  <c r="K171" i="82"/>
  <c r="G172" i="82"/>
  <c r="H172" i="82"/>
  <c r="I172" i="82"/>
  <c r="J172" i="82"/>
  <c r="K172" i="82"/>
  <c r="G173" i="82"/>
  <c r="H173" i="82"/>
  <c r="I173" i="82"/>
  <c r="J173" i="82"/>
  <c r="K173" i="82"/>
  <c r="G174" i="82"/>
  <c r="H174" i="82"/>
  <c r="I174" i="82"/>
  <c r="J174" i="82"/>
  <c r="K174" i="82"/>
  <c r="G175" i="82"/>
  <c r="H175" i="82"/>
  <c r="I175" i="82"/>
  <c r="J175" i="82"/>
  <c r="K175" i="82"/>
  <c r="G176" i="82"/>
  <c r="H176" i="82"/>
  <c r="I176" i="82"/>
  <c r="J176" i="82"/>
  <c r="K176" i="82"/>
  <c r="G177" i="82"/>
  <c r="H177" i="82"/>
  <c r="I177" i="82"/>
  <c r="J177" i="82"/>
  <c r="K177" i="82"/>
  <c r="G178" i="82"/>
  <c r="H178" i="82"/>
  <c r="I178" i="82"/>
  <c r="J178" i="82"/>
  <c r="K178" i="82"/>
  <c r="G179" i="82"/>
  <c r="H179" i="82"/>
  <c r="I179" i="82"/>
  <c r="J179" i="82"/>
  <c r="K179" i="82"/>
  <c r="G180" i="82"/>
  <c r="H180" i="82"/>
  <c r="I180" i="82"/>
  <c r="J180" i="82"/>
  <c r="K180" i="82"/>
  <c r="G181" i="82"/>
  <c r="H181" i="82"/>
  <c r="I181" i="82"/>
  <c r="J181" i="82"/>
  <c r="K181" i="82"/>
  <c r="G182" i="82"/>
  <c r="H182" i="82"/>
  <c r="I182" i="82"/>
  <c r="J182" i="82"/>
  <c r="K182" i="82"/>
  <c r="G183" i="82"/>
  <c r="H183" i="82"/>
  <c r="I183" i="82"/>
  <c r="J183" i="82"/>
  <c r="K183" i="82"/>
  <c r="G184" i="82"/>
  <c r="H184" i="82"/>
  <c r="I184" i="82"/>
  <c r="J184" i="82"/>
  <c r="K184" i="82"/>
  <c r="G185" i="82"/>
  <c r="H185" i="82"/>
  <c r="I185" i="82"/>
  <c r="J185" i="82"/>
  <c r="K185" i="82"/>
  <c r="G186" i="82"/>
  <c r="H186" i="82"/>
  <c r="I186" i="82"/>
  <c r="J186" i="82"/>
  <c r="K186" i="82"/>
  <c r="G187" i="82"/>
  <c r="H187" i="82"/>
  <c r="I187" i="82"/>
  <c r="J187" i="82"/>
  <c r="K187" i="82"/>
  <c r="G188" i="82"/>
  <c r="H188" i="82"/>
  <c r="I188" i="82"/>
  <c r="J188" i="82"/>
  <c r="K188" i="82"/>
  <c r="G189" i="82"/>
  <c r="H189" i="82"/>
  <c r="I189" i="82"/>
  <c r="J189" i="82"/>
  <c r="K189" i="82"/>
  <c r="G190" i="82"/>
  <c r="H190" i="82"/>
  <c r="I190" i="82"/>
  <c r="J190" i="82"/>
  <c r="K190" i="82"/>
  <c r="G191" i="82"/>
  <c r="H191" i="82"/>
  <c r="I191" i="82"/>
  <c r="J191" i="82"/>
  <c r="K191" i="82"/>
  <c r="G192" i="82"/>
  <c r="H192" i="82"/>
  <c r="I192" i="82"/>
  <c r="J192" i="82"/>
  <c r="K192" i="82"/>
  <c r="G193" i="82"/>
  <c r="H193" i="82"/>
  <c r="I193" i="82"/>
  <c r="J193" i="82"/>
  <c r="K193" i="82"/>
  <c r="G194" i="82"/>
  <c r="H194" i="82"/>
  <c r="I194" i="82"/>
  <c r="J194" i="82"/>
  <c r="K194" i="82"/>
  <c r="G195" i="82"/>
  <c r="H195" i="82"/>
  <c r="I195" i="82"/>
  <c r="J195" i="82"/>
  <c r="K195" i="82"/>
  <c r="G196" i="82"/>
  <c r="H196" i="82"/>
  <c r="I196" i="82"/>
  <c r="J196" i="82"/>
  <c r="K196" i="82"/>
  <c r="G197" i="82"/>
  <c r="H197" i="82"/>
  <c r="I197" i="82"/>
  <c r="J197" i="82"/>
  <c r="K197" i="82"/>
  <c r="G198" i="82"/>
  <c r="H198" i="82"/>
  <c r="I198" i="82"/>
  <c r="J198" i="82"/>
  <c r="K198" i="82"/>
  <c r="G199" i="82"/>
  <c r="H199" i="82"/>
  <c r="I199" i="82"/>
  <c r="J199" i="82"/>
  <c r="K199" i="82"/>
  <c r="G200" i="82"/>
  <c r="H200" i="82"/>
  <c r="I200" i="82"/>
  <c r="J200" i="82"/>
  <c r="K200" i="82"/>
  <c r="G201" i="82"/>
  <c r="H201" i="82"/>
  <c r="I201" i="82"/>
  <c r="J201" i="82"/>
  <c r="K201" i="82"/>
  <c r="G202" i="82"/>
  <c r="H202" i="82"/>
  <c r="I202" i="82"/>
  <c r="J202" i="82"/>
  <c r="K202" i="82"/>
  <c r="G203" i="82"/>
  <c r="H203" i="82"/>
  <c r="I203" i="82"/>
  <c r="J203" i="82"/>
  <c r="K203" i="82"/>
  <c r="G204" i="82"/>
  <c r="H204" i="82"/>
  <c r="I204" i="82"/>
  <c r="J204" i="82"/>
  <c r="K204" i="82"/>
  <c r="G205" i="82"/>
  <c r="H205" i="82"/>
  <c r="I205" i="82"/>
  <c r="J205" i="82"/>
  <c r="K205" i="82"/>
  <c r="G206" i="82"/>
  <c r="H206" i="82"/>
  <c r="I206" i="82"/>
  <c r="J206" i="82"/>
  <c r="K206" i="82"/>
  <c r="G207" i="82"/>
  <c r="H207" i="82"/>
  <c r="I207" i="82"/>
  <c r="J207" i="82"/>
  <c r="K207" i="82"/>
  <c r="G208" i="82"/>
  <c r="H208" i="82"/>
  <c r="I208" i="82"/>
  <c r="J208" i="82"/>
  <c r="K208" i="82"/>
  <c r="G209" i="82"/>
  <c r="H209" i="82"/>
  <c r="I209" i="82"/>
  <c r="J209" i="82"/>
  <c r="K209" i="82"/>
  <c r="G210" i="82"/>
  <c r="H210" i="82"/>
  <c r="I210" i="82"/>
  <c r="J210" i="82"/>
  <c r="K210" i="82"/>
  <c r="G211" i="82"/>
  <c r="H211" i="82"/>
  <c r="I211" i="82"/>
  <c r="J211" i="82"/>
  <c r="K211" i="82"/>
  <c r="G212" i="82"/>
  <c r="H212" i="82"/>
  <c r="I212" i="82"/>
  <c r="J212" i="82"/>
  <c r="K212" i="82"/>
  <c r="G213" i="82"/>
  <c r="H213" i="82"/>
  <c r="I213" i="82"/>
  <c r="J213" i="82"/>
  <c r="K213" i="82"/>
  <c r="G214" i="82"/>
  <c r="H214" i="82"/>
  <c r="I214" i="82"/>
  <c r="J214" i="82"/>
  <c r="K214" i="82"/>
  <c r="G215" i="82"/>
  <c r="H215" i="82"/>
  <c r="I215" i="82"/>
  <c r="J215" i="82"/>
  <c r="K215" i="82"/>
  <c r="G216" i="82"/>
  <c r="H216" i="82"/>
  <c r="I216" i="82"/>
  <c r="J216" i="82"/>
  <c r="K216" i="82"/>
  <c r="G217" i="82"/>
  <c r="H217" i="82"/>
  <c r="I217" i="82"/>
  <c r="J217" i="82"/>
  <c r="K217" i="82"/>
  <c r="G218" i="82"/>
  <c r="H218" i="82"/>
  <c r="I218" i="82"/>
  <c r="J218" i="82"/>
  <c r="K218" i="82"/>
  <c r="G219" i="82"/>
  <c r="H219" i="82"/>
  <c r="I219" i="82"/>
  <c r="J219" i="82"/>
  <c r="K219" i="82"/>
  <c r="G220" i="82"/>
  <c r="H220" i="82"/>
  <c r="I220" i="82"/>
  <c r="J220" i="82"/>
  <c r="K220" i="82"/>
  <c r="G221" i="82"/>
  <c r="H221" i="82"/>
  <c r="I221" i="82"/>
  <c r="J221" i="82"/>
  <c r="K221" i="82"/>
  <c r="G222" i="82"/>
  <c r="H222" i="82"/>
  <c r="I222" i="82"/>
  <c r="J222" i="82"/>
  <c r="K222" i="82"/>
  <c r="G223" i="82"/>
  <c r="H223" i="82"/>
  <c r="I223" i="82"/>
  <c r="J223" i="82"/>
  <c r="K223" i="82"/>
  <c r="G224" i="82"/>
  <c r="H224" i="82"/>
  <c r="I224" i="82"/>
  <c r="J224" i="82"/>
  <c r="K224" i="82"/>
  <c r="G225" i="82"/>
  <c r="H225" i="82"/>
  <c r="I225" i="82"/>
  <c r="J225" i="82"/>
  <c r="K225" i="82"/>
  <c r="G226" i="82"/>
  <c r="H226" i="82"/>
  <c r="I226" i="82"/>
  <c r="J226" i="82"/>
  <c r="K226" i="82"/>
  <c r="G227" i="82"/>
  <c r="H227" i="82"/>
  <c r="I227" i="82"/>
  <c r="J227" i="82"/>
  <c r="K227" i="82"/>
  <c r="G228" i="82"/>
  <c r="H228" i="82"/>
  <c r="I228" i="82"/>
  <c r="J228" i="82"/>
  <c r="K228" i="82"/>
  <c r="G229" i="82"/>
  <c r="H229" i="82"/>
  <c r="I229" i="82"/>
  <c r="J229" i="82"/>
  <c r="K229" i="82"/>
  <c r="G230" i="82"/>
  <c r="H230" i="82"/>
  <c r="I230" i="82"/>
  <c r="J230" i="82"/>
  <c r="K230" i="82"/>
  <c r="G231" i="82"/>
  <c r="H231" i="82"/>
  <c r="I231" i="82"/>
  <c r="J231" i="82"/>
  <c r="K231" i="82"/>
  <c r="G232" i="82"/>
  <c r="H232" i="82"/>
  <c r="I232" i="82"/>
  <c r="J232" i="82"/>
  <c r="K232" i="82"/>
  <c r="G233" i="82"/>
  <c r="H233" i="82"/>
  <c r="I233" i="82"/>
  <c r="J233" i="82"/>
  <c r="K233" i="82"/>
  <c r="G234" i="82"/>
  <c r="H234" i="82"/>
  <c r="I234" i="82"/>
  <c r="J234" i="82"/>
  <c r="K234" i="82"/>
  <c r="G235" i="82"/>
  <c r="H235" i="82"/>
  <c r="I235" i="82"/>
  <c r="J235" i="82"/>
  <c r="K235" i="82"/>
  <c r="G236" i="82"/>
  <c r="H236" i="82"/>
  <c r="I236" i="82"/>
  <c r="J236" i="82"/>
  <c r="K236" i="82"/>
  <c r="G237" i="82"/>
  <c r="H237" i="82"/>
  <c r="I237" i="82"/>
  <c r="J237" i="82"/>
  <c r="K237" i="82"/>
  <c r="G238" i="82"/>
  <c r="H238" i="82"/>
  <c r="I238" i="82"/>
  <c r="J238" i="82"/>
  <c r="K238" i="82"/>
  <c r="G239" i="82"/>
  <c r="H239" i="82"/>
  <c r="I239" i="82"/>
  <c r="J239" i="82"/>
  <c r="K239" i="82"/>
  <c r="G240" i="82"/>
  <c r="H240" i="82"/>
  <c r="I240" i="82"/>
  <c r="J240" i="82"/>
  <c r="K240" i="82"/>
  <c r="G241" i="82"/>
  <c r="H241" i="82"/>
  <c r="I241" i="82"/>
  <c r="J241" i="82"/>
  <c r="K241" i="82"/>
  <c r="G242" i="82"/>
  <c r="H242" i="82"/>
  <c r="I242" i="82"/>
  <c r="J242" i="82"/>
  <c r="K242" i="82"/>
  <c r="G243" i="82"/>
  <c r="H243" i="82"/>
  <c r="I243" i="82"/>
  <c r="J243" i="82"/>
  <c r="K243" i="82"/>
  <c r="G244" i="82"/>
  <c r="H244" i="82"/>
  <c r="I244" i="82"/>
  <c r="J244" i="82"/>
  <c r="K244" i="82"/>
  <c r="G245" i="82"/>
  <c r="H245" i="82"/>
  <c r="I245" i="82"/>
  <c r="J245" i="82"/>
  <c r="K245" i="82"/>
  <c r="G246" i="82"/>
  <c r="H246" i="82"/>
  <c r="I246" i="82"/>
  <c r="J246" i="82"/>
  <c r="K246" i="82"/>
  <c r="G247" i="82"/>
  <c r="H247" i="82"/>
  <c r="I247" i="82"/>
  <c r="J247" i="82"/>
  <c r="K247" i="82"/>
  <c r="G248" i="82"/>
  <c r="H248" i="82"/>
  <c r="I248" i="82"/>
  <c r="J248" i="82"/>
  <c r="K248" i="82"/>
  <c r="G249" i="82"/>
  <c r="H249" i="82"/>
  <c r="I249" i="82"/>
  <c r="J249" i="82"/>
  <c r="K249" i="82"/>
  <c r="G250" i="82"/>
  <c r="H250" i="82"/>
  <c r="I250" i="82"/>
  <c r="J250" i="82"/>
  <c r="K250" i="82"/>
  <c r="G251" i="82"/>
  <c r="H251" i="82"/>
  <c r="I251" i="82"/>
  <c r="J251" i="82"/>
  <c r="K251" i="82"/>
  <c r="G252" i="82"/>
  <c r="H252" i="82"/>
  <c r="I252" i="82"/>
  <c r="J252" i="82"/>
  <c r="K252" i="82"/>
  <c r="G253" i="82"/>
  <c r="H253" i="82"/>
  <c r="I253" i="82"/>
  <c r="J253" i="82"/>
  <c r="K253" i="82"/>
  <c r="G254" i="82"/>
  <c r="H254" i="82"/>
  <c r="I254" i="82"/>
  <c r="J254" i="82"/>
  <c r="K254" i="82"/>
  <c r="G255" i="82"/>
  <c r="H255" i="82"/>
  <c r="I255" i="82"/>
  <c r="J255" i="82"/>
  <c r="K255" i="82"/>
  <c r="G256" i="82"/>
  <c r="H256" i="82"/>
  <c r="I256" i="82"/>
  <c r="J256" i="82"/>
  <c r="K256" i="82"/>
  <c r="G257" i="82"/>
  <c r="H257" i="82"/>
  <c r="I257" i="82"/>
  <c r="J257" i="82"/>
  <c r="K257" i="82"/>
  <c r="G258" i="82"/>
  <c r="H258" i="82"/>
  <c r="I258" i="82"/>
  <c r="J258" i="82"/>
  <c r="K258" i="82"/>
  <c r="G259" i="82"/>
  <c r="H259" i="82"/>
  <c r="I259" i="82"/>
  <c r="J259" i="82"/>
  <c r="K259" i="82"/>
  <c r="G260" i="82"/>
  <c r="H260" i="82"/>
  <c r="I260" i="82"/>
  <c r="J260" i="82"/>
  <c r="K260" i="82"/>
  <c r="G261" i="82"/>
  <c r="H261" i="82"/>
  <c r="I261" i="82"/>
  <c r="J261" i="82"/>
  <c r="K261" i="82"/>
  <c r="G262" i="82"/>
  <c r="H262" i="82"/>
  <c r="I262" i="82"/>
  <c r="J262" i="82"/>
  <c r="K262" i="82"/>
  <c r="G263" i="82"/>
  <c r="H263" i="82"/>
  <c r="I263" i="82"/>
  <c r="J263" i="82"/>
  <c r="K263" i="82"/>
  <c r="G264" i="82"/>
  <c r="H264" i="82"/>
  <c r="I264" i="82"/>
  <c r="J264" i="82"/>
  <c r="K264" i="82"/>
  <c r="G265" i="82"/>
  <c r="H265" i="82"/>
  <c r="I265" i="82"/>
  <c r="J265" i="82"/>
  <c r="K265" i="82"/>
  <c r="G266" i="82"/>
  <c r="H266" i="82"/>
  <c r="I266" i="82"/>
  <c r="J266" i="82"/>
  <c r="K266" i="82"/>
  <c r="G267" i="82"/>
  <c r="H267" i="82"/>
  <c r="I267" i="82"/>
  <c r="J267" i="82"/>
  <c r="K267" i="82"/>
  <c r="G268" i="82"/>
  <c r="H268" i="82"/>
  <c r="I268" i="82"/>
  <c r="J268" i="82"/>
  <c r="K268" i="82"/>
  <c r="G269" i="82"/>
  <c r="H269" i="82"/>
  <c r="I269" i="82"/>
  <c r="J269" i="82"/>
  <c r="K269" i="82"/>
  <c r="G270" i="82"/>
  <c r="H270" i="82"/>
  <c r="I270" i="82"/>
  <c r="J270" i="82"/>
  <c r="K270" i="82"/>
  <c r="G271" i="82"/>
  <c r="H271" i="82"/>
  <c r="I271" i="82"/>
  <c r="J271" i="82"/>
  <c r="K271" i="82"/>
  <c r="G272" i="82"/>
  <c r="H272" i="82"/>
  <c r="I272" i="82"/>
  <c r="J272" i="82"/>
  <c r="K272" i="82"/>
  <c r="G273" i="82"/>
  <c r="H273" i="82"/>
  <c r="I273" i="82"/>
  <c r="J273" i="82"/>
  <c r="K273" i="82"/>
  <c r="G274" i="82"/>
  <c r="H274" i="82"/>
  <c r="I274" i="82"/>
  <c r="J274" i="82"/>
  <c r="K274" i="82"/>
  <c r="G275" i="82"/>
  <c r="H275" i="82"/>
  <c r="I275" i="82"/>
  <c r="J275" i="82"/>
  <c r="K275" i="82"/>
  <c r="G276" i="82"/>
  <c r="H276" i="82"/>
  <c r="I276" i="82"/>
  <c r="J276" i="82"/>
  <c r="K276" i="82"/>
  <c r="G277" i="82"/>
  <c r="H277" i="82"/>
  <c r="I277" i="82"/>
  <c r="J277" i="82"/>
  <c r="K277" i="82"/>
  <c r="G278" i="82"/>
  <c r="H278" i="82"/>
  <c r="I278" i="82"/>
  <c r="J278" i="82"/>
  <c r="K278" i="82"/>
  <c r="G279" i="82"/>
  <c r="H279" i="82"/>
  <c r="I279" i="82"/>
  <c r="J279" i="82"/>
  <c r="K279" i="82"/>
  <c r="G280" i="82"/>
  <c r="H280" i="82"/>
  <c r="I280" i="82"/>
  <c r="J280" i="82"/>
  <c r="K280" i="82"/>
  <c r="G281" i="82"/>
  <c r="H281" i="82"/>
  <c r="I281" i="82"/>
  <c r="J281" i="82"/>
  <c r="K281" i="82"/>
  <c r="G282" i="82"/>
  <c r="H282" i="82"/>
  <c r="I282" i="82"/>
  <c r="J282" i="82"/>
  <c r="K282" i="82"/>
  <c r="G283" i="82"/>
  <c r="H283" i="82"/>
  <c r="I283" i="82"/>
  <c r="J283" i="82"/>
  <c r="K283" i="82"/>
  <c r="G284" i="82"/>
  <c r="H284" i="82"/>
  <c r="I284" i="82"/>
  <c r="J284" i="82"/>
  <c r="K284" i="82"/>
  <c r="G285" i="82"/>
  <c r="H285" i="82"/>
  <c r="I285" i="82"/>
  <c r="J285" i="82"/>
  <c r="K285" i="82"/>
  <c r="G286" i="82"/>
  <c r="H286" i="82"/>
  <c r="I286" i="82"/>
  <c r="J286" i="82"/>
  <c r="K286" i="82"/>
  <c r="G287" i="82"/>
  <c r="H287" i="82"/>
  <c r="I287" i="82"/>
  <c r="J287" i="82"/>
  <c r="K287" i="82"/>
  <c r="G288" i="82"/>
  <c r="H288" i="82"/>
  <c r="I288" i="82"/>
  <c r="J288" i="82"/>
  <c r="K288" i="82"/>
  <c r="G289" i="82"/>
  <c r="H289" i="82"/>
  <c r="I289" i="82"/>
  <c r="J289" i="82"/>
  <c r="K289" i="82"/>
  <c r="G290" i="82"/>
  <c r="H290" i="82"/>
  <c r="I290" i="82"/>
  <c r="J290" i="82"/>
  <c r="K290" i="82"/>
  <c r="G291" i="82"/>
  <c r="H291" i="82"/>
  <c r="I291" i="82"/>
  <c r="J291" i="82"/>
  <c r="K291" i="82"/>
  <c r="G292" i="82"/>
  <c r="H292" i="82"/>
  <c r="I292" i="82"/>
  <c r="J292" i="82"/>
  <c r="K292" i="82"/>
  <c r="G293" i="82"/>
  <c r="H293" i="82"/>
  <c r="I293" i="82"/>
  <c r="J293" i="82"/>
  <c r="K293" i="82"/>
  <c r="G294" i="82"/>
  <c r="H294" i="82"/>
  <c r="I294" i="82"/>
  <c r="J294" i="82"/>
  <c r="K294" i="82"/>
  <c r="G295" i="82"/>
  <c r="H295" i="82"/>
  <c r="I295" i="82"/>
  <c r="J295" i="82"/>
  <c r="K295" i="82"/>
  <c r="G296" i="82"/>
  <c r="H296" i="82"/>
  <c r="I296" i="82"/>
  <c r="J296" i="82"/>
  <c r="K296" i="82"/>
  <c r="G297" i="82"/>
  <c r="H297" i="82"/>
  <c r="I297" i="82"/>
  <c r="J297" i="82"/>
  <c r="K297" i="82"/>
  <c r="G298" i="82"/>
  <c r="H298" i="82"/>
  <c r="I298" i="82"/>
  <c r="J298" i="82"/>
  <c r="K298" i="82"/>
  <c r="G299" i="82"/>
  <c r="H299" i="82"/>
  <c r="I299" i="82"/>
  <c r="J299" i="82"/>
  <c r="K299" i="82"/>
  <c r="G300" i="82"/>
  <c r="H300" i="82"/>
  <c r="I300" i="82"/>
  <c r="J300" i="82"/>
  <c r="K300" i="82"/>
  <c r="G301" i="82"/>
  <c r="H301" i="82"/>
  <c r="I301" i="82"/>
  <c r="J301" i="82"/>
  <c r="K301" i="82"/>
  <c r="G300" i="87"/>
  <c r="H300" i="87"/>
  <c r="I300" i="87"/>
  <c r="J300" i="87"/>
  <c r="K300" i="87"/>
  <c r="G301" i="87"/>
  <c r="H301" i="87"/>
  <c r="I301" i="87"/>
  <c r="J301" i="87"/>
  <c r="K301" i="87"/>
  <c r="G302" i="87"/>
  <c r="H302" i="87"/>
  <c r="I302" i="87"/>
  <c r="J302" i="87"/>
  <c r="K302" i="87"/>
  <c r="G303" i="87"/>
  <c r="H303" i="87"/>
  <c r="I303" i="87"/>
  <c r="J303" i="87"/>
  <c r="K303" i="87"/>
  <c r="G304" i="87"/>
  <c r="H304" i="87"/>
  <c r="I304" i="87"/>
  <c r="J304" i="87"/>
  <c r="K304" i="87"/>
  <c r="G305" i="87"/>
  <c r="H305" i="87"/>
  <c r="I305" i="87"/>
  <c r="J305" i="87"/>
  <c r="K305" i="87"/>
  <c r="G306" i="87"/>
  <c r="H306" i="87"/>
  <c r="I306" i="87"/>
  <c r="J306" i="87"/>
  <c r="K306" i="87"/>
  <c r="G307" i="87"/>
  <c r="H307" i="87"/>
  <c r="I307" i="87"/>
  <c r="J307" i="87"/>
  <c r="K307" i="87"/>
  <c r="G19" i="87"/>
  <c r="H19" i="87"/>
  <c r="I19" i="87"/>
  <c r="J19" i="87"/>
  <c r="K19" i="87"/>
  <c r="G20" i="87"/>
  <c r="H20" i="87"/>
  <c r="I20" i="87"/>
  <c r="J20" i="87"/>
  <c r="K20" i="87"/>
  <c r="G21" i="87"/>
  <c r="H21" i="87"/>
  <c r="I21" i="87"/>
  <c r="J21" i="87"/>
  <c r="K21" i="87"/>
  <c r="G22" i="87"/>
  <c r="H22" i="87"/>
  <c r="I22" i="87"/>
  <c r="J22" i="87"/>
  <c r="K22" i="87"/>
  <c r="G23" i="87"/>
  <c r="H23" i="87"/>
  <c r="I23" i="87"/>
  <c r="J23" i="87"/>
  <c r="K23" i="87"/>
  <c r="G24" i="87"/>
  <c r="H24" i="87"/>
  <c r="I24" i="87"/>
  <c r="J24" i="87"/>
  <c r="K24" i="87"/>
  <c r="G25" i="87"/>
  <c r="H25" i="87"/>
  <c r="I25" i="87"/>
  <c r="J25" i="87"/>
  <c r="K25" i="87"/>
  <c r="G26" i="87"/>
  <c r="H26" i="87"/>
  <c r="I26" i="87"/>
  <c r="J26" i="87"/>
  <c r="K26" i="87"/>
  <c r="G27" i="87"/>
  <c r="H27" i="87"/>
  <c r="I27" i="87"/>
  <c r="J27" i="87"/>
  <c r="K27" i="87"/>
  <c r="G28" i="87"/>
  <c r="H28" i="87"/>
  <c r="I28" i="87"/>
  <c r="J28" i="87"/>
  <c r="K28" i="87"/>
  <c r="G29" i="87"/>
  <c r="H29" i="87"/>
  <c r="I29" i="87"/>
  <c r="J29" i="87"/>
  <c r="K29" i="87"/>
  <c r="G30" i="87"/>
  <c r="H30" i="87"/>
  <c r="I30" i="87"/>
  <c r="J30" i="87"/>
  <c r="K30" i="87"/>
  <c r="G31" i="87"/>
  <c r="H31" i="87"/>
  <c r="I31" i="87"/>
  <c r="J31" i="87"/>
  <c r="K31" i="87"/>
  <c r="G32" i="87"/>
  <c r="H32" i="87"/>
  <c r="I32" i="87"/>
  <c r="J32" i="87"/>
  <c r="K32" i="87"/>
  <c r="G33" i="87"/>
  <c r="H33" i="87"/>
  <c r="I33" i="87"/>
  <c r="J33" i="87"/>
  <c r="K33" i="87"/>
  <c r="G34" i="87"/>
  <c r="H34" i="87"/>
  <c r="I34" i="87"/>
  <c r="J34" i="87"/>
  <c r="K34" i="87"/>
  <c r="G35" i="87"/>
  <c r="H35" i="87"/>
  <c r="I35" i="87"/>
  <c r="J35" i="87"/>
  <c r="K35" i="87"/>
  <c r="G36" i="87"/>
  <c r="H36" i="87"/>
  <c r="I36" i="87"/>
  <c r="J36" i="87"/>
  <c r="K36" i="87"/>
  <c r="G37" i="87"/>
  <c r="H37" i="87"/>
  <c r="I37" i="87"/>
  <c r="J37" i="87"/>
  <c r="K37" i="87"/>
  <c r="G38" i="87"/>
  <c r="H38" i="87"/>
  <c r="I38" i="87"/>
  <c r="J38" i="87"/>
  <c r="K38" i="87"/>
  <c r="G39" i="87"/>
  <c r="H39" i="87"/>
  <c r="I39" i="87"/>
  <c r="J39" i="87"/>
  <c r="K39" i="87"/>
  <c r="G40" i="87"/>
  <c r="H40" i="87"/>
  <c r="I40" i="87"/>
  <c r="J40" i="87"/>
  <c r="K40" i="87"/>
  <c r="G41" i="87"/>
  <c r="H41" i="87"/>
  <c r="I41" i="87"/>
  <c r="J41" i="87"/>
  <c r="K41" i="87"/>
  <c r="G42" i="87"/>
  <c r="H42" i="87"/>
  <c r="I42" i="87"/>
  <c r="J42" i="87"/>
  <c r="K42" i="87"/>
  <c r="G43" i="87"/>
  <c r="H43" i="87"/>
  <c r="I43" i="87"/>
  <c r="J43" i="87"/>
  <c r="K43" i="87"/>
  <c r="G44" i="87"/>
  <c r="H44" i="87"/>
  <c r="I44" i="87"/>
  <c r="J44" i="87"/>
  <c r="K44" i="87"/>
  <c r="G45" i="87"/>
  <c r="H45" i="87"/>
  <c r="I45" i="87"/>
  <c r="J45" i="87"/>
  <c r="K45" i="87"/>
  <c r="G46" i="87"/>
  <c r="H46" i="87"/>
  <c r="I46" i="87"/>
  <c r="J46" i="87"/>
  <c r="K46" i="87"/>
  <c r="G47" i="87"/>
  <c r="H47" i="87"/>
  <c r="I47" i="87"/>
  <c r="J47" i="87"/>
  <c r="K47" i="87"/>
  <c r="G48" i="87"/>
  <c r="H48" i="87"/>
  <c r="I48" i="87"/>
  <c r="J48" i="87"/>
  <c r="K48" i="87"/>
  <c r="G49" i="87"/>
  <c r="H49" i="87"/>
  <c r="I49" i="87"/>
  <c r="J49" i="87"/>
  <c r="K49" i="87"/>
  <c r="G50" i="87"/>
  <c r="H50" i="87"/>
  <c r="I50" i="87"/>
  <c r="J50" i="87"/>
  <c r="K50" i="87"/>
  <c r="G51" i="87"/>
  <c r="H51" i="87"/>
  <c r="I51" i="87"/>
  <c r="J51" i="87"/>
  <c r="K51" i="87"/>
  <c r="G52" i="87"/>
  <c r="H52" i="87"/>
  <c r="I52" i="87"/>
  <c r="J52" i="87"/>
  <c r="K52" i="87"/>
  <c r="G53" i="87"/>
  <c r="H53" i="87"/>
  <c r="I53" i="87"/>
  <c r="J53" i="87"/>
  <c r="K53" i="87"/>
  <c r="G54" i="87"/>
  <c r="H54" i="87"/>
  <c r="I54" i="87"/>
  <c r="J54" i="87"/>
  <c r="K54" i="87"/>
  <c r="G55" i="87"/>
  <c r="H55" i="87"/>
  <c r="I55" i="87"/>
  <c r="J55" i="87"/>
  <c r="K55" i="87"/>
  <c r="G56" i="87"/>
  <c r="H56" i="87"/>
  <c r="I56" i="87"/>
  <c r="J56" i="87"/>
  <c r="K56" i="87"/>
  <c r="G57" i="87"/>
  <c r="H57" i="87"/>
  <c r="I57" i="87"/>
  <c r="J57" i="87"/>
  <c r="K57" i="87"/>
  <c r="G58" i="87"/>
  <c r="H58" i="87"/>
  <c r="I58" i="87"/>
  <c r="J58" i="87"/>
  <c r="K58" i="87"/>
  <c r="G59" i="87"/>
  <c r="H59" i="87"/>
  <c r="I59" i="87"/>
  <c r="J59" i="87"/>
  <c r="K59" i="87"/>
  <c r="G60" i="87"/>
  <c r="H60" i="87"/>
  <c r="I60" i="87"/>
  <c r="J60" i="87"/>
  <c r="K60" i="87"/>
  <c r="G61" i="87"/>
  <c r="H61" i="87"/>
  <c r="I61" i="87"/>
  <c r="J61" i="87"/>
  <c r="K61" i="87"/>
  <c r="G62" i="87"/>
  <c r="H62" i="87"/>
  <c r="I62" i="87"/>
  <c r="J62" i="87"/>
  <c r="K62" i="87"/>
  <c r="G63" i="87"/>
  <c r="H63" i="87"/>
  <c r="I63" i="87"/>
  <c r="J63" i="87"/>
  <c r="K63" i="87"/>
  <c r="G64" i="87"/>
  <c r="H64" i="87"/>
  <c r="I64" i="87"/>
  <c r="J64" i="87"/>
  <c r="K64" i="87"/>
  <c r="G65" i="87"/>
  <c r="H65" i="87"/>
  <c r="I65" i="87"/>
  <c r="J65" i="87"/>
  <c r="K65" i="87"/>
  <c r="G66" i="87"/>
  <c r="H66" i="87"/>
  <c r="I66" i="87"/>
  <c r="J66" i="87"/>
  <c r="K66" i="87"/>
  <c r="G67" i="87"/>
  <c r="H67" i="87"/>
  <c r="I67" i="87"/>
  <c r="J67" i="87"/>
  <c r="K67" i="87"/>
  <c r="G68" i="87"/>
  <c r="H68" i="87"/>
  <c r="I68" i="87"/>
  <c r="J68" i="87"/>
  <c r="K68" i="87"/>
  <c r="G69" i="87"/>
  <c r="H69" i="87"/>
  <c r="I69" i="87"/>
  <c r="J69" i="87"/>
  <c r="K69" i="87"/>
  <c r="G70" i="87"/>
  <c r="H70" i="87"/>
  <c r="I70" i="87"/>
  <c r="J70" i="87"/>
  <c r="K70" i="87"/>
  <c r="G71" i="87"/>
  <c r="H71" i="87"/>
  <c r="I71" i="87"/>
  <c r="J71" i="87"/>
  <c r="K71" i="87"/>
  <c r="G72" i="87"/>
  <c r="H72" i="87"/>
  <c r="I72" i="87"/>
  <c r="J72" i="87"/>
  <c r="K72" i="87"/>
  <c r="G73" i="87"/>
  <c r="H73" i="87"/>
  <c r="I73" i="87"/>
  <c r="J73" i="87"/>
  <c r="K73" i="87"/>
  <c r="G74" i="87"/>
  <c r="H74" i="87"/>
  <c r="I74" i="87"/>
  <c r="J74" i="87"/>
  <c r="K74" i="87"/>
  <c r="G75" i="87"/>
  <c r="H75" i="87"/>
  <c r="I75" i="87"/>
  <c r="J75" i="87"/>
  <c r="K75" i="87"/>
  <c r="G76" i="87"/>
  <c r="H76" i="87"/>
  <c r="I76" i="87"/>
  <c r="J76" i="87"/>
  <c r="K76" i="87"/>
  <c r="G77" i="87"/>
  <c r="H77" i="87"/>
  <c r="I77" i="87"/>
  <c r="J77" i="87"/>
  <c r="K77" i="87"/>
  <c r="G78" i="87"/>
  <c r="H78" i="87"/>
  <c r="I78" i="87"/>
  <c r="J78" i="87"/>
  <c r="K78" i="87"/>
  <c r="G79" i="87"/>
  <c r="H79" i="87"/>
  <c r="I79" i="87"/>
  <c r="J79" i="87"/>
  <c r="K79" i="87"/>
  <c r="G80" i="87"/>
  <c r="H80" i="87"/>
  <c r="I80" i="87"/>
  <c r="J80" i="87"/>
  <c r="K80" i="87"/>
  <c r="G81" i="87"/>
  <c r="H81" i="87"/>
  <c r="I81" i="87"/>
  <c r="J81" i="87"/>
  <c r="K81" i="87"/>
  <c r="G82" i="87"/>
  <c r="H82" i="87"/>
  <c r="I82" i="87"/>
  <c r="J82" i="87"/>
  <c r="K82" i="87"/>
  <c r="G83" i="87"/>
  <c r="H83" i="87"/>
  <c r="I83" i="87"/>
  <c r="J83" i="87"/>
  <c r="K83" i="87"/>
  <c r="G84" i="87"/>
  <c r="H84" i="87"/>
  <c r="I84" i="87"/>
  <c r="J84" i="87"/>
  <c r="K84" i="87"/>
  <c r="G85" i="87"/>
  <c r="H85" i="87"/>
  <c r="I85" i="87"/>
  <c r="J85" i="87"/>
  <c r="K85" i="87"/>
  <c r="G86" i="87"/>
  <c r="H86" i="87"/>
  <c r="I86" i="87"/>
  <c r="J86" i="87"/>
  <c r="K86" i="87"/>
  <c r="G87" i="87"/>
  <c r="H87" i="87"/>
  <c r="I87" i="87"/>
  <c r="J87" i="87"/>
  <c r="K87" i="87"/>
  <c r="G88" i="87"/>
  <c r="H88" i="87"/>
  <c r="I88" i="87"/>
  <c r="J88" i="87"/>
  <c r="K88" i="87"/>
  <c r="G89" i="87"/>
  <c r="H89" i="87"/>
  <c r="I89" i="87"/>
  <c r="J89" i="87"/>
  <c r="K89" i="87"/>
  <c r="G90" i="87"/>
  <c r="H90" i="87"/>
  <c r="I90" i="87"/>
  <c r="J90" i="87"/>
  <c r="K90" i="87"/>
  <c r="G91" i="87"/>
  <c r="H91" i="87"/>
  <c r="I91" i="87"/>
  <c r="J91" i="87"/>
  <c r="K91" i="87"/>
  <c r="G92" i="87"/>
  <c r="H92" i="87"/>
  <c r="I92" i="87"/>
  <c r="J92" i="87"/>
  <c r="K92" i="87"/>
  <c r="G93" i="87"/>
  <c r="H93" i="87"/>
  <c r="I93" i="87"/>
  <c r="J93" i="87"/>
  <c r="K93" i="87"/>
  <c r="G94" i="87"/>
  <c r="H94" i="87"/>
  <c r="I94" i="87"/>
  <c r="J94" i="87"/>
  <c r="K94" i="87"/>
  <c r="G95" i="87"/>
  <c r="H95" i="87"/>
  <c r="I95" i="87"/>
  <c r="J95" i="87"/>
  <c r="K95" i="87"/>
  <c r="G96" i="87"/>
  <c r="H96" i="87"/>
  <c r="I96" i="87"/>
  <c r="J96" i="87"/>
  <c r="K96" i="87"/>
  <c r="G97" i="87"/>
  <c r="H97" i="87"/>
  <c r="I97" i="87"/>
  <c r="J97" i="87"/>
  <c r="K97" i="87"/>
  <c r="G98" i="87"/>
  <c r="H98" i="87"/>
  <c r="I98" i="87"/>
  <c r="J98" i="87"/>
  <c r="K98" i="87"/>
  <c r="G99" i="87"/>
  <c r="H99" i="87"/>
  <c r="I99" i="87"/>
  <c r="J99" i="87"/>
  <c r="K99" i="87"/>
  <c r="G100" i="87"/>
  <c r="H100" i="87"/>
  <c r="I100" i="87"/>
  <c r="J100" i="87"/>
  <c r="K100" i="87"/>
  <c r="G101" i="87"/>
  <c r="H101" i="87"/>
  <c r="I101" i="87"/>
  <c r="J101" i="87"/>
  <c r="K101" i="87"/>
  <c r="G102" i="87"/>
  <c r="H102" i="87"/>
  <c r="I102" i="87"/>
  <c r="J102" i="87"/>
  <c r="K102" i="87"/>
  <c r="G103" i="87"/>
  <c r="H103" i="87"/>
  <c r="I103" i="87"/>
  <c r="J103" i="87"/>
  <c r="K103" i="87"/>
  <c r="G104" i="87"/>
  <c r="H104" i="87"/>
  <c r="I104" i="87"/>
  <c r="J104" i="87"/>
  <c r="K104" i="87"/>
  <c r="G105" i="87"/>
  <c r="H105" i="87"/>
  <c r="I105" i="87"/>
  <c r="J105" i="87"/>
  <c r="K105" i="87"/>
  <c r="G106" i="87"/>
  <c r="H106" i="87"/>
  <c r="I106" i="87"/>
  <c r="J106" i="87"/>
  <c r="K106" i="87"/>
  <c r="G107" i="87"/>
  <c r="H107" i="87"/>
  <c r="I107" i="87"/>
  <c r="J107" i="87"/>
  <c r="K107" i="87"/>
  <c r="G108" i="87"/>
  <c r="H108" i="87"/>
  <c r="I108" i="87"/>
  <c r="J108" i="87"/>
  <c r="K108" i="87"/>
  <c r="G109" i="87"/>
  <c r="H109" i="87"/>
  <c r="I109" i="87"/>
  <c r="J109" i="87"/>
  <c r="K109" i="87"/>
  <c r="G110" i="87"/>
  <c r="H110" i="87"/>
  <c r="I110" i="87"/>
  <c r="J110" i="87"/>
  <c r="K110" i="87"/>
  <c r="G111" i="87"/>
  <c r="H111" i="87"/>
  <c r="I111" i="87"/>
  <c r="J111" i="87"/>
  <c r="K111" i="87"/>
  <c r="G112" i="87"/>
  <c r="H112" i="87"/>
  <c r="I112" i="87"/>
  <c r="J112" i="87"/>
  <c r="K112" i="87"/>
  <c r="G113" i="87"/>
  <c r="H113" i="87"/>
  <c r="I113" i="87"/>
  <c r="J113" i="87"/>
  <c r="K113" i="87"/>
  <c r="G114" i="87"/>
  <c r="H114" i="87"/>
  <c r="I114" i="87"/>
  <c r="J114" i="87"/>
  <c r="K114" i="87"/>
  <c r="G115" i="87"/>
  <c r="H115" i="87"/>
  <c r="I115" i="87"/>
  <c r="J115" i="87"/>
  <c r="K115" i="87"/>
  <c r="G116" i="87"/>
  <c r="H116" i="87"/>
  <c r="I116" i="87"/>
  <c r="J116" i="87"/>
  <c r="K116" i="87"/>
  <c r="G117" i="87"/>
  <c r="H117" i="87"/>
  <c r="I117" i="87"/>
  <c r="J117" i="87"/>
  <c r="K117" i="87"/>
  <c r="G118" i="87"/>
  <c r="H118" i="87"/>
  <c r="I118" i="87"/>
  <c r="J118" i="87"/>
  <c r="K118" i="87"/>
  <c r="G119" i="87"/>
  <c r="H119" i="87"/>
  <c r="I119" i="87"/>
  <c r="J119" i="87"/>
  <c r="K119" i="87"/>
  <c r="G120" i="87"/>
  <c r="H120" i="87"/>
  <c r="I120" i="87"/>
  <c r="J120" i="87"/>
  <c r="K120" i="87"/>
  <c r="G121" i="87"/>
  <c r="H121" i="87"/>
  <c r="I121" i="87"/>
  <c r="J121" i="87"/>
  <c r="K121" i="87"/>
  <c r="G122" i="87"/>
  <c r="H122" i="87"/>
  <c r="I122" i="87"/>
  <c r="J122" i="87"/>
  <c r="K122" i="87"/>
  <c r="G123" i="87"/>
  <c r="H123" i="87"/>
  <c r="I123" i="87"/>
  <c r="J123" i="87"/>
  <c r="K123" i="87"/>
  <c r="G124" i="87"/>
  <c r="H124" i="87"/>
  <c r="I124" i="87"/>
  <c r="J124" i="87"/>
  <c r="K124" i="87"/>
  <c r="G125" i="87"/>
  <c r="H125" i="87"/>
  <c r="I125" i="87"/>
  <c r="J125" i="87"/>
  <c r="K125" i="87"/>
  <c r="G126" i="87"/>
  <c r="H126" i="87"/>
  <c r="I126" i="87"/>
  <c r="J126" i="87"/>
  <c r="K126" i="87"/>
  <c r="G127" i="87"/>
  <c r="H127" i="87"/>
  <c r="I127" i="87"/>
  <c r="J127" i="87"/>
  <c r="K127" i="87"/>
  <c r="G128" i="87"/>
  <c r="H128" i="87"/>
  <c r="I128" i="87"/>
  <c r="J128" i="87"/>
  <c r="K128" i="87"/>
  <c r="G129" i="87"/>
  <c r="H129" i="87"/>
  <c r="I129" i="87"/>
  <c r="J129" i="87"/>
  <c r="K129" i="87"/>
  <c r="G130" i="87"/>
  <c r="H130" i="87"/>
  <c r="I130" i="87"/>
  <c r="J130" i="87"/>
  <c r="K130" i="87"/>
  <c r="G131" i="87"/>
  <c r="H131" i="87"/>
  <c r="I131" i="87"/>
  <c r="J131" i="87"/>
  <c r="K131" i="87"/>
  <c r="G132" i="87"/>
  <c r="H132" i="87"/>
  <c r="I132" i="87"/>
  <c r="J132" i="87"/>
  <c r="K132" i="87"/>
  <c r="G133" i="87"/>
  <c r="H133" i="87"/>
  <c r="I133" i="87"/>
  <c r="J133" i="87"/>
  <c r="K133" i="87"/>
  <c r="G134" i="87"/>
  <c r="H134" i="87"/>
  <c r="I134" i="87"/>
  <c r="J134" i="87"/>
  <c r="K134" i="87"/>
  <c r="G135" i="87"/>
  <c r="H135" i="87"/>
  <c r="I135" i="87"/>
  <c r="J135" i="87"/>
  <c r="K135" i="87"/>
  <c r="G136" i="87"/>
  <c r="H136" i="87"/>
  <c r="I136" i="87"/>
  <c r="J136" i="87"/>
  <c r="K136" i="87"/>
  <c r="G137" i="87"/>
  <c r="H137" i="87"/>
  <c r="I137" i="87"/>
  <c r="J137" i="87"/>
  <c r="K137" i="87"/>
  <c r="G138" i="87"/>
  <c r="H138" i="87"/>
  <c r="I138" i="87"/>
  <c r="J138" i="87"/>
  <c r="K138" i="87"/>
  <c r="G139" i="87"/>
  <c r="H139" i="87"/>
  <c r="I139" i="87"/>
  <c r="J139" i="87"/>
  <c r="K139" i="87"/>
  <c r="G140" i="87"/>
  <c r="H140" i="87"/>
  <c r="I140" i="87"/>
  <c r="J140" i="87"/>
  <c r="K140" i="87"/>
  <c r="G141" i="87"/>
  <c r="H141" i="87"/>
  <c r="I141" i="87"/>
  <c r="J141" i="87"/>
  <c r="K141" i="87"/>
  <c r="G142" i="87"/>
  <c r="H142" i="87"/>
  <c r="I142" i="87"/>
  <c r="J142" i="87"/>
  <c r="K142" i="87"/>
  <c r="G143" i="87"/>
  <c r="H143" i="87"/>
  <c r="I143" i="87"/>
  <c r="J143" i="87"/>
  <c r="K143" i="87"/>
  <c r="G144" i="87"/>
  <c r="H144" i="87"/>
  <c r="I144" i="87"/>
  <c r="J144" i="87"/>
  <c r="K144" i="87"/>
  <c r="G145" i="87"/>
  <c r="H145" i="87"/>
  <c r="I145" i="87"/>
  <c r="J145" i="87"/>
  <c r="K145" i="87"/>
  <c r="G146" i="87"/>
  <c r="H146" i="87"/>
  <c r="I146" i="87"/>
  <c r="J146" i="87"/>
  <c r="K146" i="87"/>
  <c r="G147" i="87"/>
  <c r="H147" i="87"/>
  <c r="I147" i="87"/>
  <c r="J147" i="87"/>
  <c r="K147" i="87"/>
  <c r="G148" i="87"/>
  <c r="H148" i="87"/>
  <c r="I148" i="87"/>
  <c r="J148" i="87"/>
  <c r="K148" i="87"/>
  <c r="G149" i="87"/>
  <c r="H149" i="87"/>
  <c r="I149" i="87"/>
  <c r="J149" i="87"/>
  <c r="K149" i="87"/>
  <c r="G150" i="87"/>
  <c r="H150" i="87"/>
  <c r="I150" i="87"/>
  <c r="J150" i="87"/>
  <c r="K150" i="87"/>
  <c r="G151" i="87"/>
  <c r="H151" i="87"/>
  <c r="I151" i="87"/>
  <c r="J151" i="87"/>
  <c r="K151" i="87"/>
  <c r="G152" i="87"/>
  <c r="H152" i="87"/>
  <c r="I152" i="87"/>
  <c r="J152" i="87"/>
  <c r="K152" i="87"/>
  <c r="G153" i="87"/>
  <c r="H153" i="87"/>
  <c r="I153" i="87"/>
  <c r="J153" i="87"/>
  <c r="K153" i="87"/>
  <c r="G154" i="87"/>
  <c r="H154" i="87"/>
  <c r="I154" i="87"/>
  <c r="J154" i="87"/>
  <c r="K154" i="87"/>
  <c r="G155" i="87"/>
  <c r="H155" i="87"/>
  <c r="I155" i="87"/>
  <c r="J155" i="87"/>
  <c r="K155" i="87"/>
  <c r="G156" i="87"/>
  <c r="H156" i="87"/>
  <c r="I156" i="87"/>
  <c r="J156" i="87"/>
  <c r="K156" i="87"/>
  <c r="G157" i="87"/>
  <c r="H157" i="87"/>
  <c r="I157" i="87"/>
  <c r="J157" i="87"/>
  <c r="K157" i="87"/>
  <c r="G158" i="87"/>
  <c r="H158" i="87"/>
  <c r="I158" i="87"/>
  <c r="J158" i="87"/>
  <c r="K158" i="87"/>
  <c r="G159" i="87"/>
  <c r="H159" i="87"/>
  <c r="I159" i="87"/>
  <c r="J159" i="87"/>
  <c r="K159" i="87"/>
  <c r="G160" i="87"/>
  <c r="H160" i="87"/>
  <c r="I160" i="87"/>
  <c r="J160" i="87"/>
  <c r="K160" i="87"/>
  <c r="G161" i="87"/>
  <c r="H161" i="87"/>
  <c r="I161" i="87"/>
  <c r="J161" i="87"/>
  <c r="K161" i="87"/>
  <c r="G162" i="87"/>
  <c r="H162" i="87"/>
  <c r="I162" i="87"/>
  <c r="J162" i="87"/>
  <c r="K162" i="87"/>
  <c r="G163" i="87"/>
  <c r="H163" i="87"/>
  <c r="I163" i="87"/>
  <c r="J163" i="87"/>
  <c r="K163" i="87"/>
  <c r="G164" i="87"/>
  <c r="H164" i="87"/>
  <c r="I164" i="87"/>
  <c r="J164" i="87"/>
  <c r="K164" i="87"/>
  <c r="G165" i="87"/>
  <c r="H165" i="87"/>
  <c r="I165" i="87"/>
  <c r="J165" i="87"/>
  <c r="K165" i="87"/>
  <c r="G166" i="87"/>
  <c r="H166" i="87"/>
  <c r="I166" i="87"/>
  <c r="J166" i="87"/>
  <c r="K166" i="87"/>
  <c r="G167" i="87"/>
  <c r="H167" i="87"/>
  <c r="I167" i="87"/>
  <c r="J167" i="87"/>
  <c r="K167" i="87"/>
  <c r="G168" i="87"/>
  <c r="H168" i="87"/>
  <c r="I168" i="87"/>
  <c r="J168" i="87"/>
  <c r="K168" i="87"/>
  <c r="G169" i="87"/>
  <c r="H169" i="87"/>
  <c r="I169" i="87"/>
  <c r="J169" i="87"/>
  <c r="K169" i="87"/>
  <c r="G170" i="87"/>
  <c r="H170" i="87"/>
  <c r="I170" i="87"/>
  <c r="J170" i="87"/>
  <c r="K170" i="87"/>
  <c r="G171" i="87"/>
  <c r="H171" i="87"/>
  <c r="I171" i="87"/>
  <c r="J171" i="87"/>
  <c r="K171" i="87"/>
  <c r="G172" i="87"/>
  <c r="H172" i="87"/>
  <c r="I172" i="87"/>
  <c r="J172" i="87"/>
  <c r="K172" i="87"/>
  <c r="G173" i="87"/>
  <c r="H173" i="87"/>
  <c r="I173" i="87"/>
  <c r="J173" i="87"/>
  <c r="K173" i="87"/>
  <c r="G174" i="87"/>
  <c r="H174" i="87"/>
  <c r="I174" i="87"/>
  <c r="J174" i="87"/>
  <c r="K174" i="87"/>
  <c r="G175" i="87"/>
  <c r="H175" i="87"/>
  <c r="I175" i="87"/>
  <c r="J175" i="87"/>
  <c r="K175" i="87"/>
  <c r="G176" i="87"/>
  <c r="H176" i="87"/>
  <c r="I176" i="87"/>
  <c r="J176" i="87"/>
  <c r="K176" i="87"/>
  <c r="G177" i="87"/>
  <c r="H177" i="87"/>
  <c r="I177" i="87"/>
  <c r="J177" i="87"/>
  <c r="K177" i="87"/>
  <c r="G178" i="87"/>
  <c r="H178" i="87"/>
  <c r="I178" i="87"/>
  <c r="J178" i="87"/>
  <c r="K178" i="87"/>
  <c r="G179" i="87"/>
  <c r="H179" i="87"/>
  <c r="I179" i="87"/>
  <c r="J179" i="87"/>
  <c r="K179" i="87"/>
  <c r="G180" i="87"/>
  <c r="H180" i="87"/>
  <c r="I180" i="87"/>
  <c r="J180" i="87"/>
  <c r="K180" i="87"/>
  <c r="G181" i="87"/>
  <c r="H181" i="87"/>
  <c r="I181" i="87"/>
  <c r="J181" i="87"/>
  <c r="K181" i="87"/>
  <c r="G182" i="87"/>
  <c r="H182" i="87"/>
  <c r="I182" i="87"/>
  <c r="J182" i="87"/>
  <c r="K182" i="87"/>
  <c r="G183" i="87"/>
  <c r="H183" i="87"/>
  <c r="I183" i="87"/>
  <c r="J183" i="87"/>
  <c r="K183" i="87"/>
  <c r="G184" i="87"/>
  <c r="H184" i="87"/>
  <c r="I184" i="87"/>
  <c r="J184" i="87"/>
  <c r="K184" i="87"/>
  <c r="G185" i="87"/>
  <c r="H185" i="87"/>
  <c r="I185" i="87"/>
  <c r="J185" i="87"/>
  <c r="K185" i="87"/>
  <c r="G186" i="87"/>
  <c r="H186" i="87"/>
  <c r="I186" i="87"/>
  <c r="J186" i="87"/>
  <c r="K186" i="87"/>
  <c r="G187" i="87"/>
  <c r="H187" i="87"/>
  <c r="I187" i="87"/>
  <c r="J187" i="87"/>
  <c r="K187" i="87"/>
  <c r="G188" i="87"/>
  <c r="H188" i="87"/>
  <c r="I188" i="87"/>
  <c r="J188" i="87"/>
  <c r="K188" i="87"/>
  <c r="G189" i="87"/>
  <c r="H189" i="87"/>
  <c r="I189" i="87"/>
  <c r="J189" i="87"/>
  <c r="K189" i="87"/>
  <c r="G190" i="87"/>
  <c r="H190" i="87"/>
  <c r="I190" i="87"/>
  <c r="J190" i="87"/>
  <c r="K190" i="87"/>
  <c r="G191" i="87"/>
  <c r="H191" i="87"/>
  <c r="I191" i="87"/>
  <c r="J191" i="87"/>
  <c r="K191" i="87"/>
  <c r="G192" i="87"/>
  <c r="H192" i="87"/>
  <c r="I192" i="87"/>
  <c r="J192" i="87"/>
  <c r="K192" i="87"/>
  <c r="G193" i="87"/>
  <c r="H193" i="87"/>
  <c r="I193" i="87"/>
  <c r="J193" i="87"/>
  <c r="K193" i="87"/>
  <c r="G194" i="87"/>
  <c r="H194" i="87"/>
  <c r="I194" i="87"/>
  <c r="J194" i="87"/>
  <c r="K194" i="87"/>
  <c r="G195" i="87"/>
  <c r="H195" i="87"/>
  <c r="I195" i="87"/>
  <c r="J195" i="87"/>
  <c r="K195" i="87"/>
  <c r="G196" i="87"/>
  <c r="H196" i="87"/>
  <c r="I196" i="87"/>
  <c r="J196" i="87"/>
  <c r="K196" i="87"/>
  <c r="G197" i="87"/>
  <c r="H197" i="87"/>
  <c r="I197" i="87"/>
  <c r="J197" i="87"/>
  <c r="K197" i="87"/>
  <c r="G198" i="87"/>
  <c r="H198" i="87"/>
  <c r="I198" i="87"/>
  <c r="J198" i="87"/>
  <c r="K198" i="87"/>
  <c r="G199" i="87"/>
  <c r="H199" i="87"/>
  <c r="I199" i="87"/>
  <c r="J199" i="87"/>
  <c r="K199" i="87"/>
  <c r="G200" i="87"/>
  <c r="H200" i="87"/>
  <c r="I200" i="87"/>
  <c r="J200" i="87"/>
  <c r="K200" i="87"/>
  <c r="G201" i="87"/>
  <c r="H201" i="87"/>
  <c r="I201" i="87"/>
  <c r="J201" i="87"/>
  <c r="K201" i="87"/>
  <c r="G202" i="87"/>
  <c r="H202" i="87"/>
  <c r="I202" i="87"/>
  <c r="J202" i="87"/>
  <c r="K202" i="87"/>
  <c r="G203" i="87"/>
  <c r="H203" i="87"/>
  <c r="I203" i="87"/>
  <c r="J203" i="87"/>
  <c r="K203" i="87"/>
  <c r="G204" i="87"/>
  <c r="H204" i="87"/>
  <c r="I204" i="87"/>
  <c r="J204" i="87"/>
  <c r="K204" i="87"/>
  <c r="G205" i="87"/>
  <c r="H205" i="87"/>
  <c r="I205" i="87"/>
  <c r="J205" i="87"/>
  <c r="K205" i="87"/>
  <c r="G206" i="87"/>
  <c r="H206" i="87"/>
  <c r="I206" i="87"/>
  <c r="J206" i="87"/>
  <c r="K206" i="87"/>
  <c r="G207" i="87"/>
  <c r="H207" i="87"/>
  <c r="I207" i="87"/>
  <c r="J207" i="87"/>
  <c r="K207" i="87"/>
  <c r="G208" i="87"/>
  <c r="H208" i="87"/>
  <c r="I208" i="87"/>
  <c r="J208" i="87"/>
  <c r="K208" i="87"/>
  <c r="G209" i="87"/>
  <c r="H209" i="87"/>
  <c r="I209" i="87"/>
  <c r="J209" i="87"/>
  <c r="K209" i="87"/>
  <c r="G210" i="87"/>
  <c r="H210" i="87"/>
  <c r="I210" i="87"/>
  <c r="J210" i="87"/>
  <c r="K210" i="87"/>
  <c r="G211" i="87"/>
  <c r="H211" i="87"/>
  <c r="I211" i="87"/>
  <c r="J211" i="87"/>
  <c r="K211" i="87"/>
  <c r="G212" i="87"/>
  <c r="H212" i="87"/>
  <c r="I212" i="87"/>
  <c r="J212" i="87"/>
  <c r="K212" i="87"/>
  <c r="G213" i="87"/>
  <c r="H213" i="87"/>
  <c r="I213" i="87"/>
  <c r="J213" i="87"/>
  <c r="K213" i="87"/>
  <c r="G214" i="87"/>
  <c r="H214" i="87"/>
  <c r="I214" i="87"/>
  <c r="J214" i="87"/>
  <c r="K214" i="87"/>
  <c r="G215" i="87"/>
  <c r="H215" i="87"/>
  <c r="I215" i="87"/>
  <c r="J215" i="87"/>
  <c r="K215" i="87"/>
  <c r="G216" i="87"/>
  <c r="H216" i="87"/>
  <c r="I216" i="87"/>
  <c r="J216" i="87"/>
  <c r="K216" i="87"/>
  <c r="G217" i="87"/>
  <c r="H217" i="87"/>
  <c r="I217" i="87"/>
  <c r="J217" i="87"/>
  <c r="K217" i="87"/>
  <c r="G218" i="87"/>
  <c r="H218" i="87"/>
  <c r="I218" i="87"/>
  <c r="J218" i="87"/>
  <c r="K218" i="87"/>
  <c r="G219" i="87"/>
  <c r="H219" i="87"/>
  <c r="I219" i="87"/>
  <c r="J219" i="87"/>
  <c r="K219" i="87"/>
  <c r="G220" i="87"/>
  <c r="H220" i="87"/>
  <c r="I220" i="87"/>
  <c r="J220" i="87"/>
  <c r="K220" i="87"/>
  <c r="G221" i="87"/>
  <c r="H221" i="87"/>
  <c r="I221" i="87"/>
  <c r="J221" i="87"/>
  <c r="K221" i="87"/>
  <c r="G222" i="87"/>
  <c r="H222" i="87"/>
  <c r="I222" i="87"/>
  <c r="J222" i="87"/>
  <c r="K222" i="87"/>
  <c r="G223" i="87"/>
  <c r="H223" i="87"/>
  <c r="I223" i="87"/>
  <c r="J223" i="87"/>
  <c r="K223" i="87"/>
  <c r="G224" i="87"/>
  <c r="H224" i="87"/>
  <c r="I224" i="87"/>
  <c r="J224" i="87"/>
  <c r="K224" i="87"/>
  <c r="G225" i="87"/>
  <c r="H225" i="87"/>
  <c r="I225" i="87"/>
  <c r="J225" i="87"/>
  <c r="K225" i="87"/>
  <c r="G226" i="87"/>
  <c r="H226" i="87"/>
  <c r="I226" i="87"/>
  <c r="J226" i="87"/>
  <c r="K226" i="87"/>
  <c r="G227" i="87"/>
  <c r="H227" i="87"/>
  <c r="I227" i="87"/>
  <c r="J227" i="87"/>
  <c r="K227" i="87"/>
  <c r="G228" i="87"/>
  <c r="H228" i="87"/>
  <c r="I228" i="87"/>
  <c r="J228" i="87"/>
  <c r="K228" i="87"/>
  <c r="G229" i="87"/>
  <c r="H229" i="87"/>
  <c r="I229" i="87"/>
  <c r="J229" i="87"/>
  <c r="K229" i="87"/>
  <c r="G230" i="87"/>
  <c r="H230" i="87"/>
  <c r="I230" i="87"/>
  <c r="J230" i="87"/>
  <c r="K230" i="87"/>
  <c r="G231" i="87"/>
  <c r="H231" i="87"/>
  <c r="I231" i="87"/>
  <c r="J231" i="87"/>
  <c r="K231" i="87"/>
  <c r="G232" i="87"/>
  <c r="H232" i="87"/>
  <c r="I232" i="87"/>
  <c r="J232" i="87"/>
  <c r="K232" i="87"/>
  <c r="G233" i="87"/>
  <c r="H233" i="87"/>
  <c r="I233" i="87"/>
  <c r="J233" i="87"/>
  <c r="K233" i="87"/>
  <c r="G234" i="87"/>
  <c r="H234" i="87"/>
  <c r="I234" i="87"/>
  <c r="J234" i="87"/>
  <c r="K234" i="87"/>
  <c r="G235" i="87"/>
  <c r="H235" i="87"/>
  <c r="I235" i="87"/>
  <c r="J235" i="87"/>
  <c r="K235" i="87"/>
  <c r="G236" i="87"/>
  <c r="H236" i="87"/>
  <c r="I236" i="87"/>
  <c r="J236" i="87"/>
  <c r="K236" i="87"/>
  <c r="G237" i="87"/>
  <c r="H237" i="87"/>
  <c r="I237" i="87"/>
  <c r="J237" i="87"/>
  <c r="K237" i="87"/>
  <c r="G238" i="87"/>
  <c r="H238" i="87"/>
  <c r="I238" i="87"/>
  <c r="J238" i="87"/>
  <c r="K238" i="87"/>
  <c r="G239" i="87"/>
  <c r="H239" i="87"/>
  <c r="I239" i="87"/>
  <c r="J239" i="87"/>
  <c r="K239" i="87"/>
  <c r="G240" i="87"/>
  <c r="H240" i="87"/>
  <c r="I240" i="87"/>
  <c r="J240" i="87"/>
  <c r="K240" i="87"/>
  <c r="G241" i="87"/>
  <c r="H241" i="87"/>
  <c r="I241" i="87"/>
  <c r="J241" i="87"/>
  <c r="K241" i="87"/>
  <c r="G242" i="87"/>
  <c r="H242" i="87"/>
  <c r="I242" i="87"/>
  <c r="J242" i="87"/>
  <c r="K242" i="87"/>
  <c r="G243" i="87"/>
  <c r="H243" i="87"/>
  <c r="I243" i="87"/>
  <c r="J243" i="87"/>
  <c r="K243" i="87"/>
  <c r="G244" i="87"/>
  <c r="H244" i="87"/>
  <c r="I244" i="87"/>
  <c r="J244" i="87"/>
  <c r="K244" i="87"/>
  <c r="G245" i="87"/>
  <c r="H245" i="87"/>
  <c r="I245" i="87"/>
  <c r="J245" i="87"/>
  <c r="K245" i="87"/>
  <c r="G246" i="87"/>
  <c r="H246" i="87"/>
  <c r="I246" i="87"/>
  <c r="J246" i="87"/>
  <c r="K246" i="87"/>
  <c r="G247" i="87"/>
  <c r="H247" i="87"/>
  <c r="I247" i="87"/>
  <c r="J247" i="87"/>
  <c r="K247" i="87"/>
  <c r="G248" i="87"/>
  <c r="H248" i="87"/>
  <c r="I248" i="87"/>
  <c r="J248" i="87"/>
  <c r="K248" i="87"/>
  <c r="G249" i="87"/>
  <c r="H249" i="87"/>
  <c r="I249" i="87"/>
  <c r="J249" i="87"/>
  <c r="K249" i="87"/>
  <c r="G250" i="87"/>
  <c r="H250" i="87"/>
  <c r="I250" i="87"/>
  <c r="J250" i="87"/>
  <c r="K250" i="87"/>
  <c r="G251" i="87"/>
  <c r="H251" i="87"/>
  <c r="I251" i="87"/>
  <c r="J251" i="87"/>
  <c r="K251" i="87"/>
  <c r="G252" i="87"/>
  <c r="H252" i="87"/>
  <c r="I252" i="87"/>
  <c r="J252" i="87"/>
  <c r="K252" i="87"/>
  <c r="G253" i="87"/>
  <c r="H253" i="87"/>
  <c r="I253" i="87"/>
  <c r="J253" i="87"/>
  <c r="K253" i="87"/>
  <c r="G254" i="87"/>
  <c r="H254" i="87"/>
  <c r="I254" i="87"/>
  <c r="J254" i="87"/>
  <c r="K254" i="87"/>
  <c r="G255" i="87"/>
  <c r="H255" i="87"/>
  <c r="I255" i="87"/>
  <c r="J255" i="87"/>
  <c r="K255" i="87"/>
  <c r="G256" i="87"/>
  <c r="H256" i="87"/>
  <c r="I256" i="87"/>
  <c r="J256" i="87"/>
  <c r="K256" i="87"/>
  <c r="G257" i="87"/>
  <c r="H257" i="87"/>
  <c r="I257" i="87"/>
  <c r="J257" i="87"/>
  <c r="K257" i="87"/>
  <c r="G258" i="87"/>
  <c r="H258" i="87"/>
  <c r="I258" i="87"/>
  <c r="J258" i="87"/>
  <c r="K258" i="87"/>
  <c r="G259" i="87"/>
  <c r="H259" i="87"/>
  <c r="I259" i="87"/>
  <c r="J259" i="87"/>
  <c r="K259" i="87"/>
  <c r="G260" i="87"/>
  <c r="H260" i="87"/>
  <c r="I260" i="87"/>
  <c r="J260" i="87"/>
  <c r="K260" i="87"/>
  <c r="G261" i="87"/>
  <c r="H261" i="87"/>
  <c r="I261" i="87"/>
  <c r="J261" i="87"/>
  <c r="K261" i="87"/>
  <c r="G262" i="87"/>
  <c r="H262" i="87"/>
  <c r="I262" i="87"/>
  <c r="J262" i="87"/>
  <c r="K262" i="87"/>
  <c r="G263" i="87"/>
  <c r="H263" i="87"/>
  <c r="I263" i="87"/>
  <c r="J263" i="87"/>
  <c r="K263" i="87"/>
  <c r="G264" i="87"/>
  <c r="H264" i="87"/>
  <c r="I264" i="87"/>
  <c r="J264" i="87"/>
  <c r="K264" i="87"/>
  <c r="G265" i="87"/>
  <c r="H265" i="87"/>
  <c r="I265" i="87"/>
  <c r="J265" i="87"/>
  <c r="K265" i="87"/>
  <c r="G266" i="87"/>
  <c r="H266" i="87"/>
  <c r="I266" i="87"/>
  <c r="J266" i="87"/>
  <c r="K266" i="87"/>
  <c r="G267" i="87"/>
  <c r="H267" i="87"/>
  <c r="I267" i="87"/>
  <c r="J267" i="87"/>
  <c r="K267" i="87"/>
  <c r="G268" i="87"/>
  <c r="H268" i="87"/>
  <c r="I268" i="87"/>
  <c r="J268" i="87"/>
  <c r="K268" i="87"/>
  <c r="G269" i="87"/>
  <c r="H269" i="87"/>
  <c r="I269" i="87"/>
  <c r="J269" i="87"/>
  <c r="K269" i="87"/>
  <c r="G270" i="87"/>
  <c r="H270" i="87"/>
  <c r="I270" i="87"/>
  <c r="J270" i="87"/>
  <c r="K270" i="87"/>
  <c r="G271" i="87"/>
  <c r="H271" i="87"/>
  <c r="I271" i="87"/>
  <c r="J271" i="87"/>
  <c r="K271" i="87"/>
  <c r="G272" i="87"/>
  <c r="H272" i="87"/>
  <c r="I272" i="87"/>
  <c r="J272" i="87"/>
  <c r="K272" i="87"/>
  <c r="G273" i="87"/>
  <c r="H273" i="87"/>
  <c r="I273" i="87"/>
  <c r="J273" i="87"/>
  <c r="K273" i="87"/>
  <c r="G274" i="87"/>
  <c r="H274" i="87"/>
  <c r="I274" i="87"/>
  <c r="J274" i="87"/>
  <c r="K274" i="87"/>
  <c r="G275" i="87"/>
  <c r="H275" i="87"/>
  <c r="I275" i="87"/>
  <c r="J275" i="87"/>
  <c r="K275" i="87"/>
  <c r="G276" i="87"/>
  <c r="H276" i="87"/>
  <c r="I276" i="87"/>
  <c r="J276" i="87"/>
  <c r="K276" i="87"/>
  <c r="G277" i="87"/>
  <c r="H277" i="87"/>
  <c r="I277" i="87"/>
  <c r="J277" i="87"/>
  <c r="K277" i="87"/>
  <c r="G278" i="87"/>
  <c r="H278" i="87"/>
  <c r="I278" i="87"/>
  <c r="J278" i="87"/>
  <c r="K278" i="87"/>
  <c r="G279" i="87"/>
  <c r="H279" i="87"/>
  <c r="I279" i="87"/>
  <c r="J279" i="87"/>
  <c r="K279" i="87"/>
  <c r="G280" i="87"/>
  <c r="H280" i="87"/>
  <c r="I280" i="87"/>
  <c r="J280" i="87"/>
  <c r="K280" i="87"/>
  <c r="G281" i="87"/>
  <c r="H281" i="87"/>
  <c r="I281" i="87"/>
  <c r="J281" i="87"/>
  <c r="K281" i="87"/>
  <c r="G282" i="87"/>
  <c r="H282" i="87"/>
  <c r="I282" i="87"/>
  <c r="J282" i="87"/>
  <c r="K282" i="87"/>
  <c r="G283" i="87"/>
  <c r="H283" i="87"/>
  <c r="I283" i="87"/>
  <c r="J283" i="87"/>
  <c r="K283" i="87"/>
  <c r="G284" i="87"/>
  <c r="H284" i="87"/>
  <c r="I284" i="87"/>
  <c r="J284" i="87"/>
  <c r="K284" i="87"/>
  <c r="G285" i="87"/>
  <c r="H285" i="87"/>
  <c r="I285" i="87"/>
  <c r="J285" i="87"/>
  <c r="K285" i="87"/>
  <c r="G286" i="87"/>
  <c r="H286" i="87"/>
  <c r="I286" i="87"/>
  <c r="J286" i="87"/>
  <c r="K286" i="87"/>
  <c r="G287" i="87"/>
  <c r="H287" i="87"/>
  <c r="I287" i="87"/>
  <c r="J287" i="87"/>
  <c r="K287" i="87"/>
  <c r="G288" i="87"/>
  <c r="H288" i="87"/>
  <c r="I288" i="87"/>
  <c r="J288" i="87"/>
  <c r="K288" i="87"/>
  <c r="G289" i="87"/>
  <c r="H289" i="87"/>
  <c r="I289" i="87"/>
  <c r="J289" i="87"/>
  <c r="K289" i="87"/>
  <c r="G290" i="87"/>
  <c r="H290" i="87"/>
  <c r="I290" i="87"/>
  <c r="J290" i="87"/>
  <c r="K290" i="87"/>
  <c r="G291" i="87"/>
  <c r="H291" i="87"/>
  <c r="I291" i="87"/>
  <c r="J291" i="87"/>
  <c r="K291" i="87"/>
  <c r="G292" i="87"/>
  <c r="H292" i="87"/>
  <c r="I292" i="87"/>
  <c r="J292" i="87"/>
  <c r="K292" i="87"/>
  <c r="G293" i="87"/>
  <c r="H293" i="87"/>
  <c r="I293" i="87"/>
  <c r="J293" i="87"/>
  <c r="K293" i="87"/>
  <c r="G294" i="87"/>
  <c r="H294" i="87"/>
  <c r="I294" i="87"/>
  <c r="J294" i="87"/>
  <c r="K294" i="87"/>
  <c r="G295" i="87"/>
  <c r="H295" i="87"/>
  <c r="I295" i="87"/>
  <c r="J295" i="87"/>
  <c r="K295" i="87"/>
  <c r="G296" i="87"/>
  <c r="H296" i="87"/>
  <c r="I296" i="87"/>
  <c r="J296" i="87"/>
  <c r="K296" i="87"/>
  <c r="G297" i="87"/>
  <c r="H297" i="87"/>
  <c r="I297" i="87"/>
  <c r="J297" i="87"/>
  <c r="K297" i="87"/>
  <c r="G298" i="87"/>
  <c r="H298" i="87"/>
  <c r="I298" i="87"/>
  <c r="J298" i="87"/>
  <c r="K298" i="87"/>
  <c r="G299" i="87"/>
  <c r="H299" i="87"/>
  <c r="I299" i="87"/>
  <c r="J299" i="87"/>
  <c r="K299" i="87"/>
  <c r="E11" i="94"/>
  <c r="E10" i="94"/>
  <c r="E9" i="94"/>
  <c r="E8" i="94"/>
  <c r="E7" i="94"/>
  <c r="E6" i="94"/>
  <c r="E5" i="94"/>
  <c r="E11" i="93"/>
  <c r="E10" i="93"/>
  <c r="E9" i="93"/>
  <c r="E8" i="93"/>
  <c r="E7" i="93"/>
  <c r="E6" i="93"/>
  <c r="E5" i="93"/>
  <c r="J11" i="91"/>
  <c r="J10" i="91"/>
  <c r="J9" i="91"/>
  <c r="J8" i="91"/>
  <c r="J7" i="91"/>
  <c r="J6" i="91"/>
  <c r="J5" i="91"/>
  <c r="J11" i="90"/>
  <c r="J10" i="90"/>
  <c r="J9" i="90"/>
  <c r="J8" i="90"/>
  <c r="J7" i="90"/>
  <c r="J6" i="90"/>
  <c r="J5" i="90"/>
  <c r="J5" i="89"/>
  <c r="J11" i="89"/>
  <c r="J10" i="89"/>
  <c r="J9" i="89"/>
  <c r="J8" i="89"/>
  <c r="J7" i="89"/>
  <c r="J6" i="89"/>
  <c r="J11" i="81"/>
  <c r="J10" i="81"/>
  <c r="J9" i="81"/>
  <c r="J8" i="81"/>
  <c r="J7" i="81"/>
  <c r="J6" i="81"/>
  <c r="J5" i="81"/>
  <c r="J11" i="80"/>
  <c r="J10" i="80"/>
  <c r="J9" i="80"/>
  <c r="J8" i="80"/>
  <c r="J7" i="80"/>
  <c r="J6" i="80"/>
  <c r="J5" i="80"/>
  <c r="E11" i="91"/>
  <c r="E10" i="91"/>
  <c r="E9" i="91"/>
  <c r="E8" i="91"/>
  <c r="E7" i="91"/>
  <c r="E6" i="91"/>
  <c r="E5" i="91"/>
  <c r="E11" i="90"/>
  <c r="E10" i="90"/>
  <c r="E9" i="90"/>
  <c r="E8" i="90"/>
  <c r="E7" i="90"/>
  <c r="E6" i="90"/>
  <c r="E5" i="90"/>
  <c r="E11" i="89"/>
  <c r="E10" i="89"/>
  <c r="E9" i="89"/>
  <c r="E8" i="89"/>
  <c r="E7" i="89"/>
  <c r="E6" i="89"/>
  <c r="E5" i="89"/>
  <c r="H8" i="88"/>
  <c r="H9" i="88"/>
  <c r="H10" i="88"/>
  <c r="H11" i="88"/>
  <c r="H12" i="88"/>
  <c r="H13" i="88"/>
  <c r="H14" i="88"/>
  <c r="H15" i="88"/>
  <c r="H16" i="88"/>
  <c r="H17" i="88"/>
  <c r="H18" i="88"/>
  <c r="H19" i="88"/>
  <c r="H20" i="88"/>
  <c r="H21" i="88"/>
  <c r="H22" i="88"/>
  <c r="H23" i="88"/>
  <c r="H24" i="88"/>
  <c r="H25" i="88"/>
  <c r="H26" i="88"/>
  <c r="H27" i="88"/>
  <c r="H28" i="88"/>
  <c r="H29" i="88"/>
  <c r="H30" i="88"/>
  <c r="H31" i="88"/>
  <c r="H32" i="88"/>
  <c r="H33" i="88"/>
  <c r="H34" i="88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L6" i="87"/>
  <c r="C7" i="88"/>
  <c r="H7" i="88" s="1"/>
  <c r="C6" i="88"/>
  <c r="H6" i="88" s="1"/>
  <c r="C5" i="88"/>
  <c r="H5" i="88" s="1"/>
  <c r="C4" i="88"/>
  <c r="H4" i="88" s="1"/>
  <c r="C3" i="88"/>
  <c r="H3" i="88" s="1"/>
  <c r="E6" i="87"/>
  <c r="C2" i="88"/>
  <c r="H2" i="88" s="1"/>
  <c r="L6" i="82"/>
  <c r="C7" i="83"/>
  <c r="H7" i="83" s="1"/>
  <c r="C6" i="83"/>
  <c r="H6" i="83" s="1"/>
  <c r="C5" i="83"/>
  <c r="H5" i="83" s="1"/>
  <c r="C4" i="83"/>
  <c r="H4" i="83" s="1"/>
  <c r="C3" i="83"/>
  <c r="H3" i="83" s="1"/>
  <c r="E6" i="82"/>
  <c r="C2" i="83"/>
  <c r="H2" i="83" s="1"/>
  <c r="H7" i="90" l="1"/>
  <c r="I7" i="90"/>
  <c r="K7" i="90" s="1"/>
  <c r="G7" i="90"/>
  <c r="I9" i="90"/>
  <c r="K9" i="90" s="1"/>
  <c r="H9" i="90"/>
  <c r="G9" i="90"/>
  <c r="I10" i="94"/>
  <c r="K10" i="94" s="1"/>
  <c r="H10" i="94"/>
  <c r="G10" i="94"/>
  <c r="I10" i="90"/>
  <c r="K10" i="90" s="1"/>
  <c r="H10" i="90"/>
  <c r="G10" i="90"/>
  <c r="H5" i="91"/>
  <c r="I5" i="91"/>
  <c r="K5" i="91" s="1"/>
  <c r="G5" i="91"/>
  <c r="G6" i="91"/>
  <c r="I6" i="91"/>
  <c r="K6" i="91" s="1"/>
  <c r="H6" i="91"/>
  <c r="G8" i="91"/>
  <c r="I8" i="91"/>
  <c r="K8" i="91" s="1"/>
  <c r="H8" i="91"/>
  <c r="I6" i="93"/>
  <c r="K6" i="93" s="1"/>
  <c r="H6" i="93"/>
  <c r="G6" i="93"/>
  <c r="H6" i="90"/>
  <c r="I6" i="90"/>
  <c r="K6" i="90" s="1"/>
  <c r="G6" i="90"/>
  <c r="H7" i="93"/>
  <c r="I7" i="93"/>
  <c r="K7" i="93" s="1"/>
  <c r="G7" i="93"/>
  <c r="G10" i="91"/>
  <c r="I10" i="91"/>
  <c r="K10" i="91" s="1"/>
  <c r="H10" i="91"/>
  <c r="H8" i="93"/>
  <c r="I8" i="93"/>
  <c r="K8" i="93" s="1"/>
  <c r="G8" i="93"/>
  <c r="G7" i="91"/>
  <c r="I7" i="91"/>
  <c r="K7" i="91" s="1"/>
  <c r="H7" i="91"/>
  <c r="G9" i="91"/>
  <c r="I9" i="91"/>
  <c r="K9" i="91" s="1"/>
  <c r="H9" i="91"/>
  <c r="H6" i="89"/>
  <c r="I6" i="89"/>
  <c r="K6" i="89" s="1"/>
  <c r="G6" i="89"/>
  <c r="H10" i="93"/>
  <c r="I10" i="93"/>
  <c r="K10" i="93" s="1"/>
  <c r="G10" i="93"/>
  <c r="I5" i="93"/>
  <c r="K5" i="93" s="1"/>
  <c r="H5" i="93"/>
  <c r="G5" i="93"/>
  <c r="I5" i="89"/>
  <c r="H5" i="89"/>
  <c r="G5" i="89"/>
  <c r="H9" i="93"/>
  <c r="I9" i="93"/>
  <c r="K9" i="93" s="1"/>
  <c r="G9" i="93"/>
  <c r="H7" i="89"/>
  <c r="I7" i="89"/>
  <c r="K7" i="89" s="1"/>
  <c r="G7" i="89"/>
  <c r="H8" i="90"/>
  <c r="I8" i="90"/>
  <c r="K8" i="90" s="1"/>
  <c r="G8" i="90"/>
  <c r="H8" i="89"/>
  <c r="I8" i="89"/>
  <c r="K8" i="89" s="1"/>
  <c r="G8" i="89"/>
  <c r="I5" i="94"/>
  <c r="H5" i="94"/>
  <c r="G5" i="94"/>
  <c r="H9" i="89"/>
  <c r="I9" i="89"/>
  <c r="K9" i="89" s="1"/>
  <c r="G9" i="89"/>
  <c r="I6" i="94"/>
  <c r="K6" i="94" s="1"/>
  <c r="H6" i="94"/>
  <c r="G6" i="94"/>
  <c r="I7" i="94"/>
  <c r="K7" i="94" s="1"/>
  <c r="H7" i="94"/>
  <c r="G7" i="94"/>
  <c r="I8" i="94"/>
  <c r="K8" i="94" s="1"/>
  <c r="H8" i="94"/>
  <c r="G8" i="94"/>
  <c r="H10" i="89"/>
  <c r="I10" i="89"/>
  <c r="K10" i="89" s="1"/>
  <c r="G10" i="89"/>
  <c r="H5" i="90"/>
  <c r="I5" i="90"/>
  <c r="G5" i="90"/>
  <c r="I9" i="94"/>
  <c r="K9" i="94" s="1"/>
  <c r="H9" i="94"/>
  <c r="G9" i="94"/>
  <c r="N6" i="87"/>
  <c r="H6" i="82"/>
  <c r="N6" i="82"/>
  <c r="H6" i="87"/>
  <c r="C6" i="87"/>
  <c r="C6" i="82"/>
  <c r="B6" i="87"/>
  <c r="L6" i="54"/>
  <c r="E11" i="81"/>
  <c r="E10" i="81"/>
  <c r="E9" i="81"/>
  <c r="E8" i="81"/>
  <c r="E7" i="81"/>
  <c r="E6" i="81"/>
  <c r="E5" i="81"/>
  <c r="E11" i="80"/>
  <c r="E10" i="80"/>
  <c r="E9" i="80"/>
  <c r="E8" i="80"/>
  <c r="E7" i="80"/>
  <c r="E6" i="80"/>
  <c r="E5" i="80"/>
  <c r="E7" i="79"/>
  <c r="H5" i="55"/>
  <c r="E5" i="79"/>
  <c r="E6" i="79"/>
  <c r="E8" i="79"/>
  <c r="E9" i="79"/>
  <c r="H3" i="55"/>
  <c r="H4" i="55"/>
  <c r="H6" i="55"/>
  <c r="H7" i="55"/>
  <c r="H2" i="55"/>
  <c r="L8" i="89" l="1"/>
  <c r="M8" i="89" s="1"/>
  <c r="L9" i="93"/>
  <c r="M9" i="93" s="1"/>
  <c r="I11" i="90"/>
  <c r="K11" i="90" s="1"/>
  <c r="L8" i="94"/>
  <c r="M8" i="94" s="1"/>
  <c r="L10" i="91"/>
  <c r="M10" i="91" s="1"/>
  <c r="L10" i="89"/>
  <c r="M10" i="89" s="1"/>
  <c r="L10" i="94"/>
  <c r="M10" i="94" s="1"/>
  <c r="L7" i="93"/>
  <c r="M7" i="93" s="1"/>
  <c r="L8" i="93"/>
  <c r="M8" i="93" s="1"/>
  <c r="L7" i="90"/>
  <c r="M7" i="90" s="1"/>
  <c r="L5" i="93"/>
  <c r="M5" i="93" s="1"/>
  <c r="L9" i="89"/>
  <c r="M9" i="89" s="1"/>
  <c r="L10" i="93"/>
  <c r="M10" i="93" s="1"/>
  <c r="L7" i="94"/>
  <c r="M7" i="94" s="1"/>
  <c r="L8" i="90"/>
  <c r="M8" i="90" s="1"/>
  <c r="L7" i="91"/>
  <c r="M7" i="91" s="1"/>
  <c r="L6" i="93"/>
  <c r="M6" i="93" s="1"/>
  <c r="L5" i="91"/>
  <c r="M5" i="91" s="1"/>
  <c r="L6" i="89"/>
  <c r="M6" i="89" s="1"/>
  <c r="L8" i="91"/>
  <c r="M8" i="91" s="1"/>
  <c r="L9" i="90"/>
  <c r="M9" i="90" s="1"/>
  <c r="L7" i="89"/>
  <c r="M7" i="89" s="1"/>
  <c r="L9" i="94"/>
  <c r="M9" i="94" s="1"/>
  <c r="L6" i="94"/>
  <c r="M6" i="94" s="1"/>
  <c r="L6" i="90"/>
  <c r="M6" i="90" s="1"/>
  <c r="L10" i="90"/>
  <c r="M10" i="90" s="1"/>
  <c r="L9" i="91"/>
  <c r="M9" i="91" s="1"/>
  <c r="L6" i="91"/>
  <c r="M6" i="91" s="1"/>
  <c r="I11" i="89"/>
  <c r="K11" i="89" s="1"/>
  <c r="I8" i="81"/>
  <c r="K8" i="81" s="1"/>
  <c r="H8" i="81"/>
  <c r="G8" i="81"/>
  <c r="I7" i="81"/>
  <c r="K7" i="81" s="1"/>
  <c r="H7" i="81"/>
  <c r="G7" i="81"/>
  <c r="H9" i="81"/>
  <c r="I9" i="81"/>
  <c r="K9" i="81" s="1"/>
  <c r="G9" i="81"/>
  <c r="K5" i="90"/>
  <c r="L5" i="90" s="1"/>
  <c r="M5" i="90" s="1"/>
  <c r="K5" i="89"/>
  <c r="L5" i="89" s="1"/>
  <c r="M5" i="89" s="1"/>
  <c r="H10" i="81"/>
  <c r="I10" i="81"/>
  <c r="K10" i="81" s="1"/>
  <c r="G10" i="81"/>
  <c r="I5" i="80"/>
  <c r="H5" i="80"/>
  <c r="G5" i="80"/>
  <c r="I11" i="94"/>
  <c r="K11" i="94" s="1"/>
  <c r="I6" i="80"/>
  <c r="K6" i="80" s="1"/>
  <c r="H6" i="80"/>
  <c r="G6" i="80"/>
  <c r="H8" i="80"/>
  <c r="I8" i="80"/>
  <c r="K8" i="80" s="1"/>
  <c r="G8" i="80"/>
  <c r="I9" i="80"/>
  <c r="K9" i="80" s="1"/>
  <c r="H9" i="80"/>
  <c r="G9" i="80"/>
  <c r="I10" i="80"/>
  <c r="K10" i="80" s="1"/>
  <c r="H10" i="80"/>
  <c r="G10" i="80"/>
  <c r="I7" i="80"/>
  <c r="K7" i="80" s="1"/>
  <c r="H7" i="80"/>
  <c r="G7" i="80"/>
  <c r="I11" i="91"/>
  <c r="K11" i="91" s="1"/>
  <c r="H5" i="81"/>
  <c r="I5" i="81"/>
  <c r="G5" i="81"/>
  <c r="I11" i="93"/>
  <c r="K11" i="93" s="1"/>
  <c r="H6" i="81"/>
  <c r="I6" i="81"/>
  <c r="K6" i="81" s="1"/>
  <c r="G6" i="81"/>
  <c r="K5" i="94"/>
  <c r="L5" i="94" s="1"/>
  <c r="M5" i="94" s="1"/>
  <c r="G9" i="79"/>
  <c r="I9" i="79"/>
  <c r="K9" i="79" s="1"/>
  <c r="H9" i="79"/>
  <c r="G8" i="79"/>
  <c r="I8" i="79"/>
  <c r="K8" i="79" s="1"/>
  <c r="H8" i="79"/>
  <c r="G6" i="79"/>
  <c r="I6" i="79"/>
  <c r="K6" i="79" s="1"/>
  <c r="H6" i="79"/>
  <c r="G7" i="79"/>
  <c r="I7" i="79"/>
  <c r="K7" i="79" s="1"/>
  <c r="H7" i="79"/>
  <c r="G5" i="79"/>
  <c r="I5" i="79"/>
  <c r="H5" i="79"/>
  <c r="N6" i="54"/>
  <c r="C6" i="54"/>
  <c r="F6" i="54" s="1"/>
  <c r="E6" i="54"/>
  <c r="F6" i="87"/>
  <c r="D6" i="87"/>
  <c r="M6" i="87" s="1"/>
  <c r="F6" i="82"/>
  <c r="D6" i="82"/>
  <c r="M6" i="82" s="1"/>
  <c r="L9" i="79" l="1"/>
  <c r="M9" i="79" s="1"/>
  <c r="L7" i="79"/>
  <c r="M7" i="79" s="1"/>
  <c r="L9" i="80"/>
  <c r="M9" i="80" s="1"/>
  <c r="L10" i="81"/>
  <c r="M10" i="81" s="1"/>
  <c r="L7" i="81"/>
  <c r="M7" i="81" s="1"/>
  <c r="L10" i="80"/>
  <c r="M10" i="80" s="1"/>
  <c r="L6" i="80"/>
  <c r="M6" i="80" s="1"/>
  <c r="L6" i="79"/>
  <c r="M6" i="79" s="1"/>
  <c r="L8" i="81"/>
  <c r="M8" i="81" s="1"/>
  <c r="L6" i="81"/>
  <c r="M6" i="81" s="1"/>
  <c r="L9" i="81"/>
  <c r="M9" i="81" s="1"/>
  <c r="L8" i="79"/>
  <c r="M8" i="79" s="1"/>
  <c r="L7" i="80"/>
  <c r="M7" i="80" s="1"/>
  <c r="L8" i="80"/>
  <c r="M8" i="80" s="1"/>
  <c r="I11" i="81"/>
  <c r="K11" i="81" s="1"/>
  <c r="K5" i="81"/>
  <c r="L5" i="81" s="1"/>
  <c r="M5" i="81" s="1"/>
  <c r="I11" i="80"/>
  <c r="K11" i="80" s="1"/>
  <c r="K5" i="80"/>
  <c r="L5" i="80" s="1"/>
  <c r="M5" i="80" s="1"/>
  <c r="I6" i="82"/>
  <c r="J6" i="82"/>
  <c r="I6" i="87"/>
  <c r="J6" i="87"/>
  <c r="I6" i="54"/>
  <c r="J6" i="54"/>
  <c r="K5" i="79"/>
  <c r="L5" i="79" s="1"/>
  <c r="M5" i="79" s="1"/>
  <c r="I11" i="79"/>
  <c r="K11" i="79" s="1"/>
  <c r="H6" i="54"/>
  <c r="D6" i="54"/>
  <c r="M6" i="54" s="1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K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1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K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K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<sst xmlns="http://schemas.openxmlformats.org/spreadsheetml/2006/main" count="3320" uniqueCount="920">
  <si>
    <t>리밸런싱 사유</t>
    <phoneticPr fontId="1" type="noConversion"/>
  </si>
  <si>
    <t>포트폴리오
차별성</t>
    <phoneticPr fontId="1" type="noConversion"/>
  </si>
  <si>
    <t>최고위험도</t>
    <phoneticPr fontId="1" type="noConversion"/>
  </si>
  <si>
    <t>종목한도 상세</t>
    <phoneticPr fontId="1" type="noConversion"/>
  </si>
  <si>
    <t>보유수량</t>
    <phoneticPr fontId="1" type="noConversion"/>
  </si>
  <si>
    <t>평가금액</t>
    <phoneticPr fontId="1" type="noConversion"/>
  </si>
  <si>
    <t>비고</t>
    <phoneticPr fontId="1" type="noConversion"/>
  </si>
  <si>
    <t>종목코드(ISIN코드)</t>
    <phoneticPr fontId="1" type="noConversion"/>
  </si>
  <si>
    <t>종목명</t>
    <phoneticPr fontId="1" type="noConversion"/>
  </si>
  <si>
    <t>포트폴리오유형</t>
    <phoneticPr fontId="1" type="noConversion"/>
  </si>
  <si>
    <t>ISIN코드</t>
    <phoneticPr fontId="1" type="noConversion"/>
  </si>
  <si>
    <t>부적합 사유</t>
    <phoneticPr fontId="1" type="noConversion"/>
  </si>
  <si>
    <t>계좌번호</t>
    <phoneticPr fontId="1" type="noConversion"/>
  </si>
  <si>
    <t>위험자산편입한도</t>
    <phoneticPr fontId="1" type="noConversion"/>
  </si>
  <si>
    <t>최저위험도</t>
    <phoneticPr fontId="1" type="noConversion"/>
  </si>
  <si>
    <t>위험자산
비중 적정성</t>
    <phoneticPr fontId="1" type="noConversion"/>
  </si>
  <si>
    <t>위험도
적정성</t>
    <phoneticPr fontId="1" type="noConversion"/>
  </si>
  <si>
    <t>운용금액</t>
    <phoneticPr fontId="1" type="noConversion"/>
  </si>
  <si>
    <t>단일종목편입한도</t>
    <phoneticPr fontId="1" type="noConversion"/>
  </si>
  <si>
    <t>리밸런싱일자</t>
    <phoneticPr fontId="1" type="noConversion"/>
  </si>
  <si>
    <t>잔고변경일자</t>
    <phoneticPr fontId="1" type="noConversion"/>
  </si>
  <si>
    <t>매매구분</t>
    <phoneticPr fontId="1" type="noConversion"/>
  </si>
  <si>
    <t>종목명</t>
    <phoneticPr fontId="1" type="noConversion"/>
  </si>
  <si>
    <t>자산종류</t>
    <phoneticPr fontId="1" type="noConversion"/>
  </si>
  <si>
    <t>비중</t>
    <phoneticPr fontId="1" type="noConversion"/>
  </si>
  <si>
    <t>투자유니버스</t>
    <phoneticPr fontId="1" type="noConversion"/>
  </si>
  <si>
    <t>2. 전계좌매매내역을 전체매매내역 시트에 작성</t>
    <phoneticPr fontId="1" type="noConversion"/>
  </si>
  <si>
    <t>종목수</t>
    <phoneticPr fontId="1" type="noConversion"/>
  </si>
  <si>
    <t>포트폴리오 변경내역 확인</t>
    <phoneticPr fontId="1" type="noConversion"/>
  </si>
  <si>
    <t>잔고변경현황 확인</t>
    <phoneticPr fontId="1" type="noConversion"/>
  </si>
  <si>
    <t>잔고변경현황 확인</t>
    <phoneticPr fontId="1" type="noConversion"/>
  </si>
  <si>
    <t>단일종목
편입한도적정성</t>
    <phoneticPr fontId="1" type="noConversion"/>
  </si>
  <si>
    <t>자료
정합성</t>
    <phoneticPr fontId="1" type="noConversion"/>
  </si>
  <si>
    <t>투자유니버스</t>
    <phoneticPr fontId="1" type="noConversion"/>
  </si>
  <si>
    <t>매매일자</t>
    <phoneticPr fontId="1" type="noConversion"/>
  </si>
  <si>
    <t>일임계좌번호</t>
    <phoneticPr fontId="1" type="noConversion"/>
  </si>
  <si>
    <t>종목코드</t>
    <phoneticPr fontId="1" type="noConversion"/>
  </si>
  <si>
    <t>매매수량</t>
    <phoneticPr fontId="1" type="noConversion"/>
  </si>
  <si>
    <t>잔고수량</t>
    <phoneticPr fontId="1" type="noConversion"/>
  </si>
  <si>
    <t>종목한도예외자산1</t>
    <phoneticPr fontId="1" type="noConversion"/>
  </si>
  <si>
    <t>종목한도예외자산2</t>
    <phoneticPr fontId="1" type="noConversion"/>
  </si>
  <si>
    <t>매매가격</t>
    <phoneticPr fontId="1" type="noConversion"/>
  </si>
  <si>
    <t>OOOOO 유형</t>
    <phoneticPr fontId="1" type="noConversion"/>
  </si>
  <si>
    <t>합계</t>
    <phoneticPr fontId="1" type="noConversion"/>
  </si>
  <si>
    <t>위험도</t>
    <phoneticPr fontId="1" type="noConversion"/>
  </si>
  <si>
    <t>위험등급</t>
    <phoneticPr fontId="1" type="noConversion"/>
  </si>
  <si>
    <t>위험도 점수</t>
    <phoneticPr fontId="1" type="noConversion"/>
  </si>
  <si>
    <t>MP생성일자</t>
    <phoneticPr fontId="1" type="noConversion"/>
  </si>
  <si>
    <t>자산종류</t>
    <phoneticPr fontId="1" type="noConversion"/>
  </si>
  <si>
    <t xml:space="preserve">     위험도(점수)
MP생성일자</t>
    <phoneticPr fontId="1" type="noConversion"/>
  </si>
  <si>
    <t>포트폴리오유형</t>
    <phoneticPr fontId="1" type="noConversion"/>
  </si>
  <si>
    <t>위험자산여부</t>
    <phoneticPr fontId="1" type="noConversion"/>
  </si>
  <si>
    <t>현금</t>
    <phoneticPr fontId="1" type="noConversion"/>
  </si>
  <si>
    <t>실잔고비중</t>
    <phoneticPr fontId="1" type="noConversion"/>
  </si>
  <si>
    <t>목표비중</t>
    <phoneticPr fontId="1" type="noConversion"/>
  </si>
  <si>
    <t>비고</t>
    <phoneticPr fontId="1" type="noConversion"/>
  </si>
  <si>
    <t>1.리밸런싱 발생사실 증명가능한 로그 첨부</t>
    <phoneticPr fontId="1" type="noConversion"/>
  </si>
  <si>
    <t>(프로그램 로그 및 관련 화면 등 자유양식으로 첨부, 추후 현장실사시 확인)</t>
    <phoneticPr fontId="1" type="noConversion"/>
  </si>
  <si>
    <t>3. 포트변경내역과 MP내역은 포트폴리오 유형별로 작성, 잔고변경현황은 계좌단위로 작성</t>
    <phoneticPr fontId="1" type="noConversion"/>
  </si>
  <si>
    <t>4. 투자금액 별로 MP가 다른 경우에는 계좌(9개 계좌)마다 포트변경내역과 MP내역을 작성</t>
    <phoneticPr fontId="1" type="noConversion"/>
  </si>
  <si>
    <t>5. 매일 리밸런싱이 발생하는 경우 1주일 단위로 제출 가능하나 누락되는 날짜가 없어야 함</t>
    <phoneticPr fontId="1" type="noConversion"/>
  </si>
  <si>
    <t>6. 펀드, 해외종목, 분할매수, 분할매도 등 수일에 걸쳐 리밸런싱되는 경우 리밸런싱이 완료된 후 작성</t>
    <phoneticPr fontId="1" type="noConversion"/>
  </si>
  <si>
    <t xml:space="preserve">7. 제출 양식을 변형하여 사용하고자 할 경우 테스트베드 사무국의 사전 확인 필요 </t>
    <phoneticPr fontId="1" type="noConversion"/>
  </si>
  <si>
    <t>합계</t>
    <phoneticPr fontId="1" type="noConversion"/>
  </si>
  <si>
    <t>위험자산
비중</t>
    <phoneticPr fontId="1" type="noConversion"/>
  </si>
  <si>
    <t>위험도</t>
    <phoneticPr fontId="1" type="noConversion"/>
  </si>
  <si>
    <t>부적합 사유</t>
    <phoneticPr fontId="1" type="noConversion"/>
  </si>
  <si>
    <t>종목명</t>
    <phoneticPr fontId="1" type="noConversion"/>
  </si>
  <si>
    <t>자산종류</t>
    <phoneticPr fontId="1" type="noConversion"/>
  </si>
  <si>
    <t>위험도</t>
    <phoneticPr fontId="1" type="noConversion"/>
  </si>
  <si>
    <t>위험자산여부</t>
    <phoneticPr fontId="1" type="noConversion"/>
  </si>
  <si>
    <t>자산종류</t>
    <phoneticPr fontId="1" type="noConversion"/>
  </si>
  <si>
    <t>실잔고비중</t>
    <phoneticPr fontId="1" type="noConversion"/>
  </si>
  <si>
    <t>목표비중</t>
    <phoneticPr fontId="1" type="noConversion"/>
  </si>
  <si>
    <t>차이</t>
    <phoneticPr fontId="1" type="noConversion"/>
  </si>
  <si>
    <t>리밸런싱일자</t>
    <phoneticPr fontId="1" type="noConversion"/>
  </si>
  <si>
    <t>보유수량</t>
    <phoneticPr fontId="1" type="noConversion"/>
  </si>
  <si>
    <t>차이</t>
    <phoneticPr fontId="1" type="noConversion"/>
  </si>
  <si>
    <t>위험자산편입한도</t>
    <phoneticPr fontId="1" type="noConversion"/>
  </si>
  <si>
    <t>위험자산
비중</t>
    <phoneticPr fontId="1" type="noConversion"/>
  </si>
  <si>
    <t>포트폴리오 변경내역 확인</t>
    <phoneticPr fontId="1" type="noConversion"/>
  </si>
  <si>
    <t xml:space="preserve">     위험도(점수)
MP생성일자</t>
    <phoneticPr fontId="1" type="noConversion"/>
  </si>
  <si>
    <t>위험도
적정성</t>
    <phoneticPr fontId="1" type="noConversion"/>
  </si>
  <si>
    <t>포트폴리오
차별성</t>
    <phoneticPr fontId="1" type="noConversion"/>
  </si>
  <si>
    <t>종목수</t>
    <phoneticPr fontId="1" type="noConversion"/>
  </si>
  <si>
    <t>단일종목
편입한도적정성</t>
    <phoneticPr fontId="1" type="noConversion"/>
  </si>
  <si>
    <t>MP생성일자</t>
    <phoneticPr fontId="1" type="noConversion"/>
  </si>
  <si>
    <t>ISIN코드</t>
    <phoneticPr fontId="1" type="noConversion"/>
  </si>
  <si>
    <t>자산종류</t>
    <phoneticPr fontId="1" type="noConversion"/>
  </si>
  <si>
    <t>위험도</t>
    <phoneticPr fontId="1" type="noConversion"/>
  </si>
  <si>
    <t>위험자산여부</t>
    <phoneticPr fontId="1" type="noConversion"/>
  </si>
  <si>
    <t>비중</t>
    <phoneticPr fontId="1" type="noConversion"/>
  </si>
  <si>
    <t>투자유니버스</t>
    <phoneticPr fontId="1" type="noConversion"/>
  </si>
  <si>
    <t>종목명</t>
    <phoneticPr fontId="1" type="noConversion"/>
  </si>
  <si>
    <t>8. 검정 라벨의 칼럼은 함수식이 반영된 칼럼이므로 가급적 그대로 사용을 권함</t>
    <phoneticPr fontId="1" type="noConversion"/>
  </si>
  <si>
    <t>1. 파일명 : [알고리즘명]20.포트폴리오 운용개시 현황_회사명_YYYYMMDD.xlsx</t>
    <phoneticPr fontId="1" type="noConversion"/>
  </si>
  <si>
    <t>부족수량</t>
    <phoneticPr fontId="1" type="noConversion"/>
  </si>
  <si>
    <t>국내</t>
    <phoneticPr fontId="1" type="noConversion"/>
  </si>
  <si>
    <t>시장구분</t>
    <phoneticPr fontId="1" type="noConversion"/>
  </si>
  <si>
    <t>자산군</t>
    <phoneticPr fontId="1" type="noConversion"/>
  </si>
  <si>
    <t>펀드명</t>
    <phoneticPr fontId="1" type="noConversion"/>
  </si>
  <si>
    <t>초저위험</t>
  </si>
  <si>
    <t>저위험</t>
  </si>
  <si>
    <t>고위험</t>
  </si>
  <si>
    <t>초고위험</t>
  </si>
  <si>
    <t>KR7357870005</t>
  </si>
  <si>
    <t>TIGER CD금리투자KIS(합성)</t>
  </si>
  <si>
    <t>KR7157450008</t>
  </si>
  <si>
    <t>TIGER 단기통안채</t>
  </si>
  <si>
    <t>KR7214980005</t>
  </si>
  <si>
    <t>KR7196230007</t>
  </si>
  <si>
    <t>KBSTAR 단기통안채</t>
  </si>
  <si>
    <t>KR7272580002</t>
  </si>
  <si>
    <t>TIGER 단기채권액티브</t>
  </si>
  <si>
    <t>KR7130730005</t>
  </si>
  <si>
    <t>KOSEF 단기자금</t>
  </si>
  <si>
    <t>KR7114820004</t>
  </si>
  <si>
    <t>TIGER 국채3년</t>
  </si>
  <si>
    <t>KR7302190004</t>
  </si>
  <si>
    <t>TIGER 중장기국채</t>
  </si>
  <si>
    <t>KR7305080004</t>
  </si>
  <si>
    <t>TIGER 미국채10년선물</t>
  </si>
  <si>
    <t>KR7182490003</t>
  </si>
  <si>
    <t>TIGER 단기선진하이일드(합성 H)</t>
  </si>
  <si>
    <t>KR7329750004</t>
  </si>
  <si>
    <t>TIGER 미국달러단기채권액티브</t>
  </si>
  <si>
    <t>KR7292560000</t>
  </si>
  <si>
    <t>TIGER 일본엔선물</t>
  </si>
  <si>
    <t>KR7248270001</t>
  </si>
  <si>
    <t>TIGER S&amp;P글로벌헬스케어(합성)</t>
  </si>
  <si>
    <t>KR7137610002</t>
  </si>
  <si>
    <t>TIGER 농산물선물Enhanced(H)</t>
  </si>
  <si>
    <t>KR7139320006</t>
  </si>
  <si>
    <t>TIGER 금은선물(H)</t>
  </si>
  <si>
    <t>KR7139310007</t>
  </si>
  <si>
    <t>TIGER 금속선물(H)</t>
  </si>
  <si>
    <t>KR7241180009</t>
  </si>
  <si>
    <t>TIGER 일본니케이225</t>
  </si>
  <si>
    <t>KR7117690008</t>
  </si>
  <si>
    <t>TIGER 차이나항셍25</t>
  </si>
  <si>
    <t>KR7275980001</t>
  </si>
  <si>
    <t>TIGER 글로벌4차산업혁신기술(합성 H)</t>
  </si>
  <si>
    <t>KR7182480004</t>
  </si>
  <si>
    <t>TIGER 미국MSCI리츠(합성 H)</t>
  </si>
  <si>
    <t>KR7329200000</t>
  </si>
  <si>
    <t>TIGER 부동산인프라고배당</t>
  </si>
  <si>
    <t>KR7341850006</t>
  </si>
  <si>
    <t>TIGER KIS부동산인프라채권TR</t>
  </si>
  <si>
    <t>KR7319640009</t>
  </si>
  <si>
    <t>TIGER 골드선물(H)</t>
  </si>
  <si>
    <t>KR7160580007</t>
  </si>
  <si>
    <t>TIGER 구리실물</t>
  </si>
  <si>
    <t>KR7269370003</t>
  </si>
  <si>
    <t>TIGER S&amp;P글로벌인프라(합성)</t>
  </si>
  <si>
    <t>KR7203780002</t>
  </si>
  <si>
    <t>TIGER 미국나스닥바이오</t>
  </si>
  <si>
    <t>KR7133690008</t>
  </si>
  <si>
    <t>TIGER 미국나스닥100</t>
  </si>
  <si>
    <t>KR7381170000</t>
  </si>
  <si>
    <t>TIGER 미국테크TOP10 INDXX</t>
  </si>
  <si>
    <t>KR7360750004</t>
  </si>
  <si>
    <t>TIGER 미국S&amp;P500</t>
  </si>
  <si>
    <t>KR7143850006</t>
  </si>
  <si>
    <t>TIGER 미국S&amp;P500선물(H)</t>
  </si>
  <si>
    <t>KR7245340005</t>
  </si>
  <si>
    <t>TIGER 미국다우존스30</t>
  </si>
  <si>
    <t>KR7195930003</t>
  </si>
  <si>
    <t>TIGER 유로스탁스50(합성 H)</t>
  </si>
  <si>
    <t>KR7245350004</t>
  </si>
  <si>
    <t>TIGER 유로스탁스배당30</t>
  </si>
  <si>
    <t>KR7195920004</t>
  </si>
  <si>
    <t>TIGER 일본TOPIX(합성 H)</t>
  </si>
  <si>
    <t>KR7248260002</t>
  </si>
  <si>
    <t>TIGER 일본TOPIX헬스케어(합성)</t>
  </si>
  <si>
    <t>KR7192090009</t>
  </si>
  <si>
    <t>TIGER 차이나CSI300</t>
  </si>
  <si>
    <t>KR7245360003</t>
  </si>
  <si>
    <t>TIGER 차이나HSCEI</t>
  </si>
  <si>
    <t>KR7139260004</t>
  </si>
  <si>
    <t>TIGER 200 IT</t>
  </si>
  <si>
    <t>KR7139290001</t>
  </si>
  <si>
    <t>TIGER 200 경기소비재</t>
  </si>
  <si>
    <t>KR7139270003</t>
  </si>
  <si>
    <t>TIGER 200 금융</t>
  </si>
  <si>
    <t>KR7227550001</t>
  </si>
  <si>
    <t>TIGER 200 산업재</t>
  </si>
  <si>
    <t>KR7227560000</t>
  </si>
  <si>
    <t>TIGER 200 생활소비재</t>
  </si>
  <si>
    <t>KR7139250005</t>
  </si>
  <si>
    <t>TIGER 200 에너지화학</t>
  </si>
  <si>
    <t>KR7139240006</t>
  </si>
  <si>
    <t>TIGER 200 철강소재</t>
  </si>
  <si>
    <t>KR7315270009</t>
  </si>
  <si>
    <t>TIGER 200커뮤니케이션서비스</t>
  </si>
  <si>
    <t>KR7091230003</t>
  </si>
  <si>
    <t>TIGER 반도체</t>
  </si>
  <si>
    <t>KR7098560006</t>
  </si>
  <si>
    <t>TIGER 방송통신</t>
  </si>
  <si>
    <t>KR7157490004</t>
  </si>
  <si>
    <t>TIGER 소프트웨어</t>
  </si>
  <si>
    <t>KR7091220004</t>
  </si>
  <si>
    <t>TIGER 은행</t>
  </si>
  <si>
    <t>KR7102110004</t>
  </si>
  <si>
    <t>TIGER 200</t>
  </si>
  <si>
    <t>KR7277630000</t>
  </si>
  <si>
    <t>TIGER 코스피</t>
  </si>
  <si>
    <t>KR7365040005</t>
  </si>
  <si>
    <t>TIGER AI코리아그로스액티브</t>
  </si>
  <si>
    <t>KR7252000005</t>
  </si>
  <si>
    <t>TIGER 200동일가중</t>
  </si>
  <si>
    <t>KR7227570009</t>
  </si>
  <si>
    <t>TIGER 우량가치</t>
  </si>
  <si>
    <t>KR7147970008</t>
  </si>
  <si>
    <t>TIGER 모멘텀</t>
  </si>
  <si>
    <t>KR7174350009</t>
  </si>
  <si>
    <t>TIGER 로우볼</t>
  </si>
  <si>
    <t>KR7210780003</t>
  </si>
  <si>
    <t>TIGER 코스피고배당</t>
  </si>
  <si>
    <t>KR7211560008</t>
  </si>
  <si>
    <t>TIGER 배당성장</t>
  </si>
  <si>
    <t>KR7217790005</t>
  </si>
  <si>
    <t>TIGER 가격조정</t>
  </si>
  <si>
    <t>KR7394670004</t>
  </si>
  <si>
    <t>TIGER 글로벌리튬&amp;2차전지SOLACTIVE(합성)</t>
  </si>
  <si>
    <t>KR7394660005</t>
  </si>
  <si>
    <t>TIGER 글로벌자율주행&amp;전기차SOLACTIVE</t>
  </si>
  <si>
    <t>KR7387270002</t>
  </si>
  <si>
    <t>TIGER 글로벌BBIG액티브</t>
  </si>
  <si>
    <t>KR7371450008</t>
  </si>
  <si>
    <t>TIGER 글로벌클라우드컴퓨팅INDXX</t>
  </si>
  <si>
    <t>KR7276000007</t>
  </si>
  <si>
    <t>TIGER 글로벌자원생산기업(합성 H)</t>
  </si>
  <si>
    <t>KR7130680002</t>
  </si>
  <si>
    <t>TIGER 원유선물Enhanced(H)</t>
  </si>
  <si>
    <t>KR7381180009</t>
  </si>
  <si>
    <t>TIGER 미국필라델피아반도체나스닥</t>
  </si>
  <si>
    <t>KR7105010003</t>
  </si>
  <si>
    <t>TIGER 라틴35</t>
  </si>
  <si>
    <t>KR7371160003</t>
  </si>
  <si>
    <t>TIGER 차이나항셍테크</t>
  </si>
  <si>
    <t>KR7371470006</t>
  </si>
  <si>
    <t>TIGER 차이나바이오테크SOLACTIVE</t>
  </si>
  <si>
    <t>KR7396510000</t>
  </si>
  <si>
    <t>TIGER 차이나클린에너지SOLACTIVE</t>
  </si>
  <si>
    <t>KR7396520009</t>
  </si>
  <si>
    <t>TIGER 차이나반도체FACTSET</t>
  </si>
  <si>
    <t>KR7371460007</t>
  </si>
  <si>
    <t>TIGER 차이나전기차SOLACTIVE</t>
  </si>
  <si>
    <t>KR7139220008</t>
  </si>
  <si>
    <t>TIGER 200 건설</t>
  </si>
  <si>
    <t>KR7139230007</t>
  </si>
  <si>
    <t>TIGER 200 중공업</t>
  </si>
  <si>
    <t>KR7227540002</t>
  </si>
  <si>
    <t>TIGER 200 헬스케어</t>
  </si>
  <si>
    <t>KR7300610003</t>
  </si>
  <si>
    <t>TIGER K게임</t>
  </si>
  <si>
    <t>KR7228810008</t>
  </si>
  <si>
    <t>TIGER 미디어컨텐츠</t>
  </si>
  <si>
    <t>KR7228800009</t>
  </si>
  <si>
    <t>TIGER 여행레저</t>
  </si>
  <si>
    <t>KR7307510008</t>
  </si>
  <si>
    <t>TIGER 의료기기</t>
  </si>
  <si>
    <t>KR7157500000</t>
  </si>
  <si>
    <t>TIGER 증권</t>
  </si>
  <si>
    <t>KR7307520007</t>
  </si>
  <si>
    <t>TIGER 지주회사</t>
  </si>
  <si>
    <t>KR7143860005</t>
  </si>
  <si>
    <t>TIGER 헬스케어</t>
  </si>
  <si>
    <t>KR7228790002</t>
  </si>
  <si>
    <t>TIGER 화장품</t>
  </si>
  <si>
    <t>KR7261140008</t>
  </si>
  <si>
    <t>TIGER 우선주</t>
  </si>
  <si>
    <t>대체자산</t>
  </si>
  <si>
    <t>미래변동성공격1</t>
  </si>
  <si>
    <t>미래변동성공격2</t>
  </si>
  <si>
    <t>미래변동성공격3</t>
  </si>
  <si>
    <t>미래변동성안정1</t>
  </si>
  <si>
    <t>미래변동성안정2</t>
  </si>
  <si>
    <t>미래변동성안정3</t>
  </si>
  <si>
    <t>미래변동성위험중립1</t>
  </si>
  <si>
    <t>미래변동성위험중립2</t>
  </si>
  <si>
    <t>미래변동성위험중립3</t>
  </si>
  <si>
    <t>KBSTAR 200</t>
  </si>
  <si>
    <t>KODEX 200</t>
  </si>
  <si>
    <t>A069500</t>
  </si>
  <si>
    <t>A102110</t>
  </si>
  <si>
    <t>A130730</t>
  </si>
  <si>
    <t>A148020</t>
  </si>
  <si>
    <t>A196230</t>
  </si>
  <si>
    <t>A272580</t>
  </si>
  <si>
    <t>KR7237440003</t>
  </si>
  <si>
    <t>080-11-332761</t>
  </si>
  <si>
    <t>080-11-332779</t>
  </si>
  <si>
    <t>080-11-332787</t>
  </si>
  <si>
    <t>변동성</t>
  </si>
  <si>
    <t>변동성</t>
    <phoneticPr fontId="1" type="noConversion"/>
  </si>
  <si>
    <t>변동성 안정형</t>
  </si>
  <si>
    <t>국내</t>
  </si>
  <si>
    <t>ETF</t>
  </si>
  <si>
    <t>한국국공채권</t>
  </si>
  <si>
    <t>N</t>
    <phoneticPr fontId="1" type="noConversion"/>
  </si>
  <si>
    <t>예수금</t>
    <phoneticPr fontId="1" type="noConversion"/>
  </si>
  <si>
    <t>초저위험</t>
    <phoneticPr fontId="1" type="noConversion"/>
  </si>
  <si>
    <t>KODEX단기채권플러스</t>
    <phoneticPr fontId="1" type="noConversion"/>
  </si>
  <si>
    <t>미국국공채권</t>
  </si>
  <si>
    <t>중위험</t>
    <phoneticPr fontId="1" type="noConversion"/>
  </si>
  <si>
    <t>한국혼합형</t>
    <phoneticPr fontId="1" type="noConversion"/>
  </si>
  <si>
    <t>Y</t>
    <phoneticPr fontId="1" type="noConversion"/>
  </si>
  <si>
    <t>KR7166400002</t>
  </si>
  <si>
    <t>TIGER 200커버드콜5%OTM</t>
  </si>
  <si>
    <t>KR7289480006</t>
  </si>
  <si>
    <t>TIGER 200커버드콜ATM</t>
  </si>
  <si>
    <t>TIGER 경기방어채권혼합</t>
  </si>
  <si>
    <t>한국팩터주식</t>
  </si>
  <si>
    <t>KR7139280002</t>
  </si>
  <si>
    <t>TIGER 경기방어</t>
  </si>
  <si>
    <t>KR7277640009</t>
  </si>
  <si>
    <t>TIGER 코스피대형주</t>
  </si>
  <si>
    <t>KR7277650008</t>
  </si>
  <si>
    <t>TIGER 코스피중형주</t>
  </si>
  <si>
    <t>한국주식</t>
  </si>
  <si>
    <t>KR7310960000</t>
  </si>
  <si>
    <t>TIGER 200TR</t>
  </si>
  <si>
    <t>KR7292160009</t>
  </si>
  <si>
    <t>TIGER KRX300</t>
  </si>
  <si>
    <t>KR7228820007</t>
  </si>
  <si>
    <t>TIGER KTOP30</t>
  </si>
  <si>
    <t>KR7310970009</t>
  </si>
  <si>
    <t>TIGER MSCI Korea TR</t>
  </si>
  <si>
    <t>KR7232080002</t>
  </si>
  <si>
    <t>TIGER 코스닥150</t>
  </si>
  <si>
    <t>KR7292150000</t>
  </si>
  <si>
    <t>TIGER TOP10</t>
  </si>
  <si>
    <t>한국섹터/테마주식</t>
  </si>
  <si>
    <t>KR7305540007</t>
  </si>
  <si>
    <t>TIGER 2차전지테마</t>
  </si>
  <si>
    <t>KR7396500001</t>
  </si>
  <si>
    <t>TIGER Fn반도체TOP10</t>
  </si>
  <si>
    <t>KR7377990007</t>
  </si>
  <si>
    <t>TIGER Fn신재생에너지</t>
  </si>
  <si>
    <t>KR7364960005</t>
  </si>
  <si>
    <t>TIGER KRX BBIG K-뉴딜</t>
  </si>
  <si>
    <t>KR7364980003</t>
  </si>
  <si>
    <t>TIGER KRX2차전지K-뉴딜</t>
  </si>
  <si>
    <t>KR7364990002</t>
  </si>
  <si>
    <t>TIGER KRX게임K-뉴딜</t>
  </si>
  <si>
    <t>KR7364970004</t>
  </si>
  <si>
    <t>TIGER KRX바이오K-뉴딜</t>
  </si>
  <si>
    <t>KR7365000009</t>
  </si>
  <si>
    <t>TIGER KRX인터넷K-뉴딜</t>
  </si>
  <si>
    <t>KR7138530001</t>
  </si>
  <si>
    <t>TIGER LG그룹+펀더멘털</t>
  </si>
  <si>
    <t>KR7138520002</t>
  </si>
  <si>
    <t>TIGER 삼성그룹펀더멘털</t>
  </si>
  <si>
    <t>KR7261060008</t>
  </si>
  <si>
    <t>TIGER 코스닥150IT</t>
  </si>
  <si>
    <t>KR7261070007</t>
  </si>
  <si>
    <t>TIGER 코스닥150바이오테크</t>
  </si>
  <si>
    <t>KR7376410007</t>
  </si>
  <si>
    <t>TIGER 탄소효율그린뉴딜</t>
  </si>
  <si>
    <t>KR7387280001</t>
  </si>
  <si>
    <t>TIGER 퓨처모빌리티액티브</t>
  </si>
  <si>
    <t>KR7138540000</t>
  </si>
  <si>
    <t>TIGER 현대차그룹+펀더멘털</t>
  </si>
  <si>
    <t>KR7289260002</t>
  </si>
  <si>
    <t>TIGER MSCI KOREA ESG리더스</t>
  </si>
  <si>
    <t>KR7289250003</t>
  </si>
  <si>
    <t>TIGER MSCI KOREA ESG유니버설</t>
  </si>
  <si>
    <t>원엔환율</t>
  </si>
  <si>
    <t>고위험</t>
    <phoneticPr fontId="1" type="noConversion"/>
  </si>
  <si>
    <t>원달러환율</t>
  </si>
  <si>
    <t>선진국투기등급채권</t>
  </si>
  <si>
    <t>증국주식</t>
  </si>
  <si>
    <t>중국주식</t>
  </si>
  <si>
    <t>중국섹터/테마주식</t>
  </si>
  <si>
    <t>KR7150460004</t>
  </si>
  <si>
    <t>TIGER 중국소비테마</t>
  </si>
  <si>
    <t>일본주식</t>
  </si>
  <si>
    <t>유럽주식</t>
  </si>
  <si>
    <t>신흥국주식</t>
  </si>
  <si>
    <t>미국주식</t>
  </si>
  <si>
    <t>미국섹터/테마주식</t>
  </si>
  <si>
    <t>글로벌섹터/테마주식</t>
  </si>
  <si>
    <t>KR7069500007</t>
    <phoneticPr fontId="1" type="noConversion"/>
  </si>
  <si>
    <t>KR7148020001</t>
    <phoneticPr fontId="1" type="noConversion"/>
  </si>
  <si>
    <t>KBSTAR 단기통안채</t>
    <phoneticPr fontId="1" type="noConversion"/>
  </si>
  <si>
    <t>KOSEF 단기자금</t>
    <phoneticPr fontId="1" type="noConversion"/>
  </si>
  <si>
    <t>KR7069500007</t>
  </si>
  <si>
    <t>KR7148020001</t>
  </si>
  <si>
    <t>현금</t>
    <phoneticPr fontId="1" type="noConversion"/>
  </si>
  <si>
    <t>한국주식</t>
    <phoneticPr fontId="1" type="noConversion"/>
  </si>
  <si>
    <t>한국국공채권</t>
    <phoneticPr fontId="1" type="noConversion"/>
  </si>
  <si>
    <t>코스콤로보1호 유형</t>
    <phoneticPr fontId="1" type="noConversion"/>
  </si>
  <si>
    <t>변동성 위험수익중립형</t>
    <phoneticPr fontId="1" type="noConversion"/>
  </si>
  <si>
    <t>변동성 공격투자형</t>
    <phoneticPr fontId="1" type="noConversion"/>
  </si>
  <si>
    <t>080-11-332795</t>
    <phoneticPr fontId="1" type="noConversion"/>
  </si>
  <si>
    <t>080-11-332803</t>
    <phoneticPr fontId="1" type="noConversion"/>
  </si>
  <si>
    <t>080-11-332811</t>
    <phoneticPr fontId="1" type="noConversion"/>
  </si>
  <si>
    <t>080-11-332571</t>
    <phoneticPr fontId="1" type="noConversion"/>
  </si>
  <si>
    <t>080-11-332746</t>
    <phoneticPr fontId="1" type="noConversion"/>
  </si>
  <si>
    <t>080-11-332753</t>
    <phoneticPr fontId="1" type="noConversion"/>
  </si>
  <si>
    <t xml:space="preserve">    (1) 화면 캡쳐</t>
    <phoneticPr fontId="1" type="noConversion"/>
  </si>
  <si>
    <t>펀드</t>
  </si>
  <si>
    <t>펀드명</t>
  </si>
  <si>
    <t>종목</t>
  </si>
  <si>
    <t>종목명</t>
  </si>
  <si>
    <t>당일증감</t>
  </si>
  <si>
    <t>수량</t>
  </si>
  <si>
    <t>취득가</t>
  </si>
  <si>
    <t>평가액</t>
  </si>
  <si>
    <t>평가손익</t>
  </si>
  <si>
    <t>구성비_x000D_
(%)</t>
  </si>
  <si>
    <t>수익율_x000D_
(%)</t>
  </si>
  <si>
    <t>단축코드_x000D_
(주식)</t>
  </si>
  <si>
    <t>원시취득가_x000D_
(주식)</t>
  </si>
  <si>
    <t>KOSPI/KOSDAQ_x000D_
비중(A)</t>
  </si>
  <si>
    <t>차이_x000D_
(구성비-A)</t>
  </si>
  <si>
    <t>R16501</t>
  </si>
  <si>
    <t>KRD010010001</t>
  </si>
  <si>
    <t>원화예금</t>
  </si>
  <si>
    <t>[합  계]</t>
  </si>
  <si>
    <t>R16502</t>
  </si>
  <si>
    <t>R16503</t>
  </si>
  <si>
    <t>R16504</t>
  </si>
  <si>
    <t>R16505</t>
  </si>
  <si>
    <t>R16506</t>
  </si>
  <si>
    <t>R16507</t>
  </si>
  <si>
    <t>R16508</t>
  </si>
  <si>
    <t>R16509</t>
  </si>
  <si>
    <t>R16511</t>
  </si>
  <si>
    <t>미래초개인로보적극1</t>
  </si>
  <si>
    <t>R16512</t>
  </si>
  <si>
    <t>미래초개인로보적극2</t>
  </si>
  <si>
    <t>R16513</t>
  </si>
  <si>
    <t>미래초개인로보적극3</t>
  </si>
  <si>
    <t>R16514</t>
  </si>
  <si>
    <t>미래초개인로보성장1</t>
  </si>
  <si>
    <t>R16515</t>
  </si>
  <si>
    <t>미래초개인로보성장2</t>
  </si>
  <si>
    <t>R16516</t>
  </si>
  <si>
    <t>미래초개인로보성장3</t>
  </si>
  <si>
    <t>R16517</t>
  </si>
  <si>
    <t>미래초개인로보안정1</t>
  </si>
  <si>
    <t>R16518</t>
  </si>
  <si>
    <t>미래초개인로보안정2</t>
  </si>
  <si>
    <t>R16519</t>
  </si>
  <si>
    <t>미래초개인로보안정3</t>
  </si>
  <si>
    <t>R16521</t>
  </si>
  <si>
    <t>미래테마로테션공격1</t>
  </si>
  <si>
    <t>R16522</t>
  </si>
  <si>
    <t>미래테마로테션공격2</t>
  </si>
  <si>
    <t>R16523</t>
  </si>
  <si>
    <t>미래테마로테션공격3</t>
  </si>
  <si>
    <t>R16524</t>
  </si>
  <si>
    <t>미래테마로테션적극1</t>
  </si>
  <si>
    <t>R16525</t>
  </si>
  <si>
    <t>미래테마로테션적극2</t>
  </si>
  <si>
    <t>R16526</t>
  </si>
  <si>
    <t>미래테마로테션적극3</t>
  </si>
  <si>
    <t>R16527</t>
  </si>
  <si>
    <t>미래테마로테션중립1</t>
  </si>
  <si>
    <t>R16528</t>
  </si>
  <si>
    <t>미래테마로테션중립2</t>
  </si>
  <si>
    <t>R16529</t>
  </si>
  <si>
    <t>미래테마로테션중립3</t>
  </si>
  <si>
    <t>R72002</t>
  </si>
  <si>
    <t>미래에셋 안정추구2</t>
  </si>
  <si>
    <t>KR7136340007</t>
  </si>
  <si>
    <t>KBSTAR 중기우량회사</t>
  </si>
  <si>
    <t>A136340</t>
  </si>
  <si>
    <t>A157450</t>
  </si>
  <si>
    <t>TIGER 단기선진하이일</t>
  </si>
  <si>
    <t>A182490</t>
  </si>
  <si>
    <t>A210780</t>
  </si>
  <si>
    <t>R72005</t>
  </si>
  <si>
    <t>미래에셋 위험중립2</t>
  </si>
  <si>
    <t>TIGER 미국S&amp;P500선물</t>
  </si>
  <si>
    <t>A143850</t>
  </si>
  <si>
    <t>R72008</t>
  </si>
  <si>
    <t>미래에셋 적극투자2</t>
  </si>
  <si>
    <t>일 자</t>
  </si>
  <si>
    <t>펀 드 명</t>
  </si>
  <si>
    <t>매매처명</t>
  </si>
  <si>
    <t>매매구분</t>
  </si>
  <si>
    <t>종 목 명</t>
  </si>
  <si>
    <t>매매수량</t>
  </si>
  <si>
    <t>매매단가</t>
  </si>
  <si>
    <t>매매금액</t>
  </si>
  <si>
    <t>매매손익</t>
  </si>
  <si>
    <t>신한금융투자</t>
  </si>
  <si>
    <t>매수</t>
  </si>
  <si>
    <t>매매처</t>
  </si>
  <si>
    <t>상태</t>
  </si>
  <si>
    <t>순자산</t>
  </si>
  <si>
    <t>예수금</t>
  </si>
  <si>
    <t>D2 예수금</t>
  </si>
  <si>
    <t>RP금액</t>
  </si>
  <si>
    <t>주식평가액</t>
  </si>
  <si>
    <t>채권평가액</t>
  </si>
  <si>
    <t>펀드평가액</t>
  </si>
  <si>
    <t>ELS평가액</t>
  </si>
  <si>
    <t>파생평가액</t>
  </si>
  <si>
    <t>기타금융상품_x000D_
평가액</t>
  </si>
  <si>
    <t>권리평가액</t>
  </si>
  <si>
    <t>투자자산_x000D_
평가총액</t>
  </si>
  <si>
    <t>순매입금액</t>
  </si>
  <si>
    <t>잔고기준일</t>
  </si>
  <si>
    <t>일임계좌번호</t>
  </si>
  <si>
    <t>회차</t>
  </si>
  <si>
    <t>처리일자</t>
  </si>
  <si>
    <t>순번</t>
  </si>
  <si>
    <t>정상</t>
  </si>
  <si>
    <t>미래에셋증권</t>
  </si>
  <si>
    <t>A114820</t>
  </si>
  <si>
    <t>R17011</t>
  </si>
  <si>
    <t>미래멀티에셋인컴공1</t>
  </si>
  <si>
    <t>R17012</t>
  </si>
  <si>
    <t>미래멀티에셋인컴공2</t>
  </si>
  <si>
    <t>R17013</t>
  </si>
  <si>
    <t>미래멀티에셋인컴공3</t>
  </si>
  <si>
    <t>R17014</t>
  </si>
  <si>
    <t>미래멀티에셋인컴적1</t>
  </si>
  <si>
    <t>R17015</t>
  </si>
  <si>
    <t>미래멀티에셋인컴적2</t>
  </si>
  <si>
    <t>R17016</t>
  </si>
  <si>
    <t>미래멀티에셋인컴적3</t>
  </si>
  <si>
    <t>R17017</t>
  </si>
  <si>
    <t>미래멀티에셋인컴중1</t>
  </si>
  <si>
    <t>R17018</t>
  </si>
  <si>
    <t>미래멀티에셋인컴중2</t>
  </si>
  <si>
    <t>R17019</t>
  </si>
  <si>
    <t>미래멀티에셋인컴중3</t>
  </si>
  <si>
    <t>R17020</t>
  </si>
  <si>
    <t>미래에셋AI크로스알파</t>
  </si>
  <si>
    <t>KR7000060004</t>
  </si>
  <si>
    <t>메리츠화재</t>
  </si>
  <si>
    <t>A000060</t>
  </si>
  <si>
    <t>KR7000270009</t>
  </si>
  <si>
    <t>기아</t>
  </si>
  <si>
    <t>A000270</t>
  </si>
  <si>
    <t>KR7000660001</t>
  </si>
  <si>
    <t>SK하이닉스</t>
  </si>
  <si>
    <t>A000660</t>
  </si>
  <si>
    <t>KR7003580008</t>
  </si>
  <si>
    <t>A003580</t>
  </si>
  <si>
    <t>KR7005380001</t>
  </si>
  <si>
    <t>현대차</t>
  </si>
  <si>
    <t>A005380</t>
  </si>
  <si>
    <t>KR7005490008</t>
  </si>
  <si>
    <t>A005490</t>
  </si>
  <si>
    <t>KR7005930003</t>
  </si>
  <si>
    <t>삼성전자</t>
  </si>
  <si>
    <t>A005930</t>
  </si>
  <si>
    <t>KR7006400006</t>
  </si>
  <si>
    <t>삼성SDI</t>
  </si>
  <si>
    <t>A006400</t>
  </si>
  <si>
    <t>KR7007340003</t>
  </si>
  <si>
    <t>디티알오토모티브</t>
  </si>
  <si>
    <t>A007340</t>
  </si>
  <si>
    <t>KR7009270000</t>
  </si>
  <si>
    <t>신원</t>
  </si>
  <si>
    <t>A009270</t>
  </si>
  <si>
    <t>KR7016710006</t>
  </si>
  <si>
    <t>대성홀딩스</t>
  </si>
  <si>
    <t>A016710</t>
  </si>
  <si>
    <t>KR7034120006</t>
  </si>
  <si>
    <t>SBS</t>
  </si>
  <si>
    <t>A034120</t>
  </si>
  <si>
    <t>KR7034830000</t>
  </si>
  <si>
    <t>한국토지신탁</t>
  </si>
  <si>
    <t>A034830</t>
  </si>
  <si>
    <t>KR7035420009</t>
  </si>
  <si>
    <t>NAVER</t>
  </si>
  <si>
    <t>A035420</t>
  </si>
  <si>
    <t>KR7035720002</t>
  </si>
  <si>
    <t>카카오</t>
  </si>
  <si>
    <t>A035720</t>
  </si>
  <si>
    <t>KR7042700005</t>
  </si>
  <si>
    <t>한미반도체</t>
  </si>
  <si>
    <t>A042700</t>
  </si>
  <si>
    <t>KR7051910008</t>
  </si>
  <si>
    <t>LG화학</t>
  </si>
  <si>
    <t>A051910</t>
  </si>
  <si>
    <t>KR7055490007</t>
  </si>
  <si>
    <t>테이팩스</t>
  </si>
  <si>
    <t>A055490</t>
  </si>
  <si>
    <t>KR7093230001</t>
  </si>
  <si>
    <t>이아이디</t>
  </si>
  <si>
    <t>A093230</t>
  </si>
  <si>
    <t>KR7105560007</t>
  </si>
  <si>
    <t>KB금융</t>
  </si>
  <si>
    <t>A105560</t>
  </si>
  <si>
    <t>KR7139130009</t>
  </si>
  <si>
    <t>DGB금융지주</t>
  </si>
  <si>
    <t>A139130</t>
  </si>
  <si>
    <t>KR7175330000</t>
  </si>
  <si>
    <t>JB금융지주</t>
  </si>
  <si>
    <t>A175330</t>
  </si>
  <si>
    <t>KR7207940008</t>
  </si>
  <si>
    <t>삼성바이오로직스</t>
  </si>
  <si>
    <t>A207940</t>
  </si>
  <si>
    <t>A277630</t>
  </si>
  <si>
    <t>KR7300720000</t>
  </si>
  <si>
    <t>한일시멘트</t>
  </si>
  <si>
    <t>A300720</t>
  </si>
  <si>
    <t>KR7373220003</t>
  </si>
  <si>
    <t>LG에너지솔루션</t>
  </si>
  <si>
    <t>A373220</t>
  </si>
  <si>
    <t>KR7003690005</t>
  </si>
  <si>
    <t>코리안리</t>
  </si>
  <si>
    <t>A003690</t>
  </si>
  <si>
    <t>KR7007690001</t>
  </si>
  <si>
    <t>국도화학</t>
  </si>
  <si>
    <t>A007690</t>
  </si>
  <si>
    <t>KR7068270008</t>
  </si>
  <si>
    <t>셀트리온</t>
  </si>
  <si>
    <t>A068270</t>
  </si>
  <si>
    <t>KR7183190008</t>
  </si>
  <si>
    <t>아세아시멘트</t>
  </si>
  <si>
    <t>A183190</t>
  </si>
  <si>
    <t>KR7323410001</t>
  </si>
  <si>
    <t>카카오뱅크</t>
  </si>
  <si>
    <t>A323410</t>
  </si>
  <si>
    <t>POSCO홀딩스</t>
  </si>
  <si>
    <t>KR7001560002</t>
  </si>
  <si>
    <t>제일연마</t>
  </si>
  <si>
    <t>A001560</t>
  </si>
  <si>
    <t>KR7002460004</t>
  </si>
  <si>
    <t>화성산업</t>
  </si>
  <si>
    <t>A002460</t>
  </si>
  <si>
    <t>KR7003030004</t>
  </si>
  <si>
    <t>세아제강지주</t>
  </si>
  <si>
    <t>A003030</t>
  </si>
  <si>
    <t>KR7003280005</t>
  </si>
  <si>
    <t>흥아해운</t>
  </si>
  <si>
    <t>A003280</t>
  </si>
  <si>
    <t>KR7003610003</t>
  </si>
  <si>
    <t>방림</t>
  </si>
  <si>
    <t>A003610</t>
  </si>
  <si>
    <t>KR7004690004</t>
  </si>
  <si>
    <t>삼천리</t>
  </si>
  <si>
    <t>A004690</t>
  </si>
  <si>
    <t>KR7004830006</t>
  </si>
  <si>
    <t>덕성</t>
  </si>
  <si>
    <t>A004830</t>
  </si>
  <si>
    <t>KR7005090006</t>
  </si>
  <si>
    <t>SGC에너지</t>
  </si>
  <si>
    <t>A005090</t>
  </si>
  <si>
    <t>KR7005610001</t>
  </si>
  <si>
    <t>SPC삼립</t>
  </si>
  <si>
    <t>A005610</t>
  </si>
  <si>
    <t>KR7006740005</t>
  </si>
  <si>
    <t>영풍제지</t>
  </si>
  <si>
    <t>A006740</t>
  </si>
  <si>
    <t>KR7008060006</t>
  </si>
  <si>
    <t>대덕</t>
  </si>
  <si>
    <t>A008060</t>
  </si>
  <si>
    <t>KR7009160003</t>
  </si>
  <si>
    <t>SIMPAC</t>
  </si>
  <si>
    <t>A009160</t>
  </si>
  <si>
    <t>KR7010050003</t>
  </si>
  <si>
    <t>우리종금</t>
  </si>
  <si>
    <t>A010050</t>
  </si>
  <si>
    <t>KR7011000007</t>
  </si>
  <si>
    <t>진원생명과학</t>
  </si>
  <si>
    <t>A011000</t>
  </si>
  <si>
    <t>KR7012630000</t>
  </si>
  <si>
    <t>HDC</t>
  </si>
  <si>
    <t>A012630</t>
  </si>
  <si>
    <t>KR7014280002</t>
  </si>
  <si>
    <t>금강공업</t>
  </si>
  <si>
    <t>A014280</t>
  </si>
  <si>
    <t>KR7015230006</t>
  </si>
  <si>
    <t>대창단조</t>
  </si>
  <si>
    <t>A015230</t>
  </si>
  <si>
    <t>KR7033920000</t>
  </si>
  <si>
    <t>무학</t>
  </si>
  <si>
    <t>A033920</t>
  </si>
  <si>
    <t>KR7055550008</t>
  </si>
  <si>
    <t>신한지주</t>
  </si>
  <si>
    <t>A055550</t>
  </si>
  <si>
    <t>KR7084010008</t>
  </si>
  <si>
    <t>대한제강</t>
  </si>
  <si>
    <t>A084010</t>
  </si>
  <si>
    <t>KR7194370003</t>
  </si>
  <si>
    <t>제이에스코퍼레이션</t>
  </si>
  <si>
    <t>A194370</t>
  </si>
  <si>
    <t>KR7344820006</t>
  </si>
  <si>
    <t>KCC글라스</t>
  </si>
  <si>
    <t>A344820</t>
  </si>
  <si>
    <t>KR7353200009</t>
  </si>
  <si>
    <t>대덕전자</t>
  </si>
  <si>
    <t>A353200</t>
  </si>
  <si>
    <t>A147970</t>
  </si>
  <si>
    <t>A174350</t>
  </si>
  <si>
    <t>HLB글로벌</t>
  </si>
  <si>
    <t>KR73363700A2</t>
  </si>
  <si>
    <t>솔루스첨단소재(유상)</t>
  </si>
  <si>
    <t>A33637A</t>
  </si>
  <si>
    <t>KR7000370007</t>
  </si>
  <si>
    <t>한화손해보험</t>
  </si>
  <si>
    <t>A000370</t>
  </si>
  <si>
    <t>KR7000400002</t>
  </si>
  <si>
    <t>롯데손해보험</t>
  </si>
  <si>
    <t>A000400</t>
  </si>
  <si>
    <t>KR7000680009</t>
  </si>
  <si>
    <t>LS네트웍스</t>
  </si>
  <si>
    <t>A000680</t>
  </si>
  <si>
    <t>KR7000970004</t>
  </si>
  <si>
    <t>한국주철관</t>
  </si>
  <si>
    <t>A000970</t>
  </si>
  <si>
    <t>KR7001430008</t>
  </si>
  <si>
    <t>세아베스틸지주</t>
  </si>
  <si>
    <t>A001430</t>
  </si>
  <si>
    <t>KR7001520006</t>
  </si>
  <si>
    <t>동양</t>
  </si>
  <si>
    <t>A001520</t>
  </si>
  <si>
    <t>KR7001530005</t>
  </si>
  <si>
    <t>DI동일</t>
  </si>
  <si>
    <t>A001530</t>
  </si>
  <si>
    <t>KR7001820000</t>
  </si>
  <si>
    <t>삼화콘덴서</t>
  </si>
  <si>
    <t>A001820</t>
  </si>
  <si>
    <t>KR7002100006</t>
  </si>
  <si>
    <t>경농</t>
  </si>
  <si>
    <t>A002100</t>
  </si>
  <si>
    <t>KR7002210003</t>
  </si>
  <si>
    <t>동성제약</t>
  </si>
  <si>
    <t>A002210</t>
  </si>
  <si>
    <t>KR7003060001</t>
  </si>
  <si>
    <t>에이프로젠제약</t>
  </si>
  <si>
    <t>A003060</t>
  </si>
  <si>
    <t>KR7003230000</t>
  </si>
  <si>
    <t>삼양식품</t>
  </si>
  <si>
    <t>A003230</t>
  </si>
  <si>
    <t>KR7003540002</t>
  </si>
  <si>
    <t>대신증권</t>
  </si>
  <si>
    <t>A003540</t>
  </si>
  <si>
    <t>KR7003560000</t>
  </si>
  <si>
    <t>IHQ</t>
  </si>
  <si>
    <t>A003560</t>
  </si>
  <si>
    <t>KR7005500004</t>
  </si>
  <si>
    <t>삼진제약</t>
  </si>
  <si>
    <t>A005500</t>
  </si>
  <si>
    <t>KR7005690003</t>
  </si>
  <si>
    <t>파미셀</t>
  </si>
  <si>
    <t>A005690</t>
  </si>
  <si>
    <t>KR7006890008</t>
  </si>
  <si>
    <t>태경케미컬</t>
  </si>
  <si>
    <t>A006890</t>
  </si>
  <si>
    <t>KR7007570005</t>
  </si>
  <si>
    <t>일양약품</t>
  </si>
  <si>
    <t>A007570</t>
  </si>
  <si>
    <t>KR7007860000</t>
  </si>
  <si>
    <t>서연</t>
  </si>
  <si>
    <t>A007860</t>
  </si>
  <si>
    <t>KR7009410002</t>
  </si>
  <si>
    <t>태영건설</t>
  </si>
  <si>
    <t>A009410</t>
  </si>
  <si>
    <t>KR7009970005</t>
  </si>
  <si>
    <t>영원무역홀딩스</t>
  </si>
  <si>
    <t>A009970</t>
  </si>
  <si>
    <t>KR7011930005</t>
  </si>
  <si>
    <t>신성이엔지</t>
  </si>
  <si>
    <t>A011930</t>
  </si>
  <si>
    <t>KR7012030003</t>
  </si>
  <si>
    <t>DB</t>
  </si>
  <si>
    <t>A012030</t>
  </si>
  <si>
    <t>KR7012510004</t>
  </si>
  <si>
    <t>더존비즈온</t>
  </si>
  <si>
    <t>A012510</t>
  </si>
  <si>
    <t>KR7013580006</t>
  </si>
  <si>
    <t>계룡건설</t>
  </si>
  <si>
    <t>A013580</t>
  </si>
  <si>
    <t>KR7017810003</t>
  </si>
  <si>
    <t>풀무원</t>
  </si>
  <si>
    <t>A017810</t>
  </si>
  <si>
    <t>KR7018670000</t>
  </si>
  <si>
    <t>SK가스</t>
  </si>
  <si>
    <t>A018670</t>
  </si>
  <si>
    <t>KR7020120002</t>
  </si>
  <si>
    <t>키다리스튜디오</t>
  </si>
  <si>
    <t>A020120</t>
  </si>
  <si>
    <t>KR7024090003</t>
  </si>
  <si>
    <t>디씨엠</t>
  </si>
  <si>
    <t>A024090</t>
  </si>
  <si>
    <t>KR7028260008</t>
  </si>
  <si>
    <t>삼성물산</t>
  </si>
  <si>
    <t>A028260</t>
  </si>
  <si>
    <t>KR7030210009</t>
  </si>
  <si>
    <t>다올투자증권</t>
  </si>
  <si>
    <t>A030210</t>
  </si>
  <si>
    <t>KR7033270000</t>
  </si>
  <si>
    <t>유나이티드제약</t>
  </si>
  <si>
    <t>A033270</t>
  </si>
  <si>
    <t>KR7035510007</t>
  </si>
  <si>
    <t>신세계 I&amp;C</t>
  </si>
  <si>
    <t>A035510</t>
  </si>
  <si>
    <t>KR7036420008</t>
  </si>
  <si>
    <t>콘텐트리중앙</t>
  </si>
  <si>
    <t>A036420</t>
  </si>
  <si>
    <t>KR7039130000</t>
  </si>
  <si>
    <t>하나투어</t>
  </si>
  <si>
    <t>A039130</t>
  </si>
  <si>
    <t>KR7075580001</t>
  </si>
  <si>
    <t>세진중공업</t>
  </si>
  <si>
    <t>A075580</t>
  </si>
  <si>
    <t>KR7077500007</t>
  </si>
  <si>
    <t>유니퀘스트</t>
  </si>
  <si>
    <t>A077500</t>
  </si>
  <si>
    <t>KR7079430005</t>
  </si>
  <si>
    <t>현대리바트</t>
  </si>
  <si>
    <t>A079430</t>
  </si>
  <si>
    <t>KR7082740002</t>
  </si>
  <si>
    <t>HSD엔진</t>
  </si>
  <si>
    <t>A082740</t>
  </si>
  <si>
    <t>KR7089860001</t>
  </si>
  <si>
    <t>롯데렌탈</t>
  </si>
  <si>
    <t>A089860</t>
  </si>
  <si>
    <t>KR7102460003</t>
  </si>
  <si>
    <t>이연제약</t>
  </si>
  <si>
    <t>A102460</t>
  </si>
  <si>
    <t>KR7108670001</t>
  </si>
  <si>
    <t>LX하우시스</t>
  </si>
  <si>
    <t>A108670</t>
  </si>
  <si>
    <t>KR7137310009</t>
  </si>
  <si>
    <t>에스디바이오센서</t>
  </si>
  <si>
    <t>A137310</t>
  </si>
  <si>
    <t>KR7145720009</t>
  </si>
  <si>
    <t>덴티움</t>
  </si>
  <si>
    <t>A145720</t>
  </si>
  <si>
    <t>KR7181710005</t>
  </si>
  <si>
    <t>NHN</t>
  </si>
  <si>
    <t>A181710</t>
  </si>
  <si>
    <t>KR7192650000</t>
  </si>
  <si>
    <t>드림텍</t>
  </si>
  <si>
    <t>A192650</t>
  </si>
  <si>
    <t>KR7229640008</t>
  </si>
  <si>
    <t>LS전선아시아</t>
  </si>
  <si>
    <t>A229640</t>
  </si>
  <si>
    <t>KR7248070005</t>
  </si>
  <si>
    <t>솔루엠</t>
  </si>
  <si>
    <t>A248070</t>
  </si>
  <si>
    <t>KR7271940009</t>
  </si>
  <si>
    <t>일진하이솔루스</t>
  </si>
  <si>
    <t>A271940</t>
  </si>
  <si>
    <t>KR7298000001</t>
  </si>
  <si>
    <t>효성화학</t>
  </si>
  <si>
    <t>A298000</t>
  </si>
  <si>
    <t>KR7298040007</t>
  </si>
  <si>
    <t>효성중공업</t>
  </si>
  <si>
    <t>A298040</t>
  </si>
  <si>
    <t>KR7306200007</t>
  </si>
  <si>
    <t>세아제강</t>
  </si>
  <si>
    <t>A306200</t>
  </si>
  <si>
    <t>KR7307950006</t>
  </si>
  <si>
    <t>현대오토에버</t>
  </si>
  <si>
    <t>A307950</t>
  </si>
  <si>
    <t>KR7381970003</t>
  </si>
  <si>
    <t>케이카</t>
  </si>
  <si>
    <t>A381970</t>
  </si>
  <si>
    <t>KR7383220001</t>
  </si>
  <si>
    <t>F&amp;F</t>
  </si>
  <si>
    <t>A383220</t>
  </si>
  <si>
    <t>R18181</t>
  </si>
  <si>
    <t>미래멀티에셋_국_적1</t>
  </si>
  <si>
    <t>A133690</t>
  </si>
  <si>
    <t>KR7195980008</t>
  </si>
  <si>
    <t>ARIRANG 신흥국MSCI(</t>
  </si>
  <si>
    <t>A195980</t>
  </si>
  <si>
    <t>KR7251350005</t>
  </si>
  <si>
    <t>KODEX 선진국MSCI Wor</t>
  </si>
  <si>
    <t>A251350</t>
  </si>
  <si>
    <t>TIGER 글로벌자원생산</t>
  </si>
  <si>
    <t>A276000</t>
  </si>
  <si>
    <t>A302190</t>
  </si>
  <si>
    <t>KR7304660004</t>
  </si>
  <si>
    <t>KODEX 미국채울트라30</t>
  </si>
  <si>
    <t>A304660</t>
  </si>
  <si>
    <t>A360750</t>
  </si>
  <si>
    <t>KR7411060007</t>
  </si>
  <si>
    <t>KINDEX KRX금현물</t>
  </si>
  <si>
    <t>A411060</t>
  </si>
  <si>
    <t>R18182</t>
  </si>
  <si>
    <t>미래멀티에셋_국_적2</t>
  </si>
  <si>
    <t>R18183</t>
  </si>
  <si>
    <t>미래멀티에셋_국_적3</t>
  </si>
  <si>
    <t>R18184</t>
  </si>
  <si>
    <t>미래멀티에셋_국_중1</t>
  </si>
  <si>
    <t>TIGER 리츠부동산인프</t>
  </si>
  <si>
    <t>A329200</t>
  </si>
  <si>
    <t>R18185</t>
  </si>
  <si>
    <t>미래멀티에셋_국_중2</t>
  </si>
  <si>
    <t>R18186</t>
  </si>
  <si>
    <t>미래멀티에셋_국_중3</t>
  </si>
  <si>
    <t>R18187</t>
  </si>
  <si>
    <t>미래멀티에셋_국_안1</t>
  </si>
  <si>
    <t>R18188</t>
  </si>
  <si>
    <t>미래멀티에셋_국_안2</t>
  </si>
  <si>
    <t>R18189</t>
  </si>
  <si>
    <t>미래멀티에셋_국_안3</t>
  </si>
  <si>
    <t>R18191</t>
  </si>
  <si>
    <t>미래멀티에셋_해_적1</t>
  </si>
  <si>
    <t>R18192</t>
  </si>
  <si>
    <t>미래멀티에셋_해_적2</t>
  </si>
  <si>
    <t>R18193</t>
  </si>
  <si>
    <t>미래멀티에셋_해_적3</t>
  </si>
  <si>
    <t>R18194</t>
  </si>
  <si>
    <t>미래멀티에셋_해_중1</t>
  </si>
  <si>
    <t>R18195</t>
  </si>
  <si>
    <t>미래멀티에셋_해_중2</t>
  </si>
  <si>
    <t>R18196</t>
  </si>
  <si>
    <t>미래멀티에셋_해_중3</t>
  </si>
  <si>
    <t>R18197</t>
  </si>
  <si>
    <t>미래멀티에셋_해_안1</t>
  </si>
  <si>
    <t>R18198</t>
  </si>
  <si>
    <t>미래멀티에셋_해_안2</t>
  </si>
  <si>
    <t>R18199</t>
  </si>
  <si>
    <t>미래멀티에셋_해_안3</t>
  </si>
  <si>
    <t>매도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</si>
</sst>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0&quot;종목이상&quot;"/>
    <numFmt numFmtId="178" formatCode="0.00_ "/>
    <numFmt numFmtId="179" formatCode="yyyy\-mm\-dd"/>
    <numFmt numFmtId="180" formatCode="0.0%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b/>
      <sz val="11"/>
      <color rgb="FFFFFF0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theme="0" tint="-4.9989318521683403E-2"/>
      <name val="맑은 고딕"/>
      <family val="3"/>
      <charset val="129"/>
    </font>
    <font>
      <i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rgb="FF333333"/>
      <name val="Arial"/>
      <family val="2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0"/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122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10" fillId="0" borderId="1" xfId="1" applyFont="1" applyFill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11" fillId="2" borderId="15" xfId="0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>
      <alignment vertical="center"/>
    </xf>
    <xf numFmtId="10" fontId="3" fillId="0" borderId="0" xfId="3" applyNumberFormat="1" applyFont="1">
      <alignment vertical="center"/>
    </xf>
    <xf numFmtId="178" fontId="2" fillId="0" borderId="3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top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10" fontId="3" fillId="0" borderId="0" xfId="3" applyNumberFormat="1" applyFont="1" applyBorder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1" fillId="3" borderId="1" xfId="0" applyFont="1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3" fillId="3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>
      <alignment vertical="center"/>
    </xf>
    <xf numFmtId="0" fontId="14" fillId="3" borderId="12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26" fillId="0" borderId="1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left" vertical="top"/>
    </xf>
    <xf numFmtId="0" fontId="12" fillId="2" borderId="18" xfId="0" applyFont="1" applyFill="1" applyBorder="1" applyAlignment="1">
      <alignment horizontal="center" vertical="center"/>
    </xf>
    <xf numFmtId="10" fontId="3" fillId="0" borderId="19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0" xfId="0">
      <alignment vertical="center"/>
    </xf>
    <xf numFmtId="0" fontId="8" fillId="3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9" fontId="27" fillId="0" borderId="0" xfId="0" applyNumberFormat="1" applyFont="1">
      <alignment vertical="center"/>
    </xf>
    <xf numFmtId="180" fontId="27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1" fillId="2" borderId="4" xfId="0" applyNumberFormat="1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</cellXfs>
  <cellStyles count="5">
    <cellStyle name="XLConnect.Boolean" xfId="4"/>
    <cellStyle name="백분율" xfId="3" builtinId="5"/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5</xdr:row>
      <xdr:rowOff>142875</xdr:rowOff>
    </xdr:from>
    <xdr:to>
      <xdr:col>11</xdr:col>
      <xdr:colOff>114300</xdr:colOff>
      <xdr:row>15</xdr:row>
      <xdr:rowOff>142875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190625"/>
          <a:ext cx="6419850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17</xdr:row>
      <xdr:rowOff>66675</xdr:rowOff>
    </xdr:from>
    <xdr:to>
      <xdr:col>11</xdr:col>
      <xdr:colOff>85725</xdr:colOff>
      <xdr:row>27</xdr:row>
      <xdr:rowOff>104775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3629025"/>
          <a:ext cx="6419850" cy="2133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533400</xdr:colOff>
      <xdr:row>5</xdr:row>
      <xdr:rowOff>104775</xdr:rowOff>
    </xdr:from>
    <xdr:to>
      <xdr:col>21</xdr:col>
      <xdr:colOff>123825</xdr:colOff>
      <xdr:row>15</xdr:row>
      <xdr:rowOff>142875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39125" y="1152525"/>
          <a:ext cx="6448425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99"/>
        </a:solidFill>
        <a:ln w="635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7"/>
  <sheetViews>
    <sheetView workbookViewId="0"/>
  </sheetViews>
  <sheetFormatPr defaultRowHeight="16.5" x14ac:dyDescent="0.3"/>
  <cols>
    <col min="1" max="2" width="9" style="74"/>
    <col min="3" max="3" width="20.375" style="74" bestFit="1" customWidth="1"/>
    <col min="4" max="4" width="9" style="74"/>
    <col min="5" max="5" width="22.5" style="74" bestFit="1" customWidth="1"/>
    <col min="6" max="6" width="9" style="74"/>
    <col min="7" max="9" width="10.25" style="74" bestFit="1" customWidth="1"/>
    <col min="10" max="13" width="9" style="74"/>
    <col min="14" max="14" width="10.25" style="74" bestFit="1" customWidth="1"/>
    <col min="15" max="16" width="9" style="74"/>
    <col min="17" max="17" width="14.375" style="74" bestFit="1" customWidth="1"/>
    <col min="18" max="18" width="11.125" style="74" bestFit="1" customWidth="1"/>
    <col min="19" max="16384" width="9" style="74"/>
  </cols>
  <sheetData>
    <row r="1" spans="2:18" x14ac:dyDescent="0.3">
      <c r="R1" s="44">
        <f>'12501'!B4</f>
        <v>44694</v>
      </c>
    </row>
    <row r="3" spans="2:18" ht="49.5" x14ac:dyDescent="0.3">
      <c r="B3" s="102" t="s">
        <v>402</v>
      </c>
      <c r="C3" s="102" t="s">
        <v>403</v>
      </c>
      <c r="D3" s="102" t="s">
        <v>404</v>
      </c>
      <c r="E3" s="102" t="s">
        <v>405</v>
      </c>
      <c r="F3" s="102" t="s">
        <v>406</v>
      </c>
      <c r="G3" s="102" t="s">
        <v>407</v>
      </c>
      <c r="H3" s="102" t="s">
        <v>408</v>
      </c>
      <c r="I3" s="102" t="s">
        <v>409</v>
      </c>
      <c r="J3" s="102" t="s">
        <v>410</v>
      </c>
      <c r="K3" s="103" t="s">
        <v>411</v>
      </c>
      <c r="L3" s="103" t="s">
        <v>412</v>
      </c>
      <c r="M3" s="103" t="s">
        <v>413</v>
      </c>
      <c r="N3" s="103" t="s">
        <v>414</v>
      </c>
      <c r="O3" s="103" t="s">
        <v>415</v>
      </c>
      <c r="P3" s="103" t="s">
        <v>416</v>
      </c>
    </row>
    <row r="4" spans="2:18" x14ac:dyDescent="0.3">
      <c r="B4" s="102" t="s">
        <v>417</v>
      </c>
      <c r="C4" s="102" t="s">
        <v>273</v>
      </c>
      <c r="D4" s="102" t="s">
        <v>387</v>
      </c>
      <c r="E4" s="102" t="s">
        <v>283</v>
      </c>
      <c r="F4" s="102">
        <v>1</v>
      </c>
      <c r="G4" s="102">
        <v>53</v>
      </c>
      <c r="H4" s="104">
        <v>2029925</v>
      </c>
      <c r="I4" s="104">
        <v>1874875</v>
      </c>
      <c r="J4" s="104">
        <v>-155050</v>
      </c>
      <c r="K4" s="102">
        <v>28.44</v>
      </c>
      <c r="L4" s="102">
        <v>-7.64</v>
      </c>
      <c r="M4" s="102" t="s">
        <v>284</v>
      </c>
      <c r="N4" s="104">
        <v>2029925</v>
      </c>
      <c r="O4" s="102">
        <v>0</v>
      </c>
      <c r="P4" s="102">
        <v>28.44</v>
      </c>
      <c r="Q4" s="74" t="str">
        <f>전체매매내역!D2</f>
        <v>080-11-332571</v>
      </c>
    </row>
    <row r="5" spans="2:18" x14ac:dyDescent="0.3">
      <c r="B5" s="102" t="s">
        <v>417</v>
      </c>
      <c r="C5" s="102" t="s">
        <v>273</v>
      </c>
      <c r="D5" s="102" t="s">
        <v>202</v>
      </c>
      <c r="E5" s="102" t="s">
        <v>203</v>
      </c>
      <c r="F5" s="102">
        <v>1</v>
      </c>
      <c r="G5" s="102">
        <v>53</v>
      </c>
      <c r="H5" s="104">
        <v>2030458</v>
      </c>
      <c r="I5" s="104">
        <v>1877260</v>
      </c>
      <c r="J5" s="104">
        <v>-153198</v>
      </c>
      <c r="K5" s="102">
        <v>28.48</v>
      </c>
      <c r="L5" s="102">
        <v>-7.54</v>
      </c>
      <c r="M5" s="102" t="s">
        <v>285</v>
      </c>
      <c r="N5" s="104">
        <v>2030458</v>
      </c>
      <c r="O5" s="102">
        <v>0</v>
      </c>
      <c r="P5" s="102">
        <v>28.48</v>
      </c>
      <c r="Q5" s="74" t="str">
        <f>전체매매내역!D3</f>
        <v>080-11-332571</v>
      </c>
    </row>
    <row r="6" spans="2:18" x14ac:dyDescent="0.3">
      <c r="B6" s="102" t="s">
        <v>417</v>
      </c>
      <c r="C6" s="102" t="s">
        <v>273</v>
      </c>
      <c r="D6" s="102" t="s">
        <v>114</v>
      </c>
      <c r="E6" s="102" t="s">
        <v>115</v>
      </c>
      <c r="F6" s="102">
        <v>0</v>
      </c>
      <c r="G6" s="102">
        <v>3</v>
      </c>
      <c r="H6" s="104">
        <v>303641</v>
      </c>
      <c r="I6" s="104">
        <v>303975</v>
      </c>
      <c r="J6" s="102">
        <v>334</v>
      </c>
      <c r="K6" s="102">
        <v>4.6100000000000003</v>
      </c>
      <c r="L6" s="102">
        <v>0.11</v>
      </c>
      <c r="M6" s="102" t="s">
        <v>286</v>
      </c>
      <c r="N6" s="104">
        <v>303641</v>
      </c>
      <c r="O6" s="102">
        <v>0</v>
      </c>
      <c r="P6" s="102">
        <v>4.6100000000000003</v>
      </c>
      <c r="Q6" s="74" t="str">
        <f>전체매매내역!D4</f>
        <v>080-11-332571</v>
      </c>
    </row>
    <row r="7" spans="2:18" x14ac:dyDescent="0.3">
      <c r="B7" s="102" t="s">
        <v>417</v>
      </c>
      <c r="C7" s="102" t="s">
        <v>273</v>
      </c>
      <c r="D7" s="102" t="s">
        <v>388</v>
      </c>
      <c r="E7" s="102" t="s">
        <v>282</v>
      </c>
      <c r="F7" s="102">
        <v>1</v>
      </c>
      <c r="G7" s="102">
        <v>52</v>
      </c>
      <c r="H7" s="104">
        <v>1998730</v>
      </c>
      <c r="I7" s="104">
        <v>1850680</v>
      </c>
      <c r="J7" s="104">
        <v>-148050</v>
      </c>
      <c r="K7" s="102">
        <v>28.08</v>
      </c>
      <c r="L7" s="102">
        <v>-7.41</v>
      </c>
      <c r="M7" s="102" t="s">
        <v>287</v>
      </c>
      <c r="N7" s="104">
        <v>1998730</v>
      </c>
      <c r="O7" s="102">
        <v>0</v>
      </c>
      <c r="P7" s="102">
        <v>28.08</v>
      </c>
      <c r="Q7" s="74" t="str">
        <f>전체매매내역!D5</f>
        <v>080-11-332571</v>
      </c>
    </row>
    <row r="8" spans="2:18" x14ac:dyDescent="0.3">
      <c r="B8" s="102" t="s">
        <v>417</v>
      </c>
      <c r="C8" s="102" t="s">
        <v>273</v>
      </c>
      <c r="D8" s="102" t="s">
        <v>110</v>
      </c>
      <c r="E8" s="102" t="s">
        <v>111</v>
      </c>
      <c r="F8" s="102">
        <v>0</v>
      </c>
      <c r="G8" s="102">
        <v>3</v>
      </c>
      <c r="H8" s="104">
        <v>314718</v>
      </c>
      <c r="I8" s="104">
        <v>315360</v>
      </c>
      <c r="J8" s="102">
        <v>642</v>
      </c>
      <c r="K8" s="102">
        <v>4.78</v>
      </c>
      <c r="L8" s="102">
        <v>0.2</v>
      </c>
      <c r="M8" s="102" t="s">
        <v>288</v>
      </c>
      <c r="N8" s="104">
        <v>314718</v>
      </c>
      <c r="O8" s="102">
        <v>0</v>
      </c>
      <c r="P8" s="102">
        <v>4.78</v>
      </c>
      <c r="Q8" s="74" t="str">
        <f>전체매매내역!D6</f>
        <v>080-11-332571</v>
      </c>
    </row>
    <row r="9" spans="2:18" x14ac:dyDescent="0.3">
      <c r="B9" s="102" t="s">
        <v>417</v>
      </c>
      <c r="C9" s="102" t="s">
        <v>273</v>
      </c>
      <c r="D9" s="102" t="s">
        <v>112</v>
      </c>
      <c r="E9" s="102" t="s">
        <v>113</v>
      </c>
      <c r="F9" s="102">
        <v>0</v>
      </c>
      <c r="G9" s="102">
        <v>5</v>
      </c>
      <c r="H9" s="104">
        <v>251652</v>
      </c>
      <c r="I9" s="104">
        <v>252450</v>
      </c>
      <c r="J9" s="102">
        <v>798</v>
      </c>
      <c r="K9" s="102">
        <v>3.83</v>
      </c>
      <c r="L9" s="102">
        <v>0.32</v>
      </c>
      <c r="M9" s="102" t="s">
        <v>289</v>
      </c>
      <c r="N9" s="104">
        <v>251652</v>
      </c>
      <c r="O9" s="102">
        <v>0</v>
      </c>
      <c r="P9" s="102">
        <v>3.83</v>
      </c>
      <c r="Q9" s="74" t="str">
        <f>전체매매내역!D7</f>
        <v>080-11-332571</v>
      </c>
    </row>
    <row r="10" spans="2:18" x14ac:dyDescent="0.3">
      <c r="B10" s="102" t="s">
        <v>417</v>
      </c>
      <c r="C10" s="102" t="s">
        <v>273</v>
      </c>
      <c r="D10" s="102" t="s">
        <v>418</v>
      </c>
      <c r="E10" s="102" t="s">
        <v>419</v>
      </c>
      <c r="F10" s="102">
        <v>0</v>
      </c>
      <c r="G10" s="104">
        <v>223533</v>
      </c>
      <c r="H10" s="104">
        <v>223533</v>
      </c>
      <c r="I10" s="104">
        <v>223533</v>
      </c>
      <c r="J10" s="102">
        <v>0</v>
      </c>
      <c r="K10" s="102">
        <v>3.39</v>
      </c>
      <c r="L10" s="102">
        <v>0</v>
      </c>
      <c r="M10" s="102"/>
      <c r="N10" s="102">
        <v>0</v>
      </c>
      <c r="O10" s="102"/>
      <c r="P10" s="102"/>
      <c r="Q10" s="74" t="str">
        <f>전체매매내역!D8</f>
        <v>080-11-332571</v>
      </c>
    </row>
    <row r="11" spans="2:18" x14ac:dyDescent="0.3">
      <c r="B11" s="102" t="s">
        <v>417</v>
      </c>
      <c r="C11" s="102" t="s">
        <v>273</v>
      </c>
      <c r="D11" s="102" t="s">
        <v>420</v>
      </c>
      <c r="E11" s="102"/>
      <c r="F11" s="102">
        <v>3</v>
      </c>
      <c r="G11" s="104">
        <v>223702</v>
      </c>
      <c r="H11" s="104">
        <v>7152657</v>
      </c>
      <c r="I11" s="104">
        <v>6698133</v>
      </c>
      <c r="J11" s="104">
        <v>-454524</v>
      </c>
      <c r="K11" s="102">
        <v>101.61</v>
      </c>
      <c r="L11" s="102">
        <v>-6.35</v>
      </c>
      <c r="M11" s="102"/>
      <c r="N11" s="104">
        <v>6929124</v>
      </c>
      <c r="O11" s="102"/>
      <c r="P11" s="102"/>
      <c r="Q11" s="74" t="str">
        <f>전체매매내역!D9</f>
        <v>080-11-332571</v>
      </c>
    </row>
    <row r="12" spans="2:18" x14ac:dyDescent="0.3">
      <c r="B12" s="102" t="s">
        <v>421</v>
      </c>
      <c r="C12" s="102" t="s">
        <v>274</v>
      </c>
      <c r="D12" s="102" t="s">
        <v>387</v>
      </c>
      <c r="E12" s="102" t="s">
        <v>283</v>
      </c>
      <c r="F12" s="102">
        <v>1</v>
      </c>
      <c r="G12" s="102">
        <v>75</v>
      </c>
      <c r="H12" s="104">
        <v>2868769</v>
      </c>
      <c r="I12" s="104">
        <v>2653125</v>
      </c>
      <c r="J12" s="104">
        <v>-215644</v>
      </c>
      <c r="K12" s="102">
        <v>28.17</v>
      </c>
      <c r="L12" s="102">
        <v>-7.52</v>
      </c>
      <c r="M12" s="102" t="s">
        <v>284</v>
      </c>
      <c r="N12" s="104">
        <v>2868769</v>
      </c>
      <c r="O12" s="102">
        <v>0</v>
      </c>
      <c r="P12" s="102">
        <v>28.17</v>
      </c>
      <c r="Q12" s="74" t="str">
        <f>전체매매내역!D10</f>
        <v>080-11-332746</v>
      </c>
    </row>
    <row r="13" spans="2:18" x14ac:dyDescent="0.3">
      <c r="B13" s="102" t="s">
        <v>421</v>
      </c>
      <c r="C13" s="102" t="s">
        <v>274</v>
      </c>
      <c r="D13" s="102" t="s">
        <v>202</v>
      </c>
      <c r="E13" s="102" t="s">
        <v>203</v>
      </c>
      <c r="F13" s="102">
        <v>1</v>
      </c>
      <c r="G13" s="102">
        <v>75</v>
      </c>
      <c r="H13" s="104">
        <v>2871839</v>
      </c>
      <c r="I13" s="104">
        <v>2656500</v>
      </c>
      <c r="J13" s="104">
        <v>-215339</v>
      </c>
      <c r="K13" s="102">
        <v>28.2</v>
      </c>
      <c r="L13" s="102">
        <v>-7.5</v>
      </c>
      <c r="M13" s="102" t="s">
        <v>285</v>
      </c>
      <c r="N13" s="104">
        <v>2871839</v>
      </c>
      <c r="O13" s="102">
        <v>0</v>
      </c>
      <c r="P13" s="102">
        <v>28.2</v>
      </c>
      <c r="Q13" s="74" t="str">
        <f>전체매매내역!D11</f>
        <v>080-11-332746</v>
      </c>
    </row>
    <row r="14" spans="2:18" x14ac:dyDescent="0.3">
      <c r="B14" s="102" t="s">
        <v>421</v>
      </c>
      <c r="C14" s="102" t="s">
        <v>274</v>
      </c>
      <c r="D14" s="102" t="s">
        <v>114</v>
      </c>
      <c r="E14" s="102" t="s">
        <v>115</v>
      </c>
      <c r="F14" s="102">
        <v>0</v>
      </c>
      <c r="G14" s="102">
        <v>4</v>
      </c>
      <c r="H14" s="104">
        <v>404923</v>
      </c>
      <c r="I14" s="104">
        <v>405300</v>
      </c>
      <c r="J14" s="102">
        <v>377</v>
      </c>
      <c r="K14" s="102">
        <v>4.3</v>
      </c>
      <c r="L14" s="102">
        <v>0.09</v>
      </c>
      <c r="M14" s="102" t="s">
        <v>286</v>
      </c>
      <c r="N14" s="104">
        <v>404923</v>
      </c>
      <c r="O14" s="102">
        <v>0</v>
      </c>
      <c r="P14" s="102">
        <v>4.3</v>
      </c>
      <c r="Q14" s="74" t="str">
        <f>전체매매내역!D12</f>
        <v>080-11-332746</v>
      </c>
    </row>
    <row r="15" spans="2:18" x14ac:dyDescent="0.3">
      <c r="B15" s="102" t="s">
        <v>421</v>
      </c>
      <c r="C15" s="102" t="s">
        <v>274</v>
      </c>
      <c r="D15" s="102" t="s">
        <v>388</v>
      </c>
      <c r="E15" s="102" t="s">
        <v>282</v>
      </c>
      <c r="F15" s="102">
        <v>1</v>
      </c>
      <c r="G15" s="102">
        <v>75</v>
      </c>
      <c r="H15" s="104">
        <v>2886536</v>
      </c>
      <c r="I15" s="104">
        <v>2669250</v>
      </c>
      <c r="J15" s="104">
        <v>-217286</v>
      </c>
      <c r="K15" s="102">
        <v>28.34</v>
      </c>
      <c r="L15" s="102">
        <v>-7.53</v>
      </c>
      <c r="M15" s="102" t="s">
        <v>287</v>
      </c>
      <c r="N15" s="104">
        <v>2886536</v>
      </c>
      <c r="O15" s="102">
        <v>0</v>
      </c>
      <c r="P15" s="102">
        <v>28.34</v>
      </c>
      <c r="Q15" s="74" t="str">
        <f>전체매매내역!D13</f>
        <v>080-11-332746</v>
      </c>
    </row>
    <row r="16" spans="2:18" x14ac:dyDescent="0.3">
      <c r="B16" s="102" t="s">
        <v>421</v>
      </c>
      <c r="C16" s="102" t="s">
        <v>274</v>
      </c>
      <c r="D16" s="102" t="s">
        <v>110</v>
      </c>
      <c r="E16" s="102" t="s">
        <v>111</v>
      </c>
      <c r="F16" s="102">
        <v>0</v>
      </c>
      <c r="G16" s="102">
        <v>4</v>
      </c>
      <c r="H16" s="104">
        <v>419743</v>
      </c>
      <c r="I16" s="104">
        <v>420480</v>
      </c>
      <c r="J16" s="102">
        <v>737</v>
      </c>
      <c r="K16" s="102">
        <v>4.46</v>
      </c>
      <c r="L16" s="102">
        <v>0.18</v>
      </c>
      <c r="M16" s="102" t="s">
        <v>288</v>
      </c>
      <c r="N16" s="104">
        <v>419743</v>
      </c>
      <c r="O16" s="102">
        <v>0</v>
      </c>
      <c r="P16" s="102">
        <v>4.46</v>
      </c>
      <c r="Q16" s="74" t="str">
        <f>전체매매내역!D14</f>
        <v>080-11-332746</v>
      </c>
    </row>
    <row r="17" spans="2:17" x14ac:dyDescent="0.3">
      <c r="B17" s="102" t="s">
        <v>421</v>
      </c>
      <c r="C17" s="102" t="s">
        <v>274</v>
      </c>
      <c r="D17" s="102" t="s">
        <v>112</v>
      </c>
      <c r="E17" s="102" t="s">
        <v>113</v>
      </c>
      <c r="F17" s="102">
        <v>0</v>
      </c>
      <c r="G17" s="102">
        <v>8</v>
      </c>
      <c r="H17" s="104">
        <v>402893</v>
      </c>
      <c r="I17" s="104">
        <v>403920</v>
      </c>
      <c r="J17" s="104">
        <v>1027</v>
      </c>
      <c r="K17" s="102">
        <v>4.29</v>
      </c>
      <c r="L17" s="102">
        <v>0.25</v>
      </c>
      <c r="M17" s="102" t="s">
        <v>289</v>
      </c>
      <c r="N17" s="104">
        <v>402893</v>
      </c>
      <c r="O17" s="102">
        <v>0</v>
      </c>
      <c r="P17" s="102">
        <v>4.29</v>
      </c>
      <c r="Q17" s="74" t="str">
        <f>전체매매내역!D15</f>
        <v>080-11-332746</v>
      </c>
    </row>
    <row r="18" spans="2:17" x14ac:dyDescent="0.3">
      <c r="B18" s="102" t="s">
        <v>421</v>
      </c>
      <c r="C18" s="102" t="s">
        <v>274</v>
      </c>
      <c r="D18" s="102" t="s">
        <v>418</v>
      </c>
      <c r="E18" s="102" t="s">
        <v>419</v>
      </c>
      <c r="F18" s="102">
        <v>0</v>
      </c>
      <c r="G18" s="104">
        <v>316866</v>
      </c>
      <c r="H18" s="104">
        <v>316866</v>
      </c>
      <c r="I18" s="104">
        <v>316866</v>
      </c>
      <c r="J18" s="102">
        <v>0</v>
      </c>
      <c r="K18" s="102">
        <v>3.36</v>
      </c>
      <c r="L18" s="102">
        <v>0</v>
      </c>
      <c r="M18" s="102"/>
      <c r="N18" s="102">
        <v>0</v>
      </c>
      <c r="O18" s="102"/>
      <c r="P18" s="102"/>
      <c r="Q18" s="74" t="str">
        <f>전체매매내역!D16</f>
        <v>080-11-332746</v>
      </c>
    </row>
    <row r="19" spans="2:17" x14ac:dyDescent="0.3">
      <c r="B19" s="102" t="s">
        <v>421</v>
      </c>
      <c r="C19" s="102" t="s">
        <v>274</v>
      </c>
      <c r="D19" s="102" t="s">
        <v>420</v>
      </c>
      <c r="E19" s="102"/>
      <c r="F19" s="102">
        <v>3</v>
      </c>
      <c r="G19" s="104">
        <v>317107</v>
      </c>
      <c r="H19" s="104">
        <v>10171569</v>
      </c>
      <c r="I19" s="104">
        <v>9525441</v>
      </c>
      <c r="J19" s="104">
        <v>-646128</v>
      </c>
      <c r="K19" s="102">
        <v>101.12</v>
      </c>
      <c r="L19" s="102">
        <v>-6.35</v>
      </c>
      <c r="M19" s="102"/>
      <c r="N19" s="104">
        <v>9854703</v>
      </c>
      <c r="O19" s="102"/>
      <c r="P19" s="102"/>
      <c r="Q19" s="74" t="str">
        <f>전체매매내역!D17</f>
        <v>080-11-332746</v>
      </c>
    </row>
    <row r="20" spans="2:17" x14ac:dyDescent="0.3">
      <c r="B20" s="102" t="s">
        <v>422</v>
      </c>
      <c r="C20" s="102" t="s">
        <v>275</v>
      </c>
      <c r="D20" s="102" t="s">
        <v>387</v>
      </c>
      <c r="E20" s="102" t="s">
        <v>283</v>
      </c>
      <c r="F20" s="102">
        <v>2</v>
      </c>
      <c r="G20" s="102">
        <v>98</v>
      </c>
      <c r="H20" s="104">
        <v>3752417</v>
      </c>
      <c r="I20" s="104">
        <v>3466750</v>
      </c>
      <c r="J20" s="104">
        <v>-285667</v>
      </c>
      <c r="K20" s="102">
        <v>28.32</v>
      </c>
      <c r="L20" s="102">
        <v>-7.61</v>
      </c>
      <c r="M20" s="102" t="s">
        <v>284</v>
      </c>
      <c r="N20" s="104">
        <v>3752417</v>
      </c>
      <c r="O20" s="102">
        <v>0</v>
      </c>
      <c r="P20" s="102">
        <v>28.32</v>
      </c>
      <c r="Q20" s="74" t="str">
        <f>전체매매내역!D18</f>
        <v>080-11-332753</v>
      </c>
    </row>
    <row r="21" spans="2:17" x14ac:dyDescent="0.3">
      <c r="B21" s="102" t="s">
        <v>422</v>
      </c>
      <c r="C21" s="102" t="s">
        <v>275</v>
      </c>
      <c r="D21" s="102" t="s">
        <v>202</v>
      </c>
      <c r="E21" s="102" t="s">
        <v>203</v>
      </c>
      <c r="F21" s="102">
        <v>2</v>
      </c>
      <c r="G21" s="102">
        <v>98</v>
      </c>
      <c r="H21" s="104">
        <v>3755888</v>
      </c>
      <c r="I21" s="104">
        <v>3471160</v>
      </c>
      <c r="J21" s="104">
        <v>-284728</v>
      </c>
      <c r="K21" s="102">
        <v>28.35</v>
      </c>
      <c r="L21" s="102">
        <v>-7.58</v>
      </c>
      <c r="M21" s="102" t="s">
        <v>285</v>
      </c>
      <c r="N21" s="104">
        <v>3755888</v>
      </c>
      <c r="O21" s="102">
        <v>0</v>
      </c>
      <c r="P21" s="102">
        <v>28.35</v>
      </c>
      <c r="Q21" s="74" t="str">
        <f>전체매매내역!D19</f>
        <v>080-11-332753</v>
      </c>
    </row>
    <row r="22" spans="2:17" x14ac:dyDescent="0.3">
      <c r="B22" s="102" t="s">
        <v>422</v>
      </c>
      <c r="C22" s="102" t="s">
        <v>275</v>
      </c>
      <c r="D22" s="102" t="s">
        <v>114</v>
      </c>
      <c r="E22" s="102" t="s">
        <v>115</v>
      </c>
      <c r="F22" s="102">
        <v>0</v>
      </c>
      <c r="G22" s="102">
        <v>5</v>
      </c>
      <c r="H22" s="104">
        <v>506148</v>
      </c>
      <c r="I22" s="104">
        <v>506625</v>
      </c>
      <c r="J22" s="102">
        <v>477</v>
      </c>
      <c r="K22" s="102">
        <v>4.1399999999999997</v>
      </c>
      <c r="L22" s="102">
        <v>0.09</v>
      </c>
      <c r="M22" s="102" t="s">
        <v>286</v>
      </c>
      <c r="N22" s="104">
        <v>506148</v>
      </c>
      <c r="O22" s="102">
        <v>0</v>
      </c>
      <c r="P22" s="102">
        <v>4.1399999999999997</v>
      </c>
      <c r="Q22" s="74" t="str">
        <f>전체매매내역!D20</f>
        <v>080-11-332753</v>
      </c>
    </row>
    <row r="23" spans="2:17" x14ac:dyDescent="0.3">
      <c r="B23" s="102" t="s">
        <v>422</v>
      </c>
      <c r="C23" s="102" t="s">
        <v>275</v>
      </c>
      <c r="D23" s="102" t="s">
        <v>388</v>
      </c>
      <c r="E23" s="102" t="s">
        <v>282</v>
      </c>
      <c r="F23" s="102">
        <v>1</v>
      </c>
      <c r="G23" s="102">
        <v>97</v>
      </c>
      <c r="H23" s="104">
        <v>3725333</v>
      </c>
      <c r="I23" s="104">
        <v>3452230</v>
      </c>
      <c r="J23" s="104">
        <v>-273103</v>
      </c>
      <c r="K23" s="102">
        <v>28.2</v>
      </c>
      <c r="L23" s="102">
        <v>-7.33</v>
      </c>
      <c r="M23" s="102" t="s">
        <v>287</v>
      </c>
      <c r="N23" s="104">
        <v>3725333</v>
      </c>
      <c r="O23" s="102">
        <v>0</v>
      </c>
      <c r="P23" s="102">
        <v>28.2</v>
      </c>
      <c r="Q23" s="74" t="str">
        <f>전체매매내역!D21</f>
        <v>080-11-332753</v>
      </c>
    </row>
    <row r="24" spans="2:17" x14ac:dyDescent="0.3">
      <c r="B24" s="102" t="s">
        <v>422</v>
      </c>
      <c r="C24" s="102" t="s">
        <v>275</v>
      </c>
      <c r="D24" s="102" t="s">
        <v>110</v>
      </c>
      <c r="E24" s="102" t="s">
        <v>111</v>
      </c>
      <c r="F24" s="102">
        <v>0</v>
      </c>
      <c r="G24" s="102">
        <v>5</v>
      </c>
      <c r="H24" s="104">
        <v>524753</v>
      </c>
      <c r="I24" s="104">
        <v>525600</v>
      </c>
      <c r="J24" s="102">
        <v>847</v>
      </c>
      <c r="K24" s="102">
        <v>4.29</v>
      </c>
      <c r="L24" s="102">
        <v>0.16</v>
      </c>
      <c r="M24" s="102" t="s">
        <v>288</v>
      </c>
      <c r="N24" s="104">
        <v>524753</v>
      </c>
      <c r="O24" s="102">
        <v>0</v>
      </c>
      <c r="P24" s="102">
        <v>4.29</v>
      </c>
      <c r="Q24" s="74" t="str">
        <f>전체매매내역!D22</f>
        <v>080-11-332753</v>
      </c>
    </row>
    <row r="25" spans="2:17" x14ac:dyDescent="0.3">
      <c r="B25" s="102" t="s">
        <v>422</v>
      </c>
      <c r="C25" s="102" t="s">
        <v>275</v>
      </c>
      <c r="D25" s="102" t="s">
        <v>112</v>
      </c>
      <c r="E25" s="102" t="s">
        <v>113</v>
      </c>
      <c r="F25" s="102">
        <v>0</v>
      </c>
      <c r="G25" s="102">
        <v>10</v>
      </c>
      <c r="H25" s="104">
        <v>503628</v>
      </c>
      <c r="I25" s="104">
        <v>504900</v>
      </c>
      <c r="J25" s="104">
        <v>1272</v>
      </c>
      <c r="K25" s="102">
        <v>4.12</v>
      </c>
      <c r="L25" s="102">
        <v>0.25</v>
      </c>
      <c r="M25" s="102" t="s">
        <v>289</v>
      </c>
      <c r="N25" s="104">
        <v>503628</v>
      </c>
      <c r="O25" s="102">
        <v>0</v>
      </c>
      <c r="P25" s="102">
        <v>4.12</v>
      </c>
      <c r="Q25" s="74" t="str">
        <f>전체매매내역!D23</f>
        <v>080-11-332753</v>
      </c>
    </row>
    <row r="26" spans="2:17" x14ac:dyDescent="0.3">
      <c r="B26" s="102" t="s">
        <v>422</v>
      </c>
      <c r="C26" s="102" t="s">
        <v>275</v>
      </c>
      <c r="D26" s="102" t="s">
        <v>418</v>
      </c>
      <c r="E26" s="102" t="s">
        <v>419</v>
      </c>
      <c r="F26" s="102">
        <v>0</v>
      </c>
      <c r="G26" s="104">
        <v>492001</v>
      </c>
      <c r="H26" s="104">
        <v>492001</v>
      </c>
      <c r="I26" s="104">
        <v>492001</v>
      </c>
      <c r="J26" s="102">
        <v>0</v>
      </c>
      <c r="K26" s="102">
        <v>4.0199999999999996</v>
      </c>
      <c r="L26" s="102">
        <v>0</v>
      </c>
      <c r="M26" s="102"/>
      <c r="N26" s="102">
        <v>0</v>
      </c>
      <c r="O26" s="102"/>
      <c r="P26" s="102"/>
      <c r="Q26" s="74" t="str">
        <f>전체매매내역!D24</f>
        <v>080-11-332753</v>
      </c>
    </row>
    <row r="27" spans="2:17" x14ac:dyDescent="0.3">
      <c r="B27" s="102" t="s">
        <v>422</v>
      </c>
      <c r="C27" s="102" t="s">
        <v>275</v>
      </c>
      <c r="D27" s="102" t="s">
        <v>420</v>
      </c>
      <c r="E27" s="102"/>
      <c r="F27" s="102">
        <v>5</v>
      </c>
      <c r="G27" s="104">
        <v>492314</v>
      </c>
      <c r="H27" s="104">
        <v>13260168</v>
      </c>
      <c r="I27" s="104">
        <v>12419266</v>
      </c>
      <c r="J27" s="104">
        <v>-840902</v>
      </c>
      <c r="K27" s="102">
        <v>101.44</v>
      </c>
      <c r="L27" s="102">
        <v>-6.34</v>
      </c>
      <c r="M27" s="102"/>
      <c r="N27" s="104">
        <v>12768167</v>
      </c>
      <c r="O27" s="102"/>
      <c r="P27" s="102"/>
      <c r="Q27" s="74" t="str">
        <f>전체매매내역!D25</f>
        <v>080-11-332753</v>
      </c>
    </row>
    <row r="28" spans="2:17" x14ac:dyDescent="0.3">
      <c r="B28" s="102" t="s">
        <v>423</v>
      </c>
      <c r="C28" s="102" t="s">
        <v>279</v>
      </c>
      <c r="D28" s="102" t="s">
        <v>387</v>
      </c>
      <c r="E28" s="102" t="s">
        <v>283</v>
      </c>
      <c r="F28" s="102">
        <v>0</v>
      </c>
      <c r="G28" s="102">
        <v>43</v>
      </c>
      <c r="H28" s="104">
        <v>1648592</v>
      </c>
      <c r="I28" s="104">
        <v>1521125</v>
      </c>
      <c r="J28" s="104">
        <v>-127467</v>
      </c>
      <c r="K28" s="102">
        <v>22.76</v>
      </c>
      <c r="L28" s="102">
        <v>-7.73</v>
      </c>
      <c r="M28" s="102" t="s">
        <v>284</v>
      </c>
      <c r="N28" s="104">
        <v>1648592</v>
      </c>
      <c r="O28" s="102">
        <v>0</v>
      </c>
      <c r="P28" s="102">
        <v>22.76</v>
      </c>
      <c r="Q28" s="74" t="str">
        <f>전체매매내역!D26</f>
        <v>080-11-332795</v>
      </c>
    </row>
    <row r="29" spans="2:17" x14ac:dyDescent="0.3">
      <c r="B29" s="102" t="s">
        <v>423</v>
      </c>
      <c r="C29" s="102" t="s">
        <v>279</v>
      </c>
      <c r="D29" s="102" t="s">
        <v>202</v>
      </c>
      <c r="E29" s="102" t="s">
        <v>203</v>
      </c>
      <c r="F29" s="102">
        <v>0</v>
      </c>
      <c r="G29" s="102">
        <v>43</v>
      </c>
      <c r="H29" s="104">
        <v>1648701</v>
      </c>
      <c r="I29" s="104">
        <v>1523060</v>
      </c>
      <c r="J29" s="104">
        <v>-125641</v>
      </c>
      <c r="K29" s="102">
        <v>22.78</v>
      </c>
      <c r="L29" s="102">
        <v>-7.62</v>
      </c>
      <c r="M29" s="102" t="s">
        <v>285</v>
      </c>
      <c r="N29" s="104">
        <v>1648701</v>
      </c>
      <c r="O29" s="102">
        <v>0</v>
      </c>
      <c r="P29" s="102">
        <v>22.78</v>
      </c>
      <c r="Q29" s="74" t="str">
        <f>전체매매내역!D27</f>
        <v>080-11-332795</v>
      </c>
    </row>
    <row r="30" spans="2:17" x14ac:dyDescent="0.3">
      <c r="B30" s="102" t="s">
        <v>423</v>
      </c>
      <c r="C30" s="102" t="s">
        <v>279</v>
      </c>
      <c r="D30" s="102" t="s">
        <v>114</v>
      </c>
      <c r="E30" s="102" t="s">
        <v>115</v>
      </c>
      <c r="F30" s="102">
        <v>0</v>
      </c>
      <c r="G30" s="102">
        <v>6</v>
      </c>
      <c r="H30" s="104">
        <v>607326</v>
      </c>
      <c r="I30" s="104">
        <v>607950</v>
      </c>
      <c r="J30" s="102">
        <v>624</v>
      </c>
      <c r="K30" s="102">
        <v>9.09</v>
      </c>
      <c r="L30" s="102">
        <v>0.1</v>
      </c>
      <c r="M30" s="102" t="s">
        <v>286</v>
      </c>
      <c r="N30" s="104">
        <v>607326</v>
      </c>
      <c r="O30" s="102">
        <v>0</v>
      </c>
      <c r="P30" s="102">
        <v>9.09</v>
      </c>
      <c r="Q30" s="74" t="str">
        <f>전체매매내역!D28</f>
        <v>080-11-332795</v>
      </c>
    </row>
    <row r="31" spans="2:17" x14ac:dyDescent="0.3">
      <c r="B31" s="102" t="s">
        <v>423</v>
      </c>
      <c r="C31" s="102" t="s">
        <v>279</v>
      </c>
      <c r="D31" s="102" t="s">
        <v>388</v>
      </c>
      <c r="E31" s="102" t="s">
        <v>282</v>
      </c>
      <c r="F31" s="102">
        <v>0</v>
      </c>
      <c r="G31" s="102">
        <v>42</v>
      </c>
      <c r="H31" s="104">
        <v>1609857</v>
      </c>
      <c r="I31" s="104">
        <v>1494780</v>
      </c>
      <c r="J31" s="104">
        <v>-115077</v>
      </c>
      <c r="K31" s="102">
        <v>22.36</v>
      </c>
      <c r="L31" s="102">
        <v>-7.15</v>
      </c>
      <c r="M31" s="102" t="s">
        <v>287</v>
      </c>
      <c r="N31" s="104">
        <v>1609857</v>
      </c>
      <c r="O31" s="102">
        <v>0</v>
      </c>
      <c r="P31" s="102">
        <v>22.36</v>
      </c>
      <c r="Q31" s="74" t="str">
        <f>전체매매내역!D29</f>
        <v>080-11-332795</v>
      </c>
    </row>
    <row r="32" spans="2:17" x14ac:dyDescent="0.3">
      <c r="B32" s="102" t="s">
        <v>423</v>
      </c>
      <c r="C32" s="102" t="s">
        <v>279</v>
      </c>
      <c r="D32" s="102" t="s">
        <v>110</v>
      </c>
      <c r="E32" s="102" t="s">
        <v>111</v>
      </c>
      <c r="F32" s="102">
        <v>0</v>
      </c>
      <c r="G32" s="102">
        <v>6</v>
      </c>
      <c r="H32" s="104">
        <v>629044</v>
      </c>
      <c r="I32" s="104">
        <v>630720</v>
      </c>
      <c r="J32" s="104">
        <v>1676</v>
      </c>
      <c r="K32" s="102">
        <v>9.44</v>
      </c>
      <c r="L32" s="102">
        <v>0.27</v>
      </c>
      <c r="M32" s="102" t="s">
        <v>288</v>
      </c>
      <c r="N32" s="104">
        <v>629044</v>
      </c>
      <c r="O32" s="102">
        <v>0</v>
      </c>
      <c r="P32" s="102">
        <v>9.44</v>
      </c>
      <c r="Q32" s="74" t="str">
        <f>전체매매내역!D30</f>
        <v>080-11-332795</v>
      </c>
    </row>
    <row r="33" spans="2:17" x14ac:dyDescent="0.3">
      <c r="B33" s="102" t="s">
        <v>423</v>
      </c>
      <c r="C33" s="102" t="s">
        <v>279</v>
      </c>
      <c r="D33" s="102" t="s">
        <v>112</v>
      </c>
      <c r="E33" s="102" t="s">
        <v>113</v>
      </c>
      <c r="F33" s="102">
        <v>0</v>
      </c>
      <c r="G33" s="102">
        <v>13</v>
      </c>
      <c r="H33" s="104">
        <v>653701</v>
      </c>
      <c r="I33" s="104">
        <v>656370</v>
      </c>
      <c r="J33" s="104">
        <v>2669</v>
      </c>
      <c r="K33" s="102">
        <v>9.82</v>
      </c>
      <c r="L33" s="102">
        <v>0.41</v>
      </c>
      <c r="M33" s="102" t="s">
        <v>289</v>
      </c>
      <c r="N33" s="104">
        <v>653701</v>
      </c>
      <c r="O33" s="102">
        <v>0</v>
      </c>
      <c r="P33" s="102">
        <v>9.82</v>
      </c>
      <c r="Q33" s="74" t="str">
        <f>전체매매내역!D31</f>
        <v>080-11-332795</v>
      </c>
    </row>
    <row r="34" spans="2:17" x14ac:dyDescent="0.3">
      <c r="B34" s="102" t="s">
        <v>423</v>
      </c>
      <c r="C34" s="102" t="s">
        <v>279</v>
      </c>
      <c r="D34" s="102" t="s">
        <v>418</v>
      </c>
      <c r="E34" s="102" t="s">
        <v>419</v>
      </c>
      <c r="F34" s="102">
        <v>0</v>
      </c>
      <c r="G34" s="104">
        <v>250559</v>
      </c>
      <c r="H34" s="104">
        <v>250559</v>
      </c>
      <c r="I34" s="104">
        <v>250559</v>
      </c>
      <c r="J34" s="102">
        <v>0</v>
      </c>
      <c r="K34" s="102">
        <v>3.75</v>
      </c>
      <c r="L34" s="102">
        <v>0</v>
      </c>
      <c r="M34" s="102"/>
      <c r="N34" s="102">
        <v>0</v>
      </c>
      <c r="O34" s="102"/>
      <c r="P34" s="102"/>
      <c r="Q34" s="74" t="str">
        <f>전체매매내역!D32</f>
        <v>080-11-332795</v>
      </c>
    </row>
    <row r="35" spans="2:17" x14ac:dyDescent="0.3">
      <c r="B35" s="102" t="s">
        <v>423</v>
      </c>
      <c r="C35" s="102" t="s">
        <v>279</v>
      </c>
      <c r="D35" s="102" t="s">
        <v>420</v>
      </c>
      <c r="E35" s="102"/>
      <c r="F35" s="102">
        <v>0</v>
      </c>
      <c r="G35" s="104">
        <v>250712</v>
      </c>
      <c r="H35" s="104">
        <v>7047780</v>
      </c>
      <c r="I35" s="104">
        <v>6684564</v>
      </c>
      <c r="J35" s="104">
        <v>-363216</v>
      </c>
      <c r="K35" s="102">
        <v>100</v>
      </c>
      <c r="L35" s="102">
        <v>-5.15</v>
      </c>
      <c r="M35" s="102"/>
      <c r="N35" s="104">
        <v>6797221</v>
      </c>
      <c r="O35" s="102"/>
      <c r="P35" s="102"/>
      <c r="Q35" s="74" t="str">
        <f>전체매매내역!D33</f>
        <v>080-11-332795</v>
      </c>
    </row>
    <row r="36" spans="2:17" x14ac:dyDescent="0.3">
      <c r="B36" s="102" t="s">
        <v>424</v>
      </c>
      <c r="C36" s="102" t="s">
        <v>280</v>
      </c>
      <c r="D36" s="102" t="s">
        <v>387</v>
      </c>
      <c r="E36" s="102" t="s">
        <v>283</v>
      </c>
      <c r="F36" s="102">
        <v>0</v>
      </c>
      <c r="G36" s="102">
        <v>61</v>
      </c>
      <c r="H36" s="104">
        <v>2333753</v>
      </c>
      <c r="I36" s="104">
        <v>2157875</v>
      </c>
      <c r="J36" s="104">
        <v>-175878</v>
      </c>
      <c r="K36" s="102">
        <v>22.6</v>
      </c>
      <c r="L36" s="102">
        <v>-7.54</v>
      </c>
      <c r="M36" s="102" t="s">
        <v>284</v>
      </c>
      <c r="N36" s="104">
        <v>2333753</v>
      </c>
      <c r="O36" s="102">
        <v>0</v>
      </c>
      <c r="P36" s="102">
        <v>22.6</v>
      </c>
      <c r="Q36" s="74" t="str">
        <f>전체매매내역!D34</f>
        <v>080-11-332803</v>
      </c>
    </row>
    <row r="37" spans="2:17" x14ac:dyDescent="0.3">
      <c r="B37" s="102" t="s">
        <v>424</v>
      </c>
      <c r="C37" s="102" t="s">
        <v>280</v>
      </c>
      <c r="D37" s="102" t="s">
        <v>202</v>
      </c>
      <c r="E37" s="102" t="s">
        <v>203</v>
      </c>
      <c r="F37" s="102">
        <v>0</v>
      </c>
      <c r="G37" s="102">
        <v>61</v>
      </c>
      <c r="H37" s="104">
        <v>2337120</v>
      </c>
      <c r="I37" s="104">
        <v>2160620</v>
      </c>
      <c r="J37" s="104">
        <v>-176500</v>
      </c>
      <c r="K37" s="102">
        <v>22.63</v>
      </c>
      <c r="L37" s="102">
        <v>-7.55</v>
      </c>
      <c r="M37" s="102" t="s">
        <v>285</v>
      </c>
      <c r="N37" s="104">
        <v>2337120</v>
      </c>
      <c r="O37" s="102">
        <v>0</v>
      </c>
      <c r="P37" s="102">
        <v>22.63</v>
      </c>
      <c r="Q37" s="74" t="str">
        <f>전체매매내역!D35</f>
        <v>080-11-332803</v>
      </c>
    </row>
    <row r="38" spans="2:17" x14ac:dyDescent="0.3">
      <c r="B38" s="102" t="s">
        <v>424</v>
      </c>
      <c r="C38" s="102" t="s">
        <v>280</v>
      </c>
      <c r="D38" s="102" t="s">
        <v>114</v>
      </c>
      <c r="E38" s="102" t="s">
        <v>115</v>
      </c>
      <c r="F38" s="102">
        <v>0</v>
      </c>
      <c r="G38" s="102">
        <v>9</v>
      </c>
      <c r="H38" s="104">
        <v>911310</v>
      </c>
      <c r="I38" s="104">
        <v>911925</v>
      </c>
      <c r="J38" s="102">
        <v>615</v>
      </c>
      <c r="K38" s="102">
        <v>9.5500000000000007</v>
      </c>
      <c r="L38" s="102">
        <v>7.0000000000000007E-2</v>
      </c>
      <c r="M38" s="102" t="s">
        <v>286</v>
      </c>
      <c r="N38" s="104">
        <v>911310</v>
      </c>
      <c r="O38" s="102">
        <v>0</v>
      </c>
      <c r="P38" s="102">
        <v>9.5500000000000007</v>
      </c>
      <c r="Q38" s="74" t="str">
        <f>전체매매내역!D36</f>
        <v>080-11-332803</v>
      </c>
    </row>
    <row r="39" spans="2:17" x14ac:dyDescent="0.3">
      <c r="B39" s="102" t="s">
        <v>424</v>
      </c>
      <c r="C39" s="102" t="s">
        <v>280</v>
      </c>
      <c r="D39" s="102" t="s">
        <v>388</v>
      </c>
      <c r="E39" s="102" t="s">
        <v>282</v>
      </c>
      <c r="F39" s="102">
        <v>0</v>
      </c>
      <c r="G39" s="102">
        <v>61</v>
      </c>
      <c r="H39" s="104">
        <v>2340818</v>
      </c>
      <c r="I39" s="104">
        <v>2170990</v>
      </c>
      <c r="J39" s="104">
        <v>-169828</v>
      </c>
      <c r="K39" s="102">
        <v>22.74</v>
      </c>
      <c r="L39" s="102">
        <v>-7.26</v>
      </c>
      <c r="M39" s="102" t="s">
        <v>287</v>
      </c>
      <c r="N39" s="104">
        <v>2340818</v>
      </c>
      <c r="O39" s="102">
        <v>0</v>
      </c>
      <c r="P39" s="102">
        <v>22.74</v>
      </c>
      <c r="Q39" s="74" t="str">
        <f>전체매매내역!D37</f>
        <v>080-11-332803</v>
      </c>
    </row>
    <row r="40" spans="2:17" x14ac:dyDescent="0.3">
      <c r="B40" s="102" t="s">
        <v>424</v>
      </c>
      <c r="C40" s="102" t="s">
        <v>280</v>
      </c>
      <c r="D40" s="102" t="s">
        <v>110</v>
      </c>
      <c r="E40" s="102" t="s">
        <v>111</v>
      </c>
      <c r="F40" s="102">
        <v>0</v>
      </c>
      <c r="G40" s="102">
        <v>9</v>
      </c>
      <c r="H40" s="104">
        <v>943291</v>
      </c>
      <c r="I40" s="104">
        <v>946080</v>
      </c>
      <c r="J40" s="104">
        <v>2789</v>
      </c>
      <c r="K40" s="102">
        <v>9.91</v>
      </c>
      <c r="L40" s="102">
        <v>0.3</v>
      </c>
      <c r="M40" s="102" t="s">
        <v>288</v>
      </c>
      <c r="N40" s="104">
        <v>943291</v>
      </c>
      <c r="O40" s="102">
        <v>0</v>
      </c>
      <c r="P40" s="102">
        <v>9.91</v>
      </c>
      <c r="Q40" s="74" t="str">
        <f>전체매매내역!D38</f>
        <v>080-11-332803</v>
      </c>
    </row>
    <row r="41" spans="2:17" x14ac:dyDescent="0.3">
      <c r="B41" s="102" t="s">
        <v>424</v>
      </c>
      <c r="C41" s="102" t="s">
        <v>280</v>
      </c>
      <c r="D41" s="102" t="s">
        <v>112</v>
      </c>
      <c r="E41" s="102" t="s">
        <v>113</v>
      </c>
      <c r="F41" s="102">
        <v>0</v>
      </c>
      <c r="G41" s="102">
        <v>18</v>
      </c>
      <c r="H41" s="104">
        <v>905063</v>
      </c>
      <c r="I41" s="104">
        <v>908820</v>
      </c>
      <c r="J41" s="104">
        <v>3757</v>
      </c>
      <c r="K41" s="102">
        <v>9.52</v>
      </c>
      <c r="L41" s="102">
        <v>0.42</v>
      </c>
      <c r="M41" s="102" t="s">
        <v>289</v>
      </c>
      <c r="N41" s="104">
        <v>905063</v>
      </c>
      <c r="O41" s="102">
        <v>0</v>
      </c>
      <c r="P41" s="102">
        <v>9.52</v>
      </c>
      <c r="Q41" s="74" t="str">
        <f>전체매매내역!D39</f>
        <v>080-11-332803</v>
      </c>
    </row>
    <row r="42" spans="2:17" x14ac:dyDescent="0.3">
      <c r="B42" s="102" t="s">
        <v>424</v>
      </c>
      <c r="C42" s="102" t="s">
        <v>280</v>
      </c>
      <c r="D42" s="102" t="s">
        <v>418</v>
      </c>
      <c r="E42" s="102" t="s">
        <v>419</v>
      </c>
      <c r="F42" s="102">
        <v>0</v>
      </c>
      <c r="G42" s="104">
        <v>290398</v>
      </c>
      <c r="H42" s="104">
        <v>290398</v>
      </c>
      <c r="I42" s="104">
        <v>290398</v>
      </c>
      <c r="J42" s="102">
        <v>0</v>
      </c>
      <c r="K42" s="102">
        <v>3.04</v>
      </c>
      <c r="L42" s="102">
        <v>0</v>
      </c>
      <c r="M42" s="102"/>
      <c r="N42" s="102">
        <v>0</v>
      </c>
      <c r="O42" s="102"/>
      <c r="P42" s="102"/>
      <c r="Q42" s="74" t="str">
        <f>전체매매내역!D40</f>
        <v>080-11-332803</v>
      </c>
    </row>
    <row r="43" spans="2:17" x14ac:dyDescent="0.3">
      <c r="B43" s="102" t="s">
        <v>424</v>
      </c>
      <c r="C43" s="102" t="s">
        <v>280</v>
      </c>
      <c r="D43" s="102" t="s">
        <v>420</v>
      </c>
      <c r="E43" s="102"/>
      <c r="F43" s="102">
        <v>0</v>
      </c>
      <c r="G43" s="104">
        <v>290617</v>
      </c>
      <c r="H43" s="104">
        <v>10061753</v>
      </c>
      <c r="I43" s="104">
        <v>9546708</v>
      </c>
      <c r="J43" s="104">
        <v>-515045</v>
      </c>
      <c r="K43" s="102">
        <v>99.99</v>
      </c>
      <c r="L43" s="102">
        <v>-5.12</v>
      </c>
      <c r="M43" s="102"/>
      <c r="N43" s="104">
        <v>9771355</v>
      </c>
      <c r="O43" s="102"/>
      <c r="P43" s="102"/>
      <c r="Q43" s="74" t="str">
        <f>전체매매내역!D41</f>
        <v>080-11-332803</v>
      </c>
    </row>
    <row r="44" spans="2:17" x14ac:dyDescent="0.3">
      <c r="B44" s="102" t="s">
        <v>425</v>
      </c>
      <c r="C44" s="102" t="s">
        <v>281</v>
      </c>
      <c r="D44" s="102" t="s">
        <v>387</v>
      </c>
      <c r="E44" s="102" t="s">
        <v>283</v>
      </c>
      <c r="F44" s="102">
        <v>0</v>
      </c>
      <c r="G44" s="102">
        <v>79</v>
      </c>
      <c r="H44" s="104">
        <v>3025772</v>
      </c>
      <c r="I44" s="104">
        <v>2794625</v>
      </c>
      <c r="J44" s="104">
        <v>-231147</v>
      </c>
      <c r="K44" s="102">
        <v>22.52</v>
      </c>
      <c r="L44" s="102">
        <v>-7.64</v>
      </c>
      <c r="M44" s="102" t="s">
        <v>284</v>
      </c>
      <c r="N44" s="104">
        <v>3025772</v>
      </c>
      <c r="O44" s="102">
        <v>0</v>
      </c>
      <c r="P44" s="102">
        <v>22.52</v>
      </c>
      <c r="Q44" s="74" t="str">
        <f>전체매매내역!D42</f>
        <v>080-11-332811</v>
      </c>
    </row>
    <row r="45" spans="2:17" x14ac:dyDescent="0.3">
      <c r="B45" s="102" t="s">
        <v>425</v>
      </c>
      <c r="C45" s="102" t="s">
        <v>281</v>
      </c>
      <c r="D45" s="102" t="s">
        <v>202</v>
      </c>
      <c r="E45" s="102" t="s">
        <v>203</v>
      </c>
      <c r="F45" s="102">
        <v>0</v>
      </c>
      <c r="G45" s="102">
        <v>79</v>
      </c>
      <c r="H45" s="104">
        <v>3028722</v>
      </c>
      <c r="I45" s="104">
        <v>2798180</v>
      </c>
      <c r="J45" s="104">
        <v>-230542</v>
      </c>
      <c r="K45" s="102">
        <v>22.55</v>
      </c>
      <c r="L45" s="102">
        <v>-7.61</v>
      </c>
      <c r="M45" s="102" t="s">
        <v>285</v>
      </c>
      <c r="N45" s="104">
        <v>3028722</v>
      </c>
      <c r="O45" s="102">
        <v>0</v>
      </c>
      <c r="P45" s="102">
        <v>22.55</v>
      </c>
      <c r="Q45" s="74" t="str">
        <f>전체매매내역!D43</f>
        <v>080-11-332811</v>
      </c>
    </row>
    <row r="46" spans="2:17" x14ac:dyDescent="0.3">
      <c r="B46" s="102" t="s">
        <v>425</v>
      </c>
      <c r="C46" s="102" t="s">
        <v>281</v>
      </c>
      <c r="D46" s="102" t="s">
        <v>114</v>
      </c>
      <c r="E46" s="102" t="s">
        <v>115</v>
      </c>
      <c r="F46" s="102">
        <v>0</v>
      </c>
      <c r="G46" s="102">
        <v>12</v>
      </c>
      <c r="H46" s="104">
        <v>1214749</v>
      </c>
      <c r="I46" s="104">
        <v>1215900</v>
      </c>
      <c r="J46" s="104">
        <v>1151</v>
      </c>
      <c r="K46" s="102">
        <v>9.8000000000000007</v>
      </c>
      <c r="L46" s="102">
        <v>0.09</v>
      </c>
      <c r="M46" s="102" t="s">
        <v>286</v>
      </c>
      <c r="N46" s="104">
        <v>1214749</v>
      </c>
      <c r="O46" s="102">
        <v>0</v>
      </c>
      <c r="P46" s="102">
        <v>9.8000000000000007</v>
      </c>
      <c r="Q46" s="74" t="str">
        <f>전체매매내역!D44</f>
        <v>080-11-332811</v>
      </c>
    </row>
    <row r="47" spans="2:17" x14ac:dyDescent="0.3">
      <c r="B47" s="102" t="s">
        <v>425</v>
      </c>
      <c r="C47" s="102" t="s">
        <v>281</v>
      </c>
      <c r="D47" s="102" t="s">
        <v>388</v>
      </c>
      <c r="E47" s="102" t="s">
        <v>282</v>
      </c>
      <c r="F47" s="102">
        <v>0</v>
      </c>
      <c r="G47" s="102">
        <v>79</v>
      </c>
      <c r="H47" s="104">
        <v>3030359</v>
      </c>
      <c r="I47" s="104">
        <v>2811610</v>
      </c>
      <c r="J47" s="104">
        <v>-218749</v>
      </c>
      <c r="K47" s="102">
        <v>22.66</v>
      </c>
      <c r="L47" s="102">
        <v>-7.22</v>
      </c>
      <c r="M47" s="102" t="s">
        <v>287</v>
      </c>
      <c r="N47" s="104">
        <v>3030359</v>
      </c>
      <c r="O47" s="102">
        <v>0</v>
      </c>
      <c r="P47" s="102">
        <v>22.66</v>
      </c>
      <c r="Q47" s="74" t="str">
        <f>전체매매내역!D45</f>
        <v>080-11-332811</v>
      </c>
    </row>
    <row r="48" spans="2:17" x14ac:dyDescent="0.3">
      <c r="B48" s="102" t="s">
        <v>425</v>
      </c>
      <c r="C48" s="102" t="s">
        <v>281</v>
      </c>
      <c r="D48" s="102" t="s">
        <v>110</v>
      </c>
      <c r="E48" s="102" t="s">
        <v>111</v>
      </c>
      <c r="F48" s="102">
        <v>0</v>
      </c>
      <c r="G48" s="102">
        <v>11</v>
      </c>
      <c r="H48" s="104">
        <v>1152398</v>
      </c>
      <c r="I48" s="104">
        <v>1156320</v>
      </c>
      <c r="J48" s="104">
        <v>3922</v>
      </c>
      <c r="K48" s="102">
        <v>9.32</v>
      </c>
      <c r="L48" s="102">
        <v>0.34</v>
      </c>
      <c r="M48" s="102" t="s">
        <v>288</v>
      </c>
      <c r="N48" s="104">
        <v>1152398</v>
      </c>
      <c r="O48" s="102">
        <v>0</v>
      </c>
      <c r="P48" s="102">
        <v>9.32</v>
      </c>
      <c r="Q48" s="74" t="str">
        <f>전체매매내역!D46</f>
        <v>080-11-332811</v>
      </c>
    </row>
    <row r="49" spans="2:17" x14ac:dyDescent="0.3">
      <c r="B49" s="102" t="s">
        <v>425</v>
      </c>
      <c r="C49" s="102" t="s">
        <v>281</v>
      </c>
      <c r="D49" s="102" t="s">
        <v>112</v>
      </c>
      <c r="E49" s="102" t="s">
        <v>113</v>
      </c>
      <c r="F49" s="102">
        <v>0</v>
      </c>
      <c r="G49" s="102">
        <v>23</v>
      </c>
      <c r="H49" s="104">
        <v>1156405</v>
      </c>
      <c r="I49" s="104">
        <v>1161270</v>
      </c>
      <c r="J49" s="104">
        <v>4865</v>
      </c>
      <c r="K49" s="102">
        <v>9.36</v>
      </c>
      <c r="L49" s="102">
        <v>0.42</v>
      </c>
      <c r="M49" s="102" t="s">
        <v>289</v>
      </c>
      <c r="N49" s="104">
        <v>1156405</v>
      </c>
      <c r="O49" s="102">
        <v>0</v>
      </c>
      <c r="P49" s="102">
        <v>9.36</v>
      </c>
      <c r="Q49" s="74" t="str">
        <f>전체매매내역!D47</f>
        <v>080-11-332811</v>
      </c>
    </row>
    <row r="50" spans="2:17" x14ac:dyDescent="0.3">
      <c r="B50" s="102" t="s">
        <v>425</v>
      </c>
      <c r="C50" s="102" t="s">
        <v>281</v>
      </c>
      <c r="D50" s="102" t="s">
        <v>418</v>
      </c>
      <c r="E50" s="102" t="s">
        <v>419</v>
      </c>
      <c r="F50" s="102">
        <v>0</v>
      </c>
      <c r="G50" s="104">
        <v>472597</v>
      </c>
      <c r="H50" s="104">
        <v>472597</v>
      </c>
      <c r="I50" s="104">
        <v>472597</v>
      </c>
      <c r="J50" s="102">
        <v>0</v>
      </c>
      <c r="K50" s="102">
        <v>3.81</v>
      </c>
      <c r="L50" s="102">
        <v>0</v>
      </c>
      <c r="M50" s="102"/>
      <c r="N50" s="102">
        <v>0</v>
      </c>
      <c r="O50" s="102"/>
      <c r="P50" s="102"/>
      <c r="Q50" s="74" t="str">
        <f>전체매매내역!D48</f>
        <v>080-11-332811</v>
      </c>
    </row>
    <row r="51" spans="2:17" x14ac:dyDescent="0.3">
      <c r="B51" s="102" t="s">
        <v>425</v>
      </c>
      <c r="C51" s="102" t="s">
        <v>281</v>
      </c>
      <c r="D51" s="102" t="s">
        <v>420</v>
      </c>
      <c r="E51" s="102"/>
      <c r="F51" s="102">
        <v>0</v>
      </c>
      <c r="G51" s="104">
        <v>472880</v>
      </c>
      <c r="H51" s="104">
        <v>13081002</v>
      </c>
      <c r="I51" s="104">
        <v>12410502</v>
      </c>
      <c r="J51" s="104">
        <v>-670500</v>
      </c>
      <c r="K51" s="102">
        <v>100.02</v>
      </c>
      <c r="L51" s="102">
        <v>-5.13</v>
      </c>
      <c r="M51" s="102"/>
      <c r="N51" s="104">
        <v>12608405</v>
      </c>
      <c r="O51" s="102"/>
      <c r="P51" s="102"/>
      <c r="Q51" s="74" t="str">
        <f>전체매매내역!D49</f>
        <v>080-11-332811</v>
      </c>
    </row>
    <row r="52" spans="2:17" x14ac:dyDescent="0.3">
      <c r="B52" s="102" t="s">
        <v>426</v>
      </c>
      <c r="C52" s="102" t="s">
        <v>276</v>
      </c>
      <c r="D52" s="102" t="s">
        <v>387</v>
      </c>
      <c r="E52" s="102" t="s">
        <v>283</v>
      </c>
      <c r="F52" s="102">
        <v>0</v>
      </c>
      <c r="G52" s="102">
        <v>33</v>
      </c>
      <c r="H52" s="104">
        <v>1261083</v>
      </c>
      <c r="I52" s="104">
        <v>1167375</v>
      </c>
      <c r="J52" s="104">
        <v>-93708</v>
      </c>
      <c r="K52" s="102">
        <v>17.239999999999998</v>
      </c>
      <c r="L52" s="102">
        <v>-7.43</v>
      </c>
      <c r="M52" s="102" t="s">
        <v>284</v>
      </c>
      <c r="N52" s="104">
        <v>1261083</v>
      </c>
      <c r="O52" s="102">
        <v>0</v>
      </c>
      <c r="P52" s="102">
        <v>17.239999999999998</v>
      </c>
      <c r="Q52" s="74" t="str">
        <f>전체매매내역!D50</f>
        <v>080-11-332761</v>
      </c>
    </row>
    <row r="53" spans="2:17" x14ac:dyDescent="0.3">
      <c r="B53" s="102" t="s">
        <v>426</v>
      </c>
      <c r="C53" s="102" t="s">
        <v>276</v>
      </c>
      <c r="D53" s="102" t="s">
        <v>202</v>
      </c>
      <c r="E53" s="102" t="s">
        <v>203</v>
      </c>
      <c r="F53" s="102">
        <v>0</v>
      </c>
      <c r="G53" s="102">
        <v>32</v>
      </c>
      <c r="H53" s="104">
        <v>1227817</v>
      </c>
      <c r="I53" s="104">
        <v>1133440</v>
      </c>
      <c r="J53" s="104">
        <v>-94377</v>
      </c>
      <c r="K53" s="102">
        <v>16.739999999999998</v>
      </c>
      <c r="L53" s="102">
        <v>-7.69</v>
      </c>
      <c r="M53" s="102" t="s">
        <v>285</v>
      </c>
      <c r="N53" s="104">
        <v>1227817</v>
      </c>
      <c r="O53" s="102">
        <v>0</v>
      </c>
      <c r="P53" s="102">
        <v>16.739999999999998</v>
      </c>
      <c r="Q53" s="74" t="str">
        <f>전체매매내역!D51</f>
        <v>080-11-332761</v>
      </c>
    </row>
    <row r="54" spans="2:17" x14ac:dyDescent="0.3">
      <c r="B54" s="102" t="s">
        <v>426</v>
      </c>
      <c r="C54" s="102" t="s">
        <v>276</v>
      </c>
      <c r="D54" s="102" t="s">
        <v>114</v>
      </c>
      <c r="E54" s="102" t="s">
        <v>115</v>
      </c>
      <c r="F54" s="102">
        <v>0</v>
      </c>
      <c r="G54" s="102">
        <v>10</v>
      </c>
      <c r="H54" s="104">
        <v>1012545</v>
      </c>
      <c r="I54" s="104">
        <v>1013250</v>
      </c>
      <c r="J54" s="102">
        <v>705</v>
      </c>
      <c r="K54" s="102">
        <v>14.96</v>
      </c>
      <c r="L54" s="102">
        <v>7.0000000000000007E-2</v>
      </c>
      <c r="M54" s="102" t="s">
        <v>286</v>
      </c>
      <c r="N54" s="104">
        <v>1012545</v>
      </c>
      <c r="O54" s="102">
        <v>0</v>
      </c>
      <c r="P54" s="102">
        <v>14.96</v>
      </c>
      <c r="Q54" s="74" t="str">
        <f>전체매매내역!D52</f>
        <v>080-11-332761</v>
      </c>
    </row>
    <row r="55" spans="2:17" x14ac:dyDescent="0.3">
      <c r="B55" s="102" t="s">
        <v>426</v>
      </c>
      <c r="C55" s="102" t="s">
        <v>276</v>
      </c>
      <c r="D55" s="102" t="s">
        <v>388</v>
      </c>
      <c r="E55" s="102" t="s">
        <v>282</v>
      </c>
      <c r="F55" s="102">
        <v>0</v>
      </c>
      <c r="G55" s="102">
        <v>32</v>
      </c>
      <c r="H55" s="104">
        <v>1225329</v>
      </c>
      <c r="I55" s="104">
        <v>1138880</v>
      </c>
      <c r="J55" s="104">
        <v>-86449</v>
      </c>
      <c r="K55" s="102">
        <v>16.82</v>
      </c>
      <c r="L55" s="102">
        <v>-7.06</v>
      </c>
      <c r="M55" s="102" t="s">
        <v>287</v>
      </c>
      <c r="N55" s="104">
        <v>1225329</v>
      </c>
      <c r="O55" s="102">
        <v>0</v>
      </c>
      <c r="P55" s="102">
        <v>16.82</v>
      </c>
      <c r="Q55" s="74" t="str">
        <f>전체매매내역!D53</f>
        <v>080-11-332761</v>
      </c>
    </row>
    <row r="56" spans="2:17" x14ac:dyDescent="0.3">
      <c r="B56" s="102" t="s">
        <v>426</v>
      </c>
      <c r="C56" s="102" t="s">
        <v>276</v>
      </c>
      <c r="D56" s="102" t="s">
        <v>110</v>
      </c>
      <c r="E56" s="102" t="s">
        <v>111</v>
      </c>
      <c r="F56" s="102">
        <v>0</v>
      </c>
      <c r="G56" s="102">
        <v>10</v>
      </c>
      <c r="H56" s="104">
        <v>1047461</v>
      </c>
      <c r="I56" s="104">
        <v>1051200</v>
      </c>
      <c r="J56" s="104">
        <v>3739</v>
      </c>
      <c r="K56" s="102">
        <v>15.52</v>
      </c>
      <c r="L56" s="102">
        <v>0.36</v>
      </c>
      <c r="M56" s="102" t="s">
        <v>288</v>
      </c>
      <c r="N56" s="104">
        <v>1047461</v>
      </c>
      <c r="O56" s="102">
        <v>0</v>
      </c>
      <c r="P56" s="102">
        <v>15.52</v>
      </c>
      <c r="Q56" s="74" t="str">
        <f>전체매매내역!D54</f>
        <v>080-11-332761</v>
      </c>
    </row>
    <row r="57" spans="2:17" x14ac:dyDescent="0.3">
      <c r="B57" s="102" t="s">
        <v>426</v>
      </c>
      <c r="C57" s="102" t="s">
        <v>276</v>
      </c>
      <c r="D57" s="102" t="s">
        <v>112</v>
      </c>
      <c r="E57" s="102" t="s">
        <v>113</v>
      </c>
      <c r="F57" s="102">
        <v>0</v>
      </c>
      <c r="G57" s="102">
        <v>20</v>
      </c>
      <c r="H57" s="104">
        <v>1004677</v>
      </c>
      <c r="I57" s="104">
        <v>1009800</v>
      </c>
      <c r="J57" s="104">
        <v>5123</v>
      </c>
      <c r="K57" s="102">
        <v>14.91</v>
      </c>
      <c r="L57" s="102">
        <v>0.51</v>
      </c>
      <c r="M57" s="102" t="s">
        <v>289</v>
      </c>
      <c r="N57" s="104">
        <v>1004677</v>
      </c>
      <c r="O57" s="102">
        <v>0</v>
      </c>
      <c r="P57" s="102">
        <v>14.91</v>
      </c>
      <c r="Q57" s="74" t="str">
        <f>전체매매내역!D55</f>
        <v>080-11-332761</v>
      </c>
    </row>
    <row r="58" spans="2:17" x14ac:dyDescent="0.3">
      <c r="B58" s="102" t="s">
        <v>426</v>
      </c>
      <c r="C58" s="102" t="s">
        <v>276</v>
      </c>
      <c r="D58" s="102" t="s">
        <v>418</v>
      </c>
      <c r="E58" s="102" t="s">
        <v>419</v>
      </c>
      <c r="F58" s="102">
        <v>0</v>
      </c>
      <c r="G58" s="104">
        <v>258689</v>
      </c>
      <c r="H58" s="104">
        <v>258689</v>
      </c>
      <c r="I58" s="104">
        <v>258689</v>
      </c>
      <c r="J58" s="102">
        <v>0</v>
      </c>
      <c r="K58" s="102">
        <v>3.82</v>
      </c>
      <c r="L58" s="102">
        <v>0</v>
      </c>
      <c r="M58" s="102"/>
      <c r="N58" s="102">
        <v>0</v>
      </c>
      <c r="O58" s="102"/>
      <c r="P58" s="102"/>
      <c r="Q58" s="74" t="str">
        <f>전체매매내역!D56</f>
        <v>080-11-332761</v>
      </c>
    </row>
    <row r="59" spans="2:17" x14ac:dyDescent="0.3">
      <c r="B59" s="102" t="s">
        <v>426</v>
      </c>
      <c r="C59" s="102" t="s">
        <v>276</v>
      </c>
      <c r="D59" s="102" t="s">
        <v>420</v>
      </c>
      <c r="E59" s="102"/>
      <c r="F59" s="102">
        <v>0</v>
      </c>
      <c r="G59" s="104">
        <v>258826</v>
      </c>
      <c r="H59" s="104">
        <v>7037601</v>
      </c>
      <c r="I59" s="104">
        <v>6772634</v>
      </c>
      <c r="J59" s="104">
        <v>-264967</v>
      </c>
      <c r="K59" s="102">
        <v>100.01</v>
      </c>
      <c r="L59" s="102">
        <v>-3.77</v>
      </c>
      <c r="M59" s="102"/>
      <c r="N59" s="104">
        <v>6778912</v>
      </c>
      <c r="O59" s="102"/>
      <c r="P59" s="102"/>
      <c r="Q59" s="74" t="str">
        <f>전체매매내역!D57</f>
        <v>080-11-332761</v>
      </c>
    </row>
    <row r="60" spans="2:17" x14ac:dyDescent="0.3">
      <c r="B60" s="102" t="s">
        <v>427</v>
      </c>
      <c r="C60" s="102" t="s">
        <v>277</v>
      </c>
      <c r="D60" s="102" t="s">
        <v>387</v>
      </c>
      <c r="E60" s="102" t="s">
        <v>283</v>
      </c>
      <c r="F60" s="102">
        <v>0</v>
      </c>
      <c r="G60" s="102">
        <v>46</v>
      </c>
      <c r="H60" s="104">
        <v>1760543</v>
      </c>
      <c r="I60" s="104">
        <v>1627250</v>
      </c>
      <c r="J60" s="104">
        <v>-133293</v>
      </c>
      <c r="K60" s="102">
        <v>16.82</v>
      </c>
      <c r="L60" s="102">
        <v>-7.57</v>
      </c>
      <c r="M60" s="102" t="s">
        <v>284</v>
      </c>
      <c r="N60" s="104">
        <v>1760543</v>
      </c>
      <c r="O60" s="102">
        <v>0</v>
      </c>
      <c r="P60" s="102">
        <v>16.82</v>
      </c>
      <c r="Q60" s="74" t="str">
        <f>전체매매내역!D58</f>
        <v>080-11-332779</v>
      </c>
    </row>
    <row r="61" spans="2:17" x14ac:dyDescent="0.3">
      <c r="B61" s="102" t="s">
        <v>427</v>
      </c>
      <c r="C61" s="102" t="s">
        <v>277</v>
      </c>
      <c r="D61" s="102" t="s">
        <v>202</v>
      </c>
      <c r="E61" s="102" t="s">
        <v>203</v>
      </c>
      <c r="F61" s="102">
        <v>0</v>
      </c>
      <c r="G61" s="102">
        <v>46</v>
      </c>
      <c r="H61" s="104">
        <v>1760480</v>
      </c>
      <c r="I61" s="104">
        <v>1629320</v>
      </c>
      <c r="J61" s="104">
        <v>-131160</v>
      </c>
      <c r="K61" s="102">
        <v>16.84</v>
      </c>
      <c r="L61" s="102">
        <v>-7.45</v>
      </c>
      <c r="M61" s="102" t="s">
        <v>285</v>
      </c>
      <c r="N61" s="104">
        <v>1760480</v>
      </c>
      <c r="O61" s="102">
        <v>0</v>
      </c>
      <c r="P61" s="102">
        <v>16.84</v>
      </c>
      <c r="Q61" s="74" t="str">
        <f>전체매매내역!D59</f>
        <v>080-11-332779</v>
      </c>
    </row>
    <row r="62" spans="2:17" x14ac:dyDescent="0.3">
      <c r="B62" s="102" t="s">
        <v>427</v>
      </c>
      <c r="C62" s="102" t="s">
        <v>277</v>
      </c>
      <c r="D62" s="102" t="s">
        <v>114</v>
      </c>
      <c r="E62" s="102" t="s">
        <v>115</v>
      </c>
      <c r="F62" s="102">
        <v>0</v>
      </c>
      <c r="G62" s="102">
        <v>14</v>
      </c>
      <c r="H62" s="104">
        <v>1417437</v>
      </c>
      <c r="I62" s="104">
        <v>1418550</v>
      </c>
      <c r="J62" s="104">
        <v>1113</v>
      </c>
      <c r="K62" s="102">
        <v>14.66</v>
      </c>
      <c r="L62" s="102">
        <v>0.08</v>
      </c>
      <c r="M62" s="102" t="s">
        <v>286</v>
      </c>
      <c r="N62" s="104">
        <v>1417437</v>
      </c>
      <c r="O62" s="102">
        <v>0</v>
      </c>
      <c r="P62" s="102">
        <v>14.66</v>
      </c>
      <c r="Q62" s="74" t="str">
        <f>전체매매내역!D60</f>
        <v>080-11-332779</v>
      </c>
    </row>
    <row r="63" spans="2:17" x14ac:dyDescent="0.3">
      <c r="B63" s="102" t="s">
        <v>427</v>
      </c>
      <c r="C63" s="102" t="s">
        <v>277</v>
      </c>
      <c r="D63" s="102" t="s">
        <v>388</v>
      </c>
      <c r="E63" s="102" t="s">
        <v>282</v>
      </c>
      <c r="F63" s="102">
        <v>0</v>
      </c>
      <c r="G63" s="102">
        <v>46</v>
      </c>
      <c r="H63" s="104">
        <v>1766431</v>
      </c>
      <c r="I63" s="104">
        <v>1637140</v>
      </c>
      <c r="J63" s="104">
        <v>-129291</v>
      </c>
      <c r="K63" s="102">
        <v>16.920000000000002</v>
      </c>
      <c r="L63" s="102">
        <v>-7.32</v>
      </c>
      <c r="M63" s="102" t="s">
        <v>287</v>
      </c>
      <c r="N63" s="104">
        <v>1766431</v>
      </c>
      <c r="O63" s="102">
        <v>0</v>
      </c>
      <c r="P63" s="102">
        <v>16.920000000000002</v>
      </c>
      <c r="Q63" s="74" t="str">
        <f>전체매매내역!D61</f>
        <v>080-11-332779</v>
      </c>
    </row>
    <row r="64" spans="2:17" x14ac:dyDescent="0.3">
      <c r="B64" s="102" t="s">
        <v>427</v>
      </c>
      <c r="C64" s="102" t="s">
        <v>277</v>
      </c>
      <c r="D64" s="102" t="s">
        <v>110</v>
      </c>
      <c r="E64" s="102" t="s">
        <v>111</v>
      </c>
      <c r="F64" s="102">
        <v>0</v>
      </c>
      <c r="G64" s="102">
        <v>14</v>
      </c>
      <c r="H64" s="104">
        <v>1466534</v>
      </c>
      <c r="I64" s="104">
        <v>1471680</v>
      </c>
      <c r="J64" s="104">
        <v>5146</v>
      </c>
      <c r="K64" s="102">
        <v>15.21</v>
      </c>
      <c r="L64" s="102">
        <v>0.35</v>
      </c>
      <c r="M64" s="102" t="s">
        <v>288</v>
      </c>
      <c r="N64" s="104">
        <v>1466534</v>
      </c>
      <c r="O64" s="102">
        <v>0</v>
      </c>
      <c r="P64" s="102">
        <v>15.21</v>
      </c>
      <c r="Q64" s="74" t="str">
        <f>전체매매내역!D62</f>
        <v>080-11-332779</v>
      </c>
    </row>
    <row r="65" spans="2:17" x14ac:dyDescent="0.3">
      <c r="B65" s="102" t="s">
        <v>427</v>
      </c>
      <c r="C65" s="102" t="s">
        <v>277</v>
      </c>
      <c r="D65" s="102" t="s">
        <v>112</v>
      </c>
      <c r="E65" s="102" t="s">
        <v>113</v>
      </c>
      <c r="F65" s="102">
        <v>0</v>
      </c>
      <c r="G65" s="102">
        <v>29</v>
      </c>
      <c r="H65" s="104">
        <v>1457012</v>
      </c>
      <c r="I65" s="104">
        <v>1464210</v>
      </c>
      <c r="J65" s="104">
        <v>7198</v>
      </c>
      <c r="K65" s="102">
        <v>15.13</v>
      </c>
      <c r="L65" s="102">
        <v>0.49</v>
      </c>
      <c r="M65" s="102" t="s">
        <v>289</v>
      </c>
      <c r="N65" s="104">
        <v>1457012</v>
      </c>
      <c r="O65" s="102">
        <v>0</v>
      </c>
      <c r="P65" s="102">
        <v>15.13</v>
      </c>
      <c r="Q65" s="74" t="str">
        <f>전체매매내역!D63</f>
        <v>080-11-332779</v>
      </c>
    </row>
    <row r="66" spans="2:17" x14ac:dyDescent="0.3">
      <c r="B66" s="102" t="s">
        <v>427</v>
      </c>
      <c r="C66" s="102" t="s">
        <v>277</v>
      </c>
      <c r="D66" s="102" t="s">
        <v>418</v>
      </c>
      <c r="E66" s="102" t="s">
        <v>419</v>
      </c>
      <c r="F66" s="102">
        <v>0</v>
      </c>
      <c r="G66" s="104">
        <v>427294</v>
      </c>
      <c r="H66" s="104">
        <v>427294</v>
      </c>
      <c r="I66" s="104">
        <v>427294</v>
      </c>
      <c r="J66" s="102">
        <v>0</v>
      </c>
      <c r="K66" s="102">
        <v>4.42</v>
      </c>
      <c r="L66" s="102">
        <v>0</v>
      </c>
      <c r="M66" s="102"/>
      <c r="N66" s="102">
        <v>0</v>
      </c>
      <c r="O66" s="102"/>
      <c r="P66" s="102"/>
      <c r="Q66" s="74" t="str">
        <f>전체매매내역!D64</f>
        <v>080-11-332779</v>
      </c>
    </row>
    <row r="67" spans="2:17" x14ac:dyDescent="0.3">
      <c r="B67" s="102" t="s">
        <v>427</v>
      </c>
      <c r="C67" s="102" t="s">
        <v>277</v>
      </c>
      <c r="D67" s="102" t="s">
        <v>420</v>
      </c>
      <c r="E67" s="102"/>
      <c r="F67" s="102">
        <v>0</v>
      </c>
      <c r="G67" s="104">
        <v>427489</v>
      </c>
      <c r="H67" s="104">
        <v>10055731</v>
      </c>
      <c r="I67" s="104">
        <v>9675444</v>
      </c>
      <c r="J67" s="104">
        <v>-380287</v>
      </c>
      <c r="K67" s="102">
        <v>100</v>
      </c>
      <c r="L67" s="102">
        <v>-3.78</v>
      </c>
      <c r="M67" s="102"/>
      <c r="N67" s="104">
        <v>9628437</v>
      </c>
      <c r="O67" s="102"/>
      <c r="P67" s="102"/>
      <c r="Q67" s="74" t="str">
        <f>전체매매내역!D65</f>
        <v>080-11-332779</v>
      </c>
    </row>
    <row r="68" spans="2:17" x14ac:dyDescent="0.3">
      <c r="B68" s="102" t="s">
        <v>428</v>
      </c>
      <c r="C68" s="102" t="s">
        <v>278</v>
      </c>
      <c r="D68" s="102" t="s">
        <v>387</v>
      </c>
      <c r="E68" s="102" t="s">
        <v>283</v>
      </c>
      <c r="F68" s="102">
        <v>0</v>
      </c>
      <c r="G68" s="102">
        <v>60</v>
      </c>
      <c r="H68" s="104">
        <v>2295989</v>
      </c>
      <c r="I68" s="104">
        <v>2122500</v>
      </c>
      <c r="J68" s="104">
        <v>-173489</v>
      </c>
      <c r="K68" s="102">
        <v>16.87</v>
      </c>
      <c r="L68" s="102">
        <v>-7.56</v>
      </c>
      <c r="M68" s="102" t="s">
        <v>284</v>
      </c>
      <c r="N68" s="104">
        <v>2295989</v>
      </c>
      <c r="O68" s="102">
        <v>0</v>
      </c>
      <c r="P68" s="102">
        <v>16.87</v>
      </c>
      <c r="Q68" s="74" t="str">
        <f>전체매매내역!D66</f>
        <v>080-11-332787</v>
      </c>
    </row>
    <row r="69" spans="2:17" x14ac:dyDescent="0.3">
      <c r="B69" s="102" t="s">
        <v>428</v>
      </c>
      <c r="C69" s="102" t="s">
        <v>278</v>
      </c>
      <c r="D69" s="102" t="s">
        <v>202</v>
      </c>
      <c r="E69" s="102" t="s">
        <v>203</v>
      </c>
      <c r="F69" s="102">
        <v>0</v>
      </c>
      <c r="G69" s="102">
        <v>60</v>
      </c>
      <c r="H69" s="104">
        <v>2300427</v>
      </c>
      <c r="I69" s="104">
        <v>2125200</v>
      </c>
      <c r="J69" s="104">
        <v>-175227</v>
      </c>
      <c r="K69" s="102">
        <v>16.89</v>
      </c>
      <c r="L69" s="102">
        <v>-7.62</v>
      </c>
      <c r="M69" s="102" t="s">
        <v>285</v>
      </c>
      <c r="N69" s="104">
        <v>2300427</v>
      </c>
      <c r="O69" s="102">
        <v>0</v>
      </c>
      <c r="P69" s="102">
        <v>16.89</v>
      </c>
      <c r="Q69" s="74" t="str">
        <f>전체매매내역!D67</f>
        <v>080-11-332787</v>
      </c>
    </row>
    <row r="70" spans="2:17" x14ac:dyDescent="0.3">
      <c r="B70" s="102" t="s">
        <v>428</v>
      </c>
      <c r="C70" s="102" t="s">
        <v>278</v>
      </c>
      <c r="D70" s="102" t="s">
        <v>114</v>
      </c>
      <c r="E70" s="102" t="s">
        <v>115</v>
      </c>
      <c r="F70" s="102">
        <v>0</v>
      </c>
      <c r="G70" s="102">
        <v>19</v>
      </c>
      <c r="H70" s="104">
        <v>1924044</v>
      </c>
      <c r="I70" s="104">
        <v>1925175</v>
      </c>
      <c r="J70" s="104">
        <v>1131</v>
      </c>
      <c r="K70" s="102">
        <v>15.3</v>
      </c>
      <c r="L70" s="102">
        <v>0.06</v>
      </c>
      <c r="M70" s="102" t="s">
        <v>286</v>
      </c>
      <c r="N70" s="104">
        <v>1924044</v>
      </c>
      <c r="O70" s="102">
        <v>0</v>
      </c>
      <c r="P70" s="102">
        <v>15.3</v>
      </c>
      <c r="Q70" s="74" t="str">
        <f>전체매매내역!D68</f>
        <v>080-11-332787</v>
      </c>
    </row>
    <row r="71" spans="2:17" x14ac:dyDescent="0.3">
      <c r="B71" s="102" t="s">
        <v>428</v>
      </c>
      <c r="C71" s="102" t="s">
        <v>278</v>
      </c>
      <c r="D71" s="102" t="s">
        <v>388</v>
      </c>
      <c r="E71" s="102" t="s">
        <v>282</v>
      </c>
      <c r="F71" s="102">
        <v>0</v>
      </c>
      <c r="G71" s="102">
        <v>60</v>
      </c>
      <c r="H71" s="104">
        <v>2300367</v>
      </c>
      <c r="I71" s="104">
        <v>2135400</v>
      </c>
      <c r="J71" s="104">
        <v>-164967</v>
      </c>
      <c r="K71" s="102">
        <v>16.98</v>
      </c>
      <c r="L71" s="102">
        <v>-7.17</v>
      </c>
      <c r="M71" s="102" t="s">
        <v>287</v>
      </c>
      <c r="N71" s="104">
        <v>2300367</v>
      </c>
      <c r="O71" s="102">
        <v>0</v>
      </c>
      <c r="P71" s="102">
        <v>16.98</v>
      </c>
      <c r="Q71" s="74" t="str">
        <f>전체매매내역!D69</f>
        <v>080-11-332787</v>
      </c>
    </row>
    <row r="72" spans="2:17" x14ac:dyDescent="0.3">
      <c r="B72" s="102" t="s">
        <v>428</v>
      </c>
      <c r="C72" s="102" t="s">
        <v>278</v>
      </c>
      <c r="D72" s="102" t="s">
        <v>110</v>
      </c>
      <c r="E72" s="102" t="s">
        <v>111</v>
      </c>
      <c r="F72" s="102">
        <v>0</v>
      </c>
      <c r="G72" s="102">
        <v>18</v>
      </c>
      <c r="H72" s="104">
        <v>1885602</v>
      </c>
      <c r="I72" s="104">
        <v>1892160</v>
      </c>
      <c r="J72" s="104">
        <v>6558</v>
      </c>
      <c r="K72" s="102">
        <v>15.04</v>
      </c>
      <c r="L72" s="102">
        <v>0.35</v>
      </c>
      <c r="M72" s="102" t="s">
        <v>288</v>
      </c>
      <c r="N72" s="104">
        <v>1885602</v>
      </c>
      <c r="O72" s="102">
        <v>0</v>
      </c>
      <c r="P72" s="102">
        <v>15.04</v>
      </c>
      <c r="Q72" s="74" t="str">
        <f>전체매매내역!D70</f>
        <v>080-11-332787</v>
      </c>
    </row>
    <row r="73" spans="2:17" x14ac:dyDescent="0.3">
      <c r="B73" s="102" t="s">
        <v>428</v>
      </c>
      <c r="C73" s="102" t="s">
        <v>278</v>
      </c>
      <c r="D73" s="102" t="s">
        <v>112</v>
      </c>
      <c r="E73" s="102" t="s">
        <v>113</v>
      </c>
      <c r="F73" s="102">
        <v>0</v>
      </c>
      <c r="G73" s="102">
        <v>38</v>
      </c>
      <c r="H73" s="104">
        <v>1909226</v>
      </c>
      <c r="I73" s="104">
        <v>1918620</v>
      </c>
      <c r="J73" s="104">
        <v>9394</v>
      </c>
      <c r="K73" s="102">
        <v>15.25</v>
      </c>
      <c r="L73" s="102">
        <v>0.49</v>
      </c>
      <c r="M73" s="102" t="s">
        <v>289</v>
      </c>
      <c r="N73" s="104">
        <v>1909226</v>
      </c>
      <c r="O73" s="102">
        <v>0</v>
      </c>
      <c r="P73" s="102">
        <v>15.25</v>
      </c>
      <c r="Q73" s="74" t="str">
        <f>전체매매내역!D71</f>
        <v>080-11-332787</v>
      </c>
    </row>
    <row r="74" spans="2:17" x14ac:dyDescent="0.3">
      <c r="B74" s="102" t="s">
        <v>428</v>
      </c>
      <c r="C74" s="102" t="s">
        <v>278</v>
      </c>
      <c r="D74" s="102" t="s">
        <v>418</v>
      </c>
      <c r="E74" s="102" t="s">
        <v>419</v>
      </c>
      <c r="F74" s="102">
        <v>0</v>
      </c>
      <c r="G74" s="104">
        <v>459853</v>
      </c>
      <c r="H74" s="104">
        <v>459853</v>
      </c>
      <c r="I74" s="104">
        <v>459853</v>
      </c>
      <c r="J74" s="102">
        <v>0</v>
      </c>
      <c r="K74" s="102">
        <v>3.66</v>
      </c>
      <c r="L74" s="102">
        <v>0</v>
      </c>
      <c r="M74" s="102"/>
      <c r="N74" s="102">
        <v>0</v>
      </c>
      <c r="O74" s="102"/>
      <c r="P74" s="102"/>
      <c r="Q74" s="74" t="str">
        <f>전체매매내역!D72</f>
        <v>080-11-332787</v>
      </c>
    </row>
    <row r="75" spans="2:17" x14ac:dyDescent="0.3">
      <c r="B75" s="102" t="s">
        <v>428</v>
      </c>
      <c r="C75" s="102" t="s">
        <v>278</v>
      </c>
      <c r="D75" s="102" t="s">
        <v>420</v>
      </c>
      <c r="E75" s="102"/>
      <c r="F75" s="102">
        <v>0</v>
      </c>
      <c r="G75" s="104">
        <v>460108</v>
      </c>
      <c r="H75" s="104">
        <v>13075508</v>
      </c>
      <c r="I75" s="104">
        <v>12578908</v>
      </c>
      <c r="J75" s="104">
        <v>-496600</v>
      </c>
      <c r="K75" s="102">
        <v>99.99</v>
      </c>
      <c r="L75" s="102">
        <v>-3.8</v>
      </c>
      <c r="M75" s="102"/>
      <c r="N75" s="104">
        <v>12615655</v>
      </c>
      <c r="O75" s="102"/>
      <c r="P75" s="102"/>
      <c r="Q75" s="74" t="str">
        <f>전체매매내역!D73</f>
        <v>080-11-332787</v>
      </c>
    </row>
    <row r="76" spans="2:17" x14ac:dyDescent="0.3">
      <c r="B76" s="102" t="s">
        <v>429</v>
      </c>
      <c r="C76" s="102" t="s">
        <v>430</v>
      </c>
      <c r="D76" s="102" t="s">
        <v>418</v>
      </c>
      <c r="E76" s="102" t="s">
        <v>419</v>
      </c>
      <c r="F76" s="102">
        <v>0</v>
      </c>
      <c r="G76" s="102">
        <v>167</v>
      </c>
      <c r="H76" s="102">
        <v>167</v>
      </c>
      <c r="I76" s="102">
        <v>167</v>
      </c>
      <c r="J76" s="102">
        <v>0</v>
      </c>
      <c r="K76" s="102">
        <v>0</v>
      </c>
      <c r="L76" s="102">
        <v>0</v>
      </c>
      <c r="M76" s="102"/>
      <c r="N76" s="102">
        <v>0</v>
      </c>
      <c r="O76" s="102"/>
      <c r="P76" s="102"/>
      <c r="Q76" s="74" t="str">
        <f>전체매매내역!D74</f>
        <v/>
      </c>
    </row>
    <row r="77" spans="2:17" x14ac:dyDescent="0.3">
      <c r="B77" s="102" t="s">
        <v>429</v>
      </c>
      <c r="C77" s="102" t="s">
        <v>430</v>
      </c>
      <c r="D77" s="102" t="s">
        <v>420</v>
      </c>
      <c r="E77" s="102"/>
      <c r="F77" s="102">
        <v>0</v>
      </c>
      <c r="G77" s="102">
        <v>167</v>
      </c>
      <c r="H77" s="102">
        <v>167</v>
      </c>
      <c r="I77" s="102">
        <v>167</v>
      </c>
      <c r="J77" s="102">
        <v>0</v>
      </c>
      <c r="K77" s="102">
        <v>0</v>
      </c>
      <c r="L77" s="102">
        <v>0</v>
      </c>
      <c r="M77" s="102"/>
      <c r="N77" s="102">
        <v>0</v>
      </c>
      <c r="O77" s="102"/>
      <c r="P77" s="102"/>
      <c r="Q77" s="74" t="str">
        <f>전체매매내역!D75</f>
        <v/>
      </c>
    </row>
    <row r="78" spans="2:17" x14ac:dyDescent="0.3">
      <c r="B78" s="102" t="s">
        <v>431</v>
      </c>
      <c r="C78" s="102" t="s">
        <v>432</v>
      </c>
      <c r="D78" s="102" t="s">
        <v>418</v>
      </c>
      <c r="E78" s="102" t="s">
        <v>419</v>
      </c>
      <c r="F78" s="102">
        <v>0</v>
      </c>
      <c r="G78" s="102">
        <v>336</v>
      </c>
      <c r="H78" s="102">
        <v>336</v>
      </c>
      <c r="I78" s="102">
        <v>336</v>
      </c>
      <c r="J78" s="102">
        <v>0</v>
      </c>
      <c r="K78" s="102">
        <v>0</v>
      </c>
      <c r="L78" s="102">
        <v>0</v>
      </c>
      <c r="M78" s="102"/>
      <c r="N78" s="102">
        <v>0</v>
      </c>
      <c r="O78" s="102"/>
      <c r="P78" s="102"/>
      <c r="Q78" s="74" t="str">
        <f>전체매매내역!D76</f>
        <v/>
      </c>
    </row>
    <row r="79" spans="2:17" x14ac:dyDescent="0.3">
      <c r="B79" s="102" t="s">
        <v>431</v>
      </c>
      <c r="C79" s="102" t="s">
        <v>432</v>
      </c>
      <c r="D79" s="102" t="s">
        <v>420</v>
      </c>
      <c r="E79" s="102"/>
      <c r="F79" s="102">
        <v>0</v>
      </c>
      <c r="G79" s="102">
        <v>336</v>
      </c>
      <c r="H79" s="102">
        <v>336</v>
      </c>
      <c r="I79" s="102">
        <v>336</v>
      </c>
      <c r="J79" s="102">
        <v>0</v>
      </c>
      <c r="K79" s="102">
        <v>0</v>
      </c>
      <c r="L79" s="102">
        <v>0</v>
      </c>
      <c r="M79" s="102"/>
      <c r="N79" s="102">
        <v>0</v>
      </c>
      <c r="O79" s="102"/>
      <c r="P79" s="102"/>
      <c r="Q79" s="74" t="str">
        <f>전체매매내역!D77</f>
        <v/>
      </c>
    </row>
    <row r="80" spans="2:17" x14ac:dyDescent="0.3">
      <c r="B80" s="102" t="s">
        <v>433</v>
      </c>
      <c r="C80" s="102" t="s">
        <v>434</v>
      </c>
      <c r="D80" s="102" t="s">
        <v>418</v>
      </c>
      <c r="E80" s="102" t="s">
        <v>419</v>
      </c>
      <c r="F80" s="102">
        <v>0</v>
      </c>
      <c r="G80" s="102">
        <v>408</v>
      </c>
      <c r="H80" s="102">
        <v>408</v>
      </c>
      <c r="I80" s="102">
        <v>408</v>
      </c>
      <c r="J80" s="102">
        <v>0</v>
      </c>
      <c r="K80" s="102">
        <v>0</v>
      </c>
      <c r="L80" s="102">
        <v>0</v>
      </c>
      <c r="M80" s="102"/>
      <c r="N80" s="102">
        <v>0</v>
      </c>
      <c r="O80" s="102"/>
      <c r="P80" s="102"/>
      <c r="Q80" s="74" t="str">
        <f>전체매매내역!D78</f>
        <v/>
      </c>
    </row>
    <row r="81" spans="2:17" x14ac:dyDescent="0.3">
      <c r="B81" s="102" t="s">
        <v>433</v>
      </c>
      <c r="C81" s="102" t="s">
        <v>434</v>
      </c>
      <c r="D81" s="102" t="s">
        <v>420</v>
      </c>
      <c r="E81" s="102"/>
      <c r="F81" s="102">
        <v>0</v>
      </c>
      <c r="G81" s="102">
        <v>408</v>
      </c>
      <c r="H81" s="102">
        <v>408</v>
      </c>
      <c r="I81" s="102">
        <v>408</v>
      </c>
      <c r="J81" s="102">
        <v>0</v>
      </c>
      <c r="K81" s="102">
        <v>0</v>
      </c>
      <c r="L81" s="102">
        <v>0</v>
      </c>
      <c r="M81" s="102"/>
      <c r="N81" s="102">
        <v>0</v>
      </c>
      <c r="Q81" s="74" t="str">
        <f>전체매매내역!D79</f>
        <v/>
      </c>
    </row>
    <row r="82" spans="2:17" x14ac:dyDescent="0.3">
      <c r="B82" s="102" t="s">
        <v>435</v>
      </c>
      <c r="C82" s="102" t="s">
        <v>436</v>
      </c>
      <c r="D82" s="102" t="s">
        <v>418</v>
      </c>
      <c r="E82" s="102" t="s">
        <v>419</v>
      </c>
      <c r="F82" s="102">
        <v>0</v>
      </c>
      <c r="G82" s="102">
        <v>361</v>
      </c>
      <c r="H82" s="102">
        <v>361</v>
      </c>
      <c r="I82" s="102">
        <v>361</v>
      </c>
      <c r="J82" s="102">
        <v>0</v>
      </c>
      <c r="K82" s="102">
        <v>0</v>
      </c>
      <c r="L82" s="102">
        <v>0</v>
      </c>
      <c r="M82" s="102"/>
      <c r="N82" s="102">
        <v>0</v>
      </c>
      <c r="Q82" s="74" t="str">
        <f>전체매매내역!D80</f>
        <v/>
      </c>
    </row>
    <row r="83" spans="2:17" x14ac:dyDescent="0.3">
      <c r="B83" s="102" t="s">
        <v>435</v>
      </c>
      <c r="C83" s="102" t="s">
        <v>436</v>
      </c>
      <c r="D83" s="102" t="s">
        <v>420</v>
      </c>
      <c r="E83" s="102"/>
      <c r="F83" s="102">
        <v>0</v>
      </c>
      <c r="G83" s="102">
        <v>361</v>
      </c>
      <c r="H83" s="102">
        <v>361</v>
      </c>
      <c r="I83" s="102">
        <v>361</v>
      </c>
      <c r="J83" s="102">
        <v>0</v>
      </c>
      <c r="K83" s="102">
        <v>0</v>
      </c>
      <c r="L83" s="102">
        <v>0</v>
      </c>
      <c r="M83" s="102"/>
      <c r="N83" s="102">
        <v>0</v>
      </c>
      <c r="Q83" s="74" t="str">
        <f>전체매매내역!D81</f>
        <v/>
      </c>
    </row>
    <row r="84" spans="2:17" x14ac:dyDescent="0.3">
      <c r="B84" s="102" t="s">
        <v>437</v>
      </c>
      <c r="C84" s="102" t="s">
        <v>438</v>
      </c>
      <c r="D84" s="102" t="s">
        <v>418</v>
      </c>
      <c r="E84" s="102" t="s">
        <v>419</v>
      </c>
      <c r="F84" s="102">
        <v>0</v>
      </c>
      <c r="G84" s="102">
        <v>530</v>
      </c>
      <c r="H84" s="102">
        <v>530</v>
      </c>
      <c r="I84" s="102">
        <v>530</v>
      </c>
      <c r="J84" s="102">
        <v>0</v>
      </c>
      <c r="K84" s="102">
        <v>0</v>
      </c>
      <c r="L84" s="102">
        <v>0</v>
      </c>
      <c r="M84" s="102"/>
      <c r="N84" s="102">
        <v>0</v>
      </c>
      <c r="Q84" s="74" t="str">
        <f>전체매매내역!D82</f>
        <v/>
      </c>
    </row>
    <row r="85" spans="2:17" x14ac:dyDescent="0.3">
      <c r="B85" s="102" t="s">
        <v>437</v>
      </c>
      <c r="C85" s="102" t="s">
        <v>438</v>
      </c>
      <c r="D85" s="102" t="s">
        <v>420</v>
      </c>
      <c r="E85" s="102"/>
      <c r="F85" s="102">
        <v>0</v>
      </c>
      <c r="G85" s="102">
        <v>530</v>
      </c>
      <c r="H85" s="102">
        <v>530</v>
      </c>
      <c r="I85" s="102">
        <v>530</v>
      </c>
      <c r="J85" s="102">
        <v>0</v>
      </c>
      <c r="K85" s="102">
        <v>0</v>
      </c>
      <c r="L85" s="102">
        <v>0</v>
      </c>
      <c r="M85" s="102"/>
      <c r="N85" s="102">
        <v>0</v>
      </c>
      <c r="Q85" s="74">
        <f>전체매매내역!D83</f>
        <v>0</v>
      </c>
    </row>
    <row r="86" spans="2:17" x14ac:dyDescent="0.3">
      <c r="B86" s="102" t="s">
        <v>439</v>
      </c>
      <c r="C86" s="102" t="s">
        <v>440</v>
      </c>
      <c r="D86" s="102" t="s">
        <v>418</v>
      </c>
      <c r="E86" s="102" t="s">
        <v>419</v>
      </c>
      <c r="F86" s="102">
        <v>0</v>
      </c>
      <c r="G86" s="104">
        <v>2501</v>
      </c>
      <c r="H86" s="104">
        <v>2501</v>
      </c>
      <c r="I86" s="104">
        <v>2501</v>
      </c>
      <c r="J86" s="102">
        <v>0</v>
      </c>
      <c r="K86" s="102">
        <v>0</v>
      </c>
      <c r="L86" s="102">
        <v>0</v>
      </c>
      <c r="M86" s="102"/>
      <c r="N86" s="102">
        <v>0</v>
      </c>
      <c r="Q86" s="74">
        <f>전체매매내역!D84</f>
        <v>0</v>
      </c>
    </row>
    <row r="87" spans="2:17" x14ac:dyDescent="0.3">
      <c r="B87" s="102" t="s">
        <v>439</v>
      </c>
      <c r="C87" s="102" t="s">
        <v>440</v>
      </c>
      <c r="D87" s="102" t="s">
        <v>420</v>
      </c>
      <c r="E87" s="102"/>
      <c r="F87" s="102">
        <v>0</v>
      </c>
      <c r="G87" s="104">
        <v>2501</v>
      </c>
      <c r="H87" s="104">
        <v>2501</v>
      </c>
      <c r="I87" s="104">
        <v>2501</v>
      </c>
      <c r="J87" s="102">
        <v>0</v>
      </c>
      <c r="K87" s="102">
        <v>0</v>
      </c>
      <c r="L87" s="102">
        <v>0</v>
      </c>
      <c r="M87" s="102"/>
      <c r="N87" s="102">
        <v>0</v>
      </c>
      <c r="Q87" s="74">
        <f>전체매매내역!D85</f>
        <v>0</v>
      </c>
    </row>
    <row r="88" spans="2:17" x14ac:dyDescent="0.3">
      <c r="B88" s="102" t="s">
        <v>441</v>
      </c>
      <c r="C88" s="102" t="s">
        <v>442</v>
      </c>
      <c r="D88" s="102" t="s">
        <v>418</v>
      </c>
      <c r="E88" s="102" t="s">
        <v>419</v>
      </c>
      <c r="F88" s="102">
        <v>0</v>
      </c>
      <c r="G88" s="102">
        <v>458</v>
      </c>
      <c r="H88" s="102">
        <v>458</v>
      </c>
      <c r="I88" s="102">
        <v>458</v>
      </c>
      <c r="J88" s="102">
        <v>0</v>
      </c>
      <c r="K88" s="102">
        <v>0</v>
      </c>
      <c r="L88" s="102">
        <v>0</v>
      </c>
      <c r="M88" s="102"/>
      <c r="N88" s="102">
        <v>0</v>
      </c>
      <c r="Q88" s="74">
        <f>전체매매내역!D86</f>
        <v>0</v>
      </c>
    </row>
    <row r="89" spans="2:17" x14ac:dyDescent="0.3">
      <c r="B89" s="102" t="s">
        <v>441</v>
      </c>
      <c r="C89" s="102" t="s">
        <v>442</v>
      </c>
      <c r="D89" s="102" t="s">
        <v>420</v>
      </c>
      <c r="E89" s="102"/>
      <c r="F89" s="102">
        <v>0</v>
      </c>
      <c r="G89" s="102">
        <v>458</v>
      </c>
      <c r="H89" s="102">
        <v>458</v>
      </c>
      <c r="I89" s="102">
        <v>458</v>
      </c>
      <c r="J89" s="102">
        <v>0</v>
      </c>
      <c r="K89" s="102">
        <v>0</v>
      </c>
      <c r="L89" s="102">
        <v>0</v>
      </c>
      <c r="M89" s="102"/>
      <c r="N89" s="102">
        <v>0</v>
      </c>
      <c r="Q89" s="74">
        <f>전체매매내역!D87</f>
        <v>0</v>
      </c>
    </row>
    <row r="90" spans="2:17" x14ac:dyDescent="0.3">
      <c r="B90" s="102" t="s">
        <v>443</v>
      </c>
      <c r="C90" s="102" t="s">
        <v>444</v>
      </c>
      <c r="D90" s="102" t="s">
        <v>418</v>
      </c>
      <c r="E90" s="102" t="s">
        <v>419</v>
      </c>
      <c r="F90" s="102">
        <v>0</v>
      </c>
      <c r="G90" s="102">
        <v>626</v>
      </c>
      <c r="H90" s="102">
        <v>626</v>
      </c>
      <c r="I90" s="102">
        <v>626</v>
      </c>
      <c r="J90" s="102">
        <v>0</v>
      </c>
      <c r="K90" s="102">
        <v>0</v>
      </c>
      <c r="L90" s="102">
        <v>0</v>
      </c>
      <c r="M90" s="102"/>
      <c r="N90" s="102">
        <v>0</v>
      </c>
      <c r="Q90" s="74">
        <f>전체매매내역!D88</f>
        <v>0</v>
      </c>
    </row>
    <row r="91" spans="2:17" x14ac:dyDescent="0.3">
      <c r="B91" s="102" t="s">
        <v>443</v>
      </c>
      <c r="C91" s="102" t="s">
        <v>444</v>
      </c>
      <c r="D91" s="102" t="s">
        <v>420</v>
      </c>
      <c r="E91" s="102"/>
      <c r="F91" s="102">
        <v>0</v>
      </c>
      <c r="G91" s="102">
        <v>626</v>
      </c>
      <c r="H91" s="102">
        <v>626</v>
      </c>
      <c r="I91" s="102">
        <v>626</v>
      </c>
      <c r="J91" s="102">
        <v>0</v>
      </c>
      <c r="K91" s="102">
        <v>0</v>
      </c>
      <c r="L91" s="102">
        <v>0</v>
      </c>
      <c r="M91" s="102"/>
      <c r="N91" s="102">
        <v>0</v>
      </c>
      <c r="Q91" s="74">
        <f>전체매매내역!D89</f>
        <v>0</v>
      </c>
    </row>
    <row r="92" spans="2:17" x14ac:dyDescent="0.3">
      <c r="B92" s="102" t="s">
        <v>445</v>
      </c>
      <c r="C92" s="102" t="s">
        <v>446</v>
      </c>
      <c r="D92" s="102" t="s">
        <v>418</v>
      </c>
      <c r="E92" s="102" t="s">
        <v>419</v>
      </c>
      <c r="F92" s="102">
        <v>0</v>
      </c>
      <c r="G92" s="102">
        <v>795</v>
      </c>
      <c r="H92" s="102">
        <v>795</v>
      </c>
      <c r="I92" s="102">
        <v>795</v>
      </c>
      <c r="J92" s="102">
        <v>0</v>
      </c>
      <c r="K92" s="102">
        <v>0</v>
      </c>
      <c r="L92" s="102">
        <v>0</v>
      </c>
      <c r="M92" s="102"/>
      <c r="N92" s="102">
        <v>0</v>
      </c>
      <c r="Q92" s="74">
        <f>전체매매내역!D90</f>
        <v>0</v>
      </c>
    </row>
    <row r="93" spans="2:17" x14ac:dyDescent="0.3">
      <c r="B93" s="102" t="s">
        <v>445</v>
      </c>
      <c r="C93" s="102" t="s">
        <v>446</v>
      </c>
      <c r="D93" s="102" t="s">
        <v>420</v>
      </c>
      <c r="E93" s="102"/>
      <c r="F93" s="102">
        <v>0</v>
      </c>
      <c r="G93" s="102">
        <v>795</v>
      </c>
      <c r="H93" s="102">
        <v>795</v>
      </c>
      <c r="I93" s="102">
        <v>795</v>
      </c>
      <c r="J93" s="102">
        <v>0</v>
      </c>
      <c r="K93" s="102">
        <v>0</v>
      </c>
      <c r="L93" s="102">
        <v>0</v>
      </c>
      <c r="M93" s="102"/>
      <c r="N93" s="102">
        <v>0</v>
      </c>
      <c r="Q93" s="74">
        <f>전체매매내역!D91</f>
        <v>0</v>
      </c>
    </row>
    <row r="94" spans="2:17" x14ac:dyDescent="0.3">
      <c r="B94" s="102" t="s">
        <v>447</v>
      </c>
      <c r="C94" s="102" t="s">
        <v>448</v>
      </c>
      <c r="D94" s="102" t="s">
        <v>418</v>
      </c>
      <c r="E94" s="102" t="s">
        <v>419</v>
      </c>
      <c r="F94" s="102">
        <v>0</v>
      </c>
      <c r="G94" s="104">
        <v>350056</v>
      </c>
      <c r="H94" s="104">
        <v>350056</v>
      </c>
      <c r="I94" s="104">
        <v>350056</v>
      </c>
      <c r="J94" s="102">
        <v>0</v>
      </c>
      <c r="K94" s="102">
        <v>1.1399999999999999</v>
      </c>
      <c r="L94" s="102">
        <v>0</v>
      </c>
      <c r="M94" s="102"/>
      <c r="N94" s="102">
        <v>0</v>
      </c>
      <c r="Q94" s="74">
        <f>전체매매내역!D92</f>
        <v>0</v>
      </c>
    </row>
    <row r="95" spans="2:17" x14ac:dyDescent="0.3">
      <c r="B95" s="102" t="s">
        <v>447</v>
      </c>
      <c r="C95" s="102" t="s">
        <v>448</v>
      </c>
      <c r="D95" s="102" t="s">
        <v>420</v>
      </c>
      <c r="E95" s="102"/>
      <c r="F95" s="102">
        <v>0</v>
      </c>
      <c r="G95" s="104">
        <v>350056</v>
      </c>
      <c r="H95" s="104">
        <v>350056</v>
      </c>
      <c r="I95" s="104">
        <v>350056</v>
      </c>
      <c r="J95" s="102">
        <v>0</v>
      </c>
      <c r="K95" s="102">
        <v>1.1399999999999999</v>
      </c>
      <c r="L95" s="102">
        <v>0</v>
      </c>
      <c r="M95" s="102"/>
      <c r="N95" s="102">
        <v>0</v>
      </c>
      <c r="Q95" s="74">
        <f>전체매매내역!D93</f>
        <v>0</v>
      </c>
    </row>
    <row r="96" spans="2:17" x14ac:dyDescent="0.3">
      <c r="B96" s="102" t="s">
        <v>449</v>
      </c>
      <c r="C96" s="102" t="s">
        <v>450</v>
      </c>
      <c r="D96" s="102" t="s">
        <v>418</v>
      </c>
      <c r="E96" s="102" t="s">
        <v>419</v>
      </c>
      <c r="F96" s="102">
        <v>0</v>
      </c>
      <c r="G96" s="104">
        <v>500140</v>
      </c>
      <c r="H96" s="104">
        <v>500140</v>
      </c>
      <c r="I96" s="104">
        <v>500140</v>
      </c>
      <c r="J96" s="102">
        <v>0</v>
      </c>
      <c r="K96" s="102">
        <v>1.1499999999999999</v>
      </c>
      <c r="L96" s="102">
        <v>0</v>
      </c>
      <c r="M96" s="102"/>
      <c r="N96" s="102">
        <v>0</v>
      </c>
      <c r="Q96" s="74">
        <f>전체매매내역!D94</f>
        <v>0</v>
      </c>
    </row>
    <row r="97" spans="2:17" x14ac:dyDescent="0.3">
      <c r="B97" s="102" t="s">
        <v>449</v>
      </c>
      <c r="C97" s="102" t="s">
        <v>450</v>
      </c>
      <c r="D97" s="102" t="s">
        <v>420</v>
      </c>
      <c r="E97" s="102"/>
      <c r="F97" s="102">
        <v>0</v>
      </c>
      <c r="G97" s="104">
        <v>500140</v>
      </c>
      <c r="H97" s="104">
        <v>500140</v>
      </c>
      <c r="I97" s="104">
        <v>500140</v>
      </c>
      <c r="J97" s="102">
        <v>0</v>
      </c>
      <c r="K97" s="102">
        <v>1.1499999999999999</v>
      </c>
      <c r="L97" s="102">
        <v>0</v>
      </c>
      <c r="M97" s="102"/>
      <c r="N97" s="102">
        <v>0</v>
      </c>
      <c r="O97" s="88"/>
      <c r="P97" s="88"/>
      <c r="Q97" s="74">
        <f>전체매매내역!D95</f>
        <v>0</v>
      </c>
    </row>
    <row r="98" spans="2:17" x14ac:dyDescent="0.3">
      <c r="B98" s="102" t="s">
        <v>451</v>
      </c>
      <c r="C98" s="102" t="s">
        <v>452</v>
      </c>
      <c r="D98" s="102" t="s">
        <v>418</v>
      </c>
      <c r="E98" s="102" t="s">
        <v>419</v>
      </c>
      <c r="F98" s="102">
        <v>0</v>
      </c>
      <c r="G98" s="104">
        <v>650214</v>
      </c>
      <c r="H98" s="104">
        <v>650214</v>
      </c>
      <c r="I98" s="104">
        <v>650214</v>
      </c>
      <c r="J98" s="102">
        <v>0</v>
      </c>
      <c r="K98" s="102">
        <v>1.1499999999999999</v>
      </c>
      <c r="L98" s="102">
        <v>0</v>
      </c>
      <c r="M98" s="102"/>
      <c r="N98" s="102">
        <v>0</v>
      </c>
      <c r="O98" s="88"/>
      <c r="P98" s="88"/>
      <c r="Q98" s="74">
        <f>전체매매내역!D96</f>
        <v>0</v>
      </c>
    </row>
    <row r="99" spans="2:17" x14ac:dyDescent="0.3">
      <c r="B99" s="102" t="s">
        <v>451</v>
      </c>
      <c r="C99" s="102" t="s">
        <v>452</v>
      </c>
      <c r="D99" s="102" t="s">
        <v>420</v>
      </c>
      <c r="E99" s="102"/>
      <c r="F99" s="102">
        <v>0</v>
      </c>
      <c r="G99" s="104">
        <v>650214</v>
      </c>
      <c r="H99" s="104">
        <v>650214</v>
      </c>
      <c r="I99" s="104">
        <v>650214</v>
      </c>
      <c r="J99" s="102">
        <v>0</v>
      </c>
      <c r="K99" s="102">
        <v>1.1499999999999999</v>
      </c>
      <c r="L99" s="102">
        <v>0</v>
      </c>
      <c r="M99" s="102"/>
      <c r="N99" s="102">
        <v>0</v>
      </c>
      <c r="O99" s="88"/>
      <c r="P99" s="88"/>
      <c r="Q99" s="74">
        <f>전체매매내역!D97</f>
        <v>0</v>
      </c>
    </row>
    <row r="100" spans="2:17" x14ac:dyDescent="0.3">
      <c r="B100" s="102" t="s">
        <v>453</v>
      </c>
      <c r="C100" s="102" t="s">
        <v>454</v>
      </c>
      <c r="D100" s="102" t="s">
        <v>418</v>
      </c>
      <c r="E100" s="102" t="s">
        <v>419</v>
      </c>
      <c r="F100" s="102">
        <v>0</v>
      </c>
      <c r="G100" s="104">
        <v>350056</v>
      </c>
      <c r="H100" s="104">
        <v>350056</v>
      </c>
      <c r="I100" s="104">
        <v>350056</v>
      </c>
      <c r="J100" s="102">
        <v>0</v>
      </c>
      <c r="K100" s="102">
        <v>1.1200000000000001</v>
      </c>
      <c r="L100" s="102">
        <v>0</v>
      </c>
      <c r="M100" s="102"/>
      <c r="N100" s="102">
        <v>0</v>
      </c>
      <c r="O100" s="88"/>
      <c r="P100" s="88"/>
      <c r="Q100" s="74">
        <f>전체매매내역!D98</f>
        <v>0</v>
      </c>
    </row>
    <row r="101" spans="2:17" x14ac:dyDescent="0.3">
      <c r="B101" s="102" t="s">
        <v>453</v>
      </c>
      <c r="C101" s="102" t="s">
        <v>454</v>
      </c>
      <c r="D101" s="102" t="s">
        <v>420</v>
      </c>
      <c r="E101" s="102"/>
      <c r="F101" s="102">
        <v>0</v>
      </c>
      <c r="G101" s="104">
        <v>350056</v>
      </c>
      <c r="H101" s="104">
        <v>350056</v>
      </c>
      <c r="I101" s="104">
        <v>350056</v>
      </c>
      <c r="J101" s="102">
        <v>0</v>
      </c>
      <c r="K101" s="102">
        <v>1.1200000000000001</v>
      </c>
      <c r="L101" s="102">
        <v>0</v>
      </c>
      <c r="M101" s="102"/>
      <c r="N101" s="102">
        <v>0</v>
      </c>
      <c r="O101" s="88"/>
      <c r="P101" s="88"/>
      <c r="Q101" s="74">
        <f>전체매매내역!D99</f>
        <v>0</v>
      </c>
    </row>
    <row r="102" spans="2:17" x14ac:dyDescent="0.3">
      <c r="B102" s="102" t="s">
        <v>455</v>
      </c>
      <c r="C102" s="102" t="s">
        <v>456</v>
      </c>
      <c r="D102" s="102" t="s">
        <v>418</v>
      </c>
      <c r="E102" s="102" t="s">
        <v>419</v>
      </c>
      <c r="F102" s="102">
        <v>0</v>
      </c>
      <c r="G102" s="104">
        <v>500140</v>
      </c>
      <c r="H102" s="104">
        <v>500140</v>
      </c>
      <c r="I102" s="104">
        <v>500140</v>
      </c>
      <c r="J102" s="102">
        <v>0</v>
      </c>
      <c r="K102" s="102">
        <v>1.1200000000000001</v>
      </c>
      <c r="L102" s="102">
        <v>0</v>
      </c>
      <c r="M102" s="102"/>
      <c r="N102" s="102">
        <v>0</v>
      </c>
      <c r="O102" s="88"/>
      <c r="P102" s="88"/>
      <c r="Q102" s="74">
        <f>전체매매내역!D100</f>
        <v>0</v>
      </c>
    </row>
    <row r="103" spans="2:17" x14ac:dyDescent="0.3">
      <c r="B103" s="102" t="s">
        <v>455</v>
      </c>
      <c r="C103" s="102" t="s">
        <v>456</v>
      </c>
      <c r="D103" s="102" t="s">
        <v>420</v>
      </c>
      <c r="E103" s="102"/>
      <c r="F103" s="102">
        <v>0</v>
      </c>
      <c r="G103" s="104">
        <v>500140</v>
      </c>
      <c r="H103" s="104">
        <v>500140</v>
      </c>
      <c r="I103" s="104">
        <v>500140</v>
      </c>
      <c r="J103" s="102">
        <v>0</v>
      </c>
      <c r="K103" s="102">
        <v>1.1200000000000001</v>
      </c>
      <c r="L103" s="102">
        <v>0</v>
      </c>
      <c r="M103" s="102"/>
      <c r="N103" s="102">
        <v>0</v>
      </c>
      <c r="O103" s="88"/>
      <c r="P103" s="88"/>
      <c r="Q103" s="74">
        <f>전체매매내역!D101</f>
        <v>0</v>
      </c>
    </row>
    <row r="104" spans="2:17" x14ac:dyDescent="0.3">
      <c r="B104" s="102" t="s">
        <v>457</v>
      </c>
      <c r="C104" s="102" t="s">
        <v>458</v>
      </c>
      <c r="D104" s="102" t="s">
        <v>418</v>
      </c>
      <c r="E104" s="102" t="s">
        <v>419</v>
      </c>
      <c r="F104" s="102">
        <v>0</v>
      </c>
      <c r="G104" s="104">
        <v>650214</v>
      </c>
      <c r="H104" s="104">
        <v>650214</v>
      </c>
      <c r="I104" s="104">
        <v>650214</v>
      </c>
      <c r="J104" s="102">
        <v>0</v>
      </c>
      <c r="K104" s="102">
        <v>1.1200000000000001</v>
      </c>
      <c r="L104" s="102">
        <v>0</v>
      </c>
      <c r="M104" s="102"/>
      <c r="N104" s="102">
        <v>0</v>
      </c>
      <c r="O104" s="88"/>
      <c r="P104" s="88"/>
      <c r="Q104" s="74">
        <f>전체매매내역!D102</f>
        <v>0</v>
      </c>
    </row>
    <row r="105" spans="2:17" x14ac:dyDescent="0.3">
      <c r="B105" s="102" t="s">
        <v>457</v>
      </c>
      <c r="C105" s="102" t="s">
        <v>458</v>
      </c>
      <c r="D105" s="102" t="s">
        <v>420</v>
      </c>
      <c r="E105" s="102"/>
      <c r="F105" s="102">
        <v>0</v>
      </c>
      <c r="G105" s="104">
        <v>650214</v>
      </c>
      <c r="H105" s="104">
        <v>650214</v>
      </c>
      <c r="I105" s="104">
        <v>650214</v>
      </c>
      <c r="J105" s="102">
        <v>0</v>
      </c>
      <c r="K105" s="102">
        <v>1.1200000000000001</v>
      </c>
      <c r="L105" s="102">
        <v>0</v>
      </c>
      <c r="M105" s="102"/>
      <c r="N105" s="102">
        <v>0</v>
      </c>
      <c r="O105" s="88"/>
      <c r="P105" s="88"/>
      <c r="Q105" s="74">
        <f>전체매매내역!D103</f>
        <v>0</v>
      </c>
    </row>
    <row r="106" spans="2:17" x14ac:dyDescent="0.3">
      <c r="B106" s="102" t="s">
        <v>459</v>
      </c>
      <c r="C106" s="102" t="s">
        <v>460</v>
      </c>
      <c r="D106" s="102" t="s">
        <v>418</v>
      </c>
      <c r="E106" s="102" t="s">
        <v>419</v>
      </c>
      <c r="F106" s="102">
        <v>0</v>
      </c>
      <c r="G106" s="104">
        <v>350056</v>
      </c>
      <c r="H106" s="104">
        <v>350056</v>
      </c>
      <c r="I106" s="104">
        <v>350056</v>
      </c>
      <c r="J106" s="102">
        <v>0</v>
      </c>
      <c r="K106" s="102">
        <v>1.08</v>
      </c>
      <c r="L106" s="102">
        <v>0</v>
      </c>
      <c r="M106" s="102"/>
      <c r="N106" s="102">
        <v>0</v>
      </c>
      <c r="O106" s="88"/>
      <c r="P106" s="88"/>
      <c r="Q106" s="74">
        <f>전체매매내역!D104</f>
        <v>0</v>
      </c>
    </row>
    <row r="107" spans="2:17" x14ac:dyDescent="0.3">
      <c r="B107" s="102" t="s">
        <v>459</v>
      </c>
      <c r="C107" s="102" t="s">
        <v>460</v>
      </c>
      <c r="D107" s="102" t="s">
        <v>420</v>
      </c>
      <c r="E107" s="102"/>
      <c r="F107" s="102">
        <v>0</v>
      </c>
      <c r="G107" s="104">
        <v>350056</v>
      </c>
      <c r="H107" s="104">
        <v>350056</v>
      </c>
      <c r="I107" s="104">
        <v>350056</v>
      </c>
      <c r="J107" s="102">
        <v>0</v>
      </c>
      <c r="K107" s="102">
        <v>1.08</v>
      </c>
      <c r="L107" s="102">
        <v>0</v>
      </c>
      <c r="M107" s="102"/>
      <c r="N107" s="102">
        <v>0</v>
      </c>
      <c r="O107" s="88"/>
      <c r="P107" s="88"/>
      <c r="Q107" s="74">
        <f>전체매매내역!D105</f>
        <v>0</v>
      </c>
    </row>
    <row r="108" spans="2:17" x14ac:dyDescent="0.3">
      <c r="B108" s="102" t="s">
        <v>461</v>
      </c>
      <c r="C108" s="102" t="s">
        <v>462</v>
      </c>
      <c r="D108" s="102" t="s">
        <v>418</v>
      </c>
      <c r="E108" s="102" t="s">
        <v>419</v>
      </c>
      <c r="F108" s="102">
        <v>0</v>
      </c>
      <c r="G108" s="104">
        <v>500140</v>
      </c>
      <c r="H108" s="104">
        <v>500140</v>
      </c>
      <c r="I108" s="104">
        <v>500140</v>
      </c>
      <c r="J108" s="102">
        <v>0</v>
      </c>
      <c r="K108" s="102">
        <v>1.08</v>
      </c>
      <c r="L108" s="102">
        <v>0</v>
      </c>
      <c r="M108" s="102"/>
      <c r="N108" s="102">
        <v>0</v>
      </c>
      <c r="O108" s="88"/>
      <c r="P108" s="88"/>
      <c r="Q108" s="74">
        <f>전체매매내역!D106</f>
        <v>0</v>
      </c>
    </row>
    <row r="109" spans="2:17" x14ac:dyDescent="0.3">
      <c r="B109" s="102" t="s">
        <v>461</v>
      </c>
      <c r="C109" s="102" t="s">
        <v>462</v>
      </c>
      <c r="D109" s="102" t="s">
        <v>420</v>
      </c>
      <c r="E109" s="102"/>
      <c r="F109" s="102">
        <v>0</v>
      </c>
      <c r="G109" s="104">
        <v>500140</v>
      </c>
      <c r="H109" s="104">
        <v>500140</v>
      </c>
      <c r="I109" s="104">
        <v>500140</v>
      </c>
      <c r="J109" s="102">
        <v>0</v>
      </c>
      <c r="K109" s="102">
        <v>1.08</v>
      </c>
      <c r="L109" s="102">
        <v>0</v>
      </c>
      <c r="M109" s="102"/>
      <c r="N109" s="102">
        <v>0</v>
      </c>
      <c r="O109" s="88"/>
      <c r="P109" s="88"/>
      <c r="Q109" s="74">
        <f>전체매매내역!D107</f>
        <v>0</v>
      </c>
    </row>
    <row r="110" spans="2:17" x14ac:dyDescent="0.3">
      <c r="B110" s="102" t="s">
        <v>463</v>
      </c>
      <c r="C110" s="102" t="s">
        <v>464</v>
      </c>
      <c r="D110" s="102" t="s">
        <v>418</v>
      </c>
      <c r="E110" s="102" t="s">
        <v>419</v>
      </c>
      <c r="F110" s="102">
        <v>0</v>
      </c>
      <c r="G110" s="104">
        <v>650214</v>
      </c>
      <c r="H110" s="104">
        <v>650214</v>
      </c>
      <c r="I110" s="104">
        <v>650214</v>
      </c>
      <c r="J110" s="102">
        <v>0</v>
      </c>
      <c r="K110" s="102">
        <v>1.08</v>
      </c>
      <c r="L110" s="102">
        <v>0</v>
      </c>
      <c r="M110" s="102"/>
      <c r="N110" s="102">
        <v>0</v>
      </c>
      <c r="O110" s="88"/>
      <c r="P110" s="88"/>
      <c r="Q110" s="74">
        <f>전체매매내역!D108</f>
        <v>0</v>
      </c>
    </row>
    <row r="111" spans="2:17" x14ac:dyDescent="0.3">
      <c r="B111" s="102" t="s">
        <v>463</v>
      </c>
      <c r="C111" s="102" t="s">
        <v>464</v>
      </c>
      <c r="D111" s="102" t="s">
        <v>420</v>
      </c>
      <c r="E111" s="102"/>
      <c r="F111" s="102">
        <v>0</v>
      </c>
      <c r="G111" s="104">
        <v>650214</v>
      </c>
      <c r="H111" s="104">
        <v>650214</v>
      </c>
      <c r="I111" s="104">
        <v>650214</v>
      </c>
      <c r="J111" s="102">
        <v>0</v>
      </c>
      <c r="K111" s="102">
        <v>1.08</v>
      </c>
      <c r="L111" s="102">
        <v>0</v>
      </c>
      <c r="M111" s="102"/>
      <c r="N111" s="102">
        <v>0</v>
      </c>
      <c r="O111" s="88"/>
      <c r="P111" s="88"/>
      <c r="Q111" s="74">
        <f>전체매매내역!D109</f>
        <v>0</v>
      </c>
    </row>
    <row r="112" spans="2:17" x14ac:dyDescent="0.3">
      <c r="B112" s="102" t="s">
        <v>514</v>
      </c>
      <c r="C112" s="102" t="s">
        <v>515</v>
      </c>
      <c r="D112" s="102" t="s">
        <v>418</v>
      </c>
      <c r="E112" s="102" t="s">
        <v>419</v>
      </c>
      <c r="F112" s="102">
        <v>0</v>
      </c>
      <c r="G112" s="104">
        <v>350116</v>
      </c>
      <c r="H112" s="104">
        <v>350116</v>
      </c>
      <c r="I112" s="104">
        <v>350116</v>
      </c>
      <c r="J112" s="102">
        <v>0</v>
      </c>
      <c r="K112" s="102">
        <v>1</v>
      </c>
      <c r="L112" s="102">
        <v>0</v>
      </c>
      <c r="M112" s="102"/>
      <c r="N112" s="102">
        <v>0</v>
      </c>
      <c r="O112" s="88"/>
      <c r="P112" s="88"/>
      <c r="Q112" s="74">
        <f>전체매매내역!D110</f>
        <v>0</v>
      </c>
    </row>
    <row r="113" spans="2:17" x14ac:dyDescent="0.3">
      <c r="B113" s="102" t="s">
        <v>514</v>
      </c>
      <c r="C113" s="102" t="s">
        <v>515</v>
      </c>
      <c r="D113" s="102" t="s">
        <v>420</v>
      </c>
      <c r="E113" s="102"/>
      <c r="F113" s="102">
        <v>0</v>
      </c>
      <c r="G113" s="104">
        <v>350116</v>
      </c>
      <c r="H113" s="104">
        <v>350116</v>
      </c>
      <c r="I113" s="104">
        <v>350116</v>
      </c>
      <c r="J113" s="102">
        <v>0</v>
      </c>
      <c r="K113" s="102">
        <v>1</v>
      </c>
      <c r="L113" s="102">
        <v>0</v>
      </c>
      <c r="M113" s="102"/>
      <c r="N113" s="102">
        <v>0</v>
      </c>
      <c r="O113" s="88"/>
      <c r="P113" s="88"/>
      <c r="Q113" s="74">
        <f>전체매매내역!D111</f>
        <v>0</v>
      </c>
    </row>
    <row r="114" spans="2:17" x14ac:dyDescent="0.3">
      <c r="B114" s="102" t="s">
        <v>516</v>
      </c>
      <c r="C114" s="102" t="s">
        <v>517</v>
      </c>
      <c r="D114" s="102" t="s">
        <v>418</v>
      </c>
      <c r="E114" s="102" t="s">
        <v>419</v>
      </c>
      <c r="F114" s="102">
        <v>0</v>
      </c>
      <c r="G114" s="104">
        <v>500167</v>
      </c>
      <c r="H114" s="104">
        <v>500167</v>
      </c>
      <c r="I114" s="104">
        <v>500167</v>
      </c>
      <c r="J114" s="102">
        <v>0</v>
      </c>
      <c r="K114" s="102">
        <v>1</v>
      </c>
      <c r="L114" s="102">
        <v>0</v>
      </c>
      <c r="M114" s="102"/>
      <c r="N114" s="102">
        <v>0</v>
      </c>
      <c r="O114" s="88"/>
      <c r="P114" s="88"/>
      <c r="Q114" s="74">
        <f>전체매매내역!D112</f>
        <v>0</v>
      </c>
    </row>
    <row r="115" spans="2:17" x14ac:dyDescent="0.3">
      <c r="B115" s="102" t="s">
        <v>516</v>
      </c>
      <c r="C115" s="102" t="s">
        <v>517</v>
      </c>
      <c r="D115" s="102" t="s">
        <v>420</v>
      </c>
      <c r="E115" s="102"/>
      <c r="F115" s="102">
        <v>0</v>
      </c>
      <c r="G115" s="104">
        <v>500167</v>
      </c>
      <c r="H115" s="104">
        <v>500167</v>
      </c>
      <c r="I115" s="104">
        <v>500167</v>
      </c>
      <c r="J115" s="102">
        <v>0</v>
      </c>
      <c r="K115" s="102">
        <v>1</v>
      </c>
      <c r="L115" s="102">
        <v>0</v>
      </c>
      <c r="M115" s="102"/>
      <c r="N115" s="102">
        <v>0</v>
      </c>
      <c r="O115" s="88"/>
      <c r="P115" s="88"/>
      <c r="Q115" s="74">
        <f>전체매매내역!D113</f>
        <v>0</v>
      </c>
    </row>
    <row r="116" spans="2:17" x14ac:dyDescent="0.3">
      <c r="B116" s="102" t="s">
        <v>518</v>
      </c>
      <c r="C116" s="102" t="s">
        <v>519</v>
      </c>
      <c r="D116" s="102" t="s">
        <v>418</v>
      </c>
      <c r="E116" s="102" t="s">
        <v>419</v>
      </c>
      <c r="F116" s="102">
        <v>0</v>
      </c>
      <c r="G116" s="104">
        <v>650217</v>
      </c>
      <c r="H116" s="104">
        <v>650217</v>
      </c>
      <c r="I116" s="104">
        <v>650217</v>
      </c>
      <c r="J116" s="102">
        <v>0</v>
      </c>
      <c r="K116" s="102">
        <v>1</v>
      </c>
      <c r="L116" s="102">
        <v>0</v>
      </c>
      <c r="M116" s="102"/>
      <c r="N116" s="102">
        <v>0</v>
      </c>
      <c r="O116" s="88"/>
      <c r="P116" s="88"/>
      <c r="Q116" s="74">
        <f>전체매매내역!D114</f>
        <v>0</v>
      </c>
    </row>
    <row r="117" spans="2:17" x14ac:dyDescent="0.3">
      <c r="B117" s="102" t="s">
        <v>518</v>
      </c>
      <c r="C117" s="102" t="s">
        <v>519</v>
      </c>
      <c r="D117" s="102" t="s">
        <v>420</v>
      </c>
      <c r="E117" s="102"/>
      <c r="F117" s="102">
        <v>0</v>
      </c>
      <c r="G117" s="104">
        <v>650217</v>
      </c>
      <c r="H117" s="104">
        <v>650217</v>
      </c>
      <c r="I117" s="104">
        <v>650217</v>
      </c>
      <c r="J117" s="102">
        <v>0</v>
      </c>
      <c r="K117" s="102">
        <v>1</v>
      </c>
      <c r="L117" s="102">
        <v>0</v>
      </c>
      <c r="M117" s="102"/>
      <c r="N117" s="102">
        <v>0</v>
      </c>
      <c r="O117" s="88"/>
      <c r="P117" s="88"/>
      <c r="Q117" s="74">
        <f>전체매매내역!D115</f>
        <v>0</v>
      </c>
    </row>
    <row r="118" spans="2:17" x14ac:dyDescent="0.3">
      <c r="B118" s="102" t="s">
        <v>520</v>
      </c>
      <c r="C118" s="102" t="s">
        <v>521</v>
      </c>
      <c r="D118" s="102" t="s">
        <v>418</v>
      </c>
      <c r="E118" s="102" t="s">
        <v>419</v>
      </c>
      <c r="F118" s="102">
        <v>0</v>
      </c>
      <c r="G118" s="104">
        <v>350116</v>
      </c>
      <c r="H118" s="104">
        <v>350116</v>
      </c>
      <c r="I118" s="104">
        <v>350116</v>
      </c>
      <c r="J118" s="102">
        <v>0</v>
      </c>
      <c r="K118" s="102">
        <v>1.01</v>
      </c>
      <c r="L118" s="102">
        <v>0</v>
      </c>
      <c r="M118" s="102"/>
      <c r="N118" s="102">
        <v>0</v>
      </c>
      <c r="O118" s="88"/>
      <c r="P118" s="88"/>
      <c r="Q118" s="74">
        <f>전체매매내역!D116</f>
        <v>0</v>
      </c>
    </row>
    <row r="119" spans="2:17" x14ac:dyDescent="0.3">
      <c r="B119" s="102" t="s">
        <v>520</v>
      </c>
      <c r="C119" s="102" t="s">
        <v>521</v>
      </c>
      <c r="D119" s="102" t="s">
        <v>420</v>
      </c>
      <c r="E119" s="102"/>
      <c r="F119" s="102">
        <v>0</v>
      </c>
      <c r="G119" s="104">
        <v>350116</v>
      </c>
      <c r="H119" s="104">
        <v>350116</v>
      </c>
      <c r="I119" s="104">
        <v>350116</v>
      </c>
      <c r="J119" s="102">
        <v>0</v>
      </c>
      <c r="K119" s="102">
        <v>1.01</v>
      </c>
      <c r="L119" s="102">
        <v>0</v>
      </c>
      <c r="M119" s="102"/>
      <c r="N119" s="102">
        <v>0</v>
      </c>
      <c r="O119" s="88"/>
      <c r="P119" s="88"/>
      <c r="Q119" s="74">
        <f>전체매매내역!D117</f>
        <v>0</v>
      </c>
    </row>
    <row r="120" spans="2:17" x14ac:dyDescent="0.3">
      <c r="B120" s="102" t="s">
        <v>522</v>
      </c>
      <c r="C120" s="102" t="s">
        <v>523</v>
      </c>
      <c r="D120" s="102" t="s">
        <v>418</v>
      </c>
      <c r="E120" s="102" t="s">
        <v>419</v>
      </c>
      <c r="F120" s="102">
        <v>0</v>
      </c>
      <c r="G120" s="104">
        <v>500167</v>
      </c>
      <c r="H120" s="104">
        <v>500167</v>
      </c>
      <c r="I120" s="104">
        <v>500167</v>
      </c>
      <c r="J120" s="102">
        <v>0</v>
      </c>
      <c r="K120" s="102">
        <v>1.01</v>
      </c>
      <c r="L120" s="102">
        <v>0</v>
      </c>
      <c r="M120" s="102"/>
      <c r="N120" s="102">
        <v>0</v>
      </c>
      <c r="O120" s="88"/>
      <c r="P120" s="88"/>
      <c r="Q120" s="74">
        <f>전체매매내역!D118</f>
        <v>0</v>
      </c>
    </row>
    <row r="121" spans="2:17" x14ac:dyDescent="0.3">
      <c r="B121" s="102" t="s">
        <v>522</v>
      </c>
      <c r="C121" s="102" t="s">
        <v>523</v>
      </c>
      <c r="D121" s="102" t="s">
        <v>420</v>
      </c>
      <c r="E121" s="102"/>
      <c r="F121" s="102">
        <v>0</v>
      </c>
      <c r="G121" s="104">
        <v>500167</v>
      </c>
      <c r="H121" s="104">
        <v>500167</v>
      </c>
      <c r="I121" s="104">
        <v>500167</v>
      </c>
      <c r="J121" s="102">
        <v>0</v>
      </c>
      <c r="K121" s="102">
        <v>1.01</v>
      </c>
      <c r="L121" s="102">
        <v>0</v>
      </c>
      <c r="M121" s="102"/>
      <c r="N121" s="102">
        <v>0</v>
      </c>
      <c r="O121" s="88"/>
      <c r="P121" s="88"/>
      <c r="Q121" s="74">
        <f>전체매매내역!D119</f>
        <v>0</v>
      </c>
    </row>
    <row r="122" spans="2:17" x14ac:dyDescent="0.3">
      <c r="B122" s="102" t="s">
        <v>524</v>
      </c>
      <c r="C122" s="102" t="s">
        <v>525</v>
      </c>
      <c r="D122" s="102" t="s">
        <v>418</v>
      </c>
      <c r="E122" s="102" t="s">
        <v>419</v>
      </c>
      <c r="F122" s="102">
        <v>0</v>
      </c>
      <c r="G122" s="104">
        <v>650217</v>
      </c>
      <c r="H122" s="104">
        <v>650217</v>
      </c>
      <c r="I122" s="104">
        <v>650217</v>
      </c>
      <c r="J122" s="102">
        <v>0</v>
      </c>
      <c r="K122" s="102">
        <v>1.01</v>
      </c>
      <c r="L122" s="102">
        <v>0</v>
      </c>
      <c r="M122" s="102"/>
      <c r="N122" s="102">
        <v>0</v>
      </c>
      <c r="O122" s="88"/>
      <c r="P122" s="88"/>
      <c r="Q122" s="74">
        <f>전체매매내역!D120</f>
        <v>0</v>
      </c>
    </row>
    <row r="123" spans="2:17" x14ac:dyDescent="0.3">
      <c r="B123" s="102" t="s">
        <v>524</v>
      </c>
      <c r="C123" s="102" t="s">
        <v>525</v>
      </c>
      <c r="D123" s="102" t="s">
        <v>420</v>
      </c>
      <c r="E123" s="102"/>
      <c r="F123" s="102">
        <v>0</v>
      </c>
      <c r="G123" s="104">
        <v>650217</v>
      </c>
      <c r="H123" s="104">
        <v>650217</v>
      </c>
      <c r="I123" s="104">
        <v>650217</v>
      </c>
      <c r="J123" s="102">
        <v>0</v>
      </c>
      <c r="K123" s="102">
        <v>1.01</v>
      </c>
      <c r="L123" s="102">
        <v>0</v>
      </c>
      <c r="M123" s="102"/>
      <c r="N123" s="102">
        <v>0</v>
      </c>
      <c r="O123" s="88"/>
      <c r="P123" s="88"/>
      <c r="Q123" s="74">
        <f>전체매매내역!D121</f>
        <v>0</v>
      </c>
    </row>
    <row r="124" spans="2:17" x14ac:dyDescent="0.3">
      <c r="B124" s="102" t="s">
        <v>526</v>
      </c>
      <c r="C124" s="102" t="s">
        <v>527</v>
      </c>
      <c r="D124" s="102" t="s">
        <v>418</v>
      </c>
      <c r="E124" s="102" t="s">
        <v>419</v>
      </c>
      <c r="F124" s="102">
        <v>0</v>
      </c>
      <c r="G124" s="104">
        <v>350116</v>
      </c>
      <c r="H124" s="104">
        <v>350116</v>
      </c>
      <c r="I124" s="104">
        <v>350116</v>
      </c>
      <c r="J124" s="102">
        <v>0</v>
      </c>
      <c r="K124" s="102">
        <v>1.01</v>
      </c>
      <c r="L124" s="102">
        <v>0</v>
      </c>
      <c r="M124" s="102"/>
      <c r="N124" s="102">
        <v>0</v>
      </c>
      <c r="O124" s="88"/>
      <c r="P124" s="88"/>
      <c r="Q124" s="74">
        <f>전체매매내역!D122</f>
        <v>0</v>
      </c>
    </row>
    <row r="125" spans="2:17" x14ac:dyDescent="0.3">
      <c r="B125" s="102" t="s">
        <v>526</v>
      </c>
      <c r="C125" s="102" t="s">
        <v>527</v>
      </c>
      <c r="D125" s="102" t="s">
        <v>420</v>
      </c>
      <c r="E125" s="102"/>
      <c r="F125" s="102">
        <v>0</v>
      </c>
      <c r="G125" s="104">
        <v>350116</v>
      </c>
      <c r="H125" s="104">
        <v>350116</v>
      </c>
      <c r="I125" s="104">
        <v>350116</v>
      </c>
      <c r="J125" s="102">
        <v>0</v>
      </c>
      <c r="K125" s="102">
        <v>1.01</v>
      </c>
      <c r="L125" s="102">
        <v>0</v>
      </c>
      <c r="M125" s="102"/>
      <c r="N125" s="102">
        <v>0</v>
      </c>
      <c r="O125" s="88"/>
      <c r="P125" s="88"/>
    </row>
    <row r="126" spans="2:17" x14ac:dyDescent="0.3">
      <c r="B126" s="102" t="s">
        <v>528</v>
      </c>
      <c r="C126" s="102" t="s">
        <v>529</v>
      </c>
      <c r="D126" s="102" t="s">
        <v>418</v>
      </c>
      <c r="E126" s="102" t="s">
        <v>419</v>
      </c>
      <c r="F126" s="102">
        <v>0</v>
      </c>
      <c r="G126" s="104">
        <v>500167</v>
      </c>
      <c r="H126" s="104">
        <v>500167</v>
      </c>
      <c r="I126" s="104">
        <v>500167</v>
      </c>
      <c r="J126" s="102">
        <v>0</v>
      </c>
      <c r="K126" s="102">
        <v>1.01</v>
      </c>
      <c r="L126" s="102">
        <v>0</v>
      </c>
      <c r="M126" s="102"/>
      <c r="N126" s="102">
        <v>0</v>
      </c>
      <c r="O126" s="88"/>
      <c r="P126" s="88"/>
    </row>
    <row r="127" spans="2:17" x14ac:dyDescent="0.3">
      <c r="B127" s="102" t="s">
        <v>528</v>
      </c>
      <c r="C127" s="102" t="s">
        <v>529</v>
      </c>
      <c r="D127" s="102" t="s">
        <v>420</v>
      </c>
      <c r="E127" s="102"/>
      <c r="F127" s="102">
        <v>0</v>
      </c>
      <c r="G127" s="104">
        <v>500167</v>
      </c>
      <c r="H127" s="104">
        <v>500167</v>
      </c>
      <c r="I127" s="104">
        <v>500167</v>
      </c>
      <c r="J127" s="102">
        <v>0</v>
      </c>
      <c r="K127" s="102">
        <v>1.01</v>
      </c>
      <c r="L127" s="102">
        <v>0</v>
      </c>
      <c r="M127" s="102"/>
      <c r="N127" s="102">
        <v>0</v>
      </c>
      <c r="O127" s="88"/>
      <c r="P127" s="88"/>
    </row>
    <row r="128" spans="2:17" x14ac:dyDescent="0.3">
      <c r="B128" s="102" t="s">
        <v>530</v>
      </c>
      <c r="C128" s="102" t="s">
        <v>531</v>
      </c>
      <c r="D128" s="102" t="s">
        <v>418</v>
      </c>
      <c r="E128" s="102" t="s">
        <v>419</v>
      </c>
      <c r="F128" s="102">
        <v>0</v>
      </c>
      <c r="G128" s="104">
        <v>650217</v>
      </c>
      <c r="H128" s="104">
        <v>650217</v>
      </c>
      <c r="I128" s="104">
        <v>650217</v>
      </c>
      <c r="J128" s="102">
        <v>0</v>
      </c>
      <c r="K128" s="102">
        <v>1.01</v>
      </c>
      <c r="L128" s="102">
        <v>0</v>
      </c>
      <c r="M128" s="102"/>
      <c r="N128" s="102">
        <v>0</v>
      </c>
      <c r="O128" s="88"/>
      <c r="P128" s="88"/>
    </row>
    <row r="129" spans="2:16" x14ac:dyDescent="0.3">
      <c r="B129" s="102" t="s">
        <v>530</v>
      </c>
      <c r="C129" s="102" t="s">
        <v>531</v>
      </c>
      <c r="D129" s="102" t="s">
        <v>420</v>
      </c>
      <c r="E129" s="102"/>
      <c r="F129" s="102">
        <v>0</v>
      </c>
      <c r="G129" s="104">
        <v>650217</v>
      </c>
      <c r="H129" s="104">
        <v>650217</v>
      </c>
      <c r="I129" s="104">
        <v>650217</v>
      </c>
      <c r="J129" s="102">
        <v>0</v>
      </c>
      <c r="K129" s="102">
        <v>1.01</v>
      </c>
      <c r="L129" s="102">
        <v>0</v>
      </c>
      <c r="M129" s="102"/>
      <c r="N129" s="102">
        <v>0</v>
      </c>
      <c r="O129" s="102"/>
      <c r="P129" s="102"/>
    </row>
    <row r="130" spans="2:16" x14ac:dyDescent="0.3">
      <c r="B130" s="102" t="s">
        <v>532</v>
      </c>
      <c r="C130" s="102" t="s">
        <v>533</v>
      </c>
      <c r="D130" s="102" t="s">
        <v>534</v>
      </c>
      <c r="E130" s="102" t="s">
        <v>535</v>
      </c>
      <c r="F130" s="102">
        <v>0</v>
      </c>
      <c r="G130" s="102">
        <v>38</v>
      </c>
      <c r="H130" s="104">
        <v>1811532</v>
      </c>
      <c r="I130" s="104">
        <v>1681500</v>
      </c>
      <c r="J130" s="104">
        <v>-130032</v>
      </c>
      <c r="K130" s="102">
        <v>3.44</v>
      </c>
      <c r="L130" s="102">
        <v>-7.18</v>
      </c>
      <c r="M130" s="102" t="s">
        <v>536</v>
      </c>
      <c r="N130" s="104">
        <v>1811532</v>
      </c>
      <c r="O130" s="102">
        <v>0.25</v>
      </c>
      <c r="P130" s="102">
        <v>3.19</v>
      </c>
    </row>
    <row r="131" spans="2:16" x14ac:dyDescent="0.3">
      <c r="B131" s="102" t="s">
        <v>532</v>
      </c>
      <c r="C131" s="102" t="s">
        <v>533</v>
      </c>
      <c r="D131" s="102" t="s">
        <v>537</v>
      </c>
      <c r="E131" s="102" t="s">
        <v>538</v>
      </c>
      <c r="F131" s="102">
        <v>0</v>
      </c>
      <c r="G131" s="102">
        <v>9</v>
      </c>
      <c r="H131" s="104">
        <v>704502</v>
      </c>
      <c r="I131" s="104">
        <v>751500</v>
      </c>
      <c r="J131" s="104">
        <v>46998</v>
      </c>
      <c r="K131" s="102">
        <v>1.54</v>
      </c>
      <c r="L131" s="102">
        <v>6.67</v>
      </c>
      <c r="M131" s="102" t="s">
        <v>539</v>
      </c>
      <c r="N131" s="104">
        <v>704502</v>
      </c>
      <c r="O131" s="102">
        <v>1.61</v>
      </c>
      <c r="P131" s="102">
        <v>-7.0000000000000007E-2</v>
      </c>
    </row>
    <row r="132" spans="2:16" x14ac:dyDescent="0.3">
      <c r="B132" s="102" t="s">
        <v>532</v>
      </c>
      <c r="C132" s="102" t="s">
        <v>533</v>
      </c>
      <c r="D132" s="102" t="s">
        <v>699</v>
      </c>
      <c r="E132" s="102" t="s">
        <v>700</v>
      </c>
      <c r="F132" s="102">
        <v>0</v>
      </c>
      <c r="G132" s="102">
        <v>35</v>
      </c>
      <c r="H132" s="104">
        <v>164310</v>
      </c>
      <c r="I132" s="104">
        <v>168175</v>
      </c>
      <c r="J132" s="104">
        <v>3865</v>
      </c>
      <c r="K132" s="102">
        <v>0.34</v>
      </c>
      <c r="L132" s="102">
        <v>2.35</v>
      </c>
      <c r="M132" s="102" t="s">
        <v>701</v>
      </c>
      <c r="N132" s="104">
        <v>164310</v>
      </c>
      <c r="O132" s="102">
        <v>0.03</v>
      </c>
      <c r="P132" s="102">
        <v>0.31</v>
      </c>
    </row>
    <row r="133" spans="2:16" x14ac:dyDescent="0.3">
      <c r="B133" s="102" t="s">
        <v>532</v>
      </c>
      <c r="C133" s="102" t="s">
        <v>533</v>
      </c>
      <c r="D133" s="102" t="s">
        <v>702</v>
      </c>
      <c r="E133" s="102" t="s">
        <v>703</v>
      </c>
      <c r="F133" s="102">
        <v>0</v>
      </c>
      <c r="G133" s="102">
        <v>94</v>
      </c>
      <c r="H133" s="104">
        <v>187710</v>
      </c>
      <c r="I133" s="104">
        <v>191290</v>
      </c>
      <c r="J133" s="104">
        <v>3580</v>
      </c>
      <c r="K133" s="102">
        <v>0.39</v>
      </c>
      <c r="L133" s="102">
        <v>1.91</v>
      </c>
      <c r="M133" s="102" t="s">
        <v>704</v>
      </c>
      <c r="N133" s="104">
        <v>187710</v>
      </c>
      <c r="O133" s="102">
        <v>0.03</v>
      </c>
      <c r="P133" s="102">
        <v>0.36</v>
      </c>
    </row>
    <row r="134" spans="2:16" x14ac:dyDescent="0.3">
      <c r="B134" s="102" t="s">
        <v>532</v>
      </c>
      <c r="C134" s="102" t="s">
        <v>533</v>
      </c>
      <c r="D134" s="102" t="s">
        <v>540</v>
      </c>
      <c r="E134" s="102" t="s">
        <v>541</v>
      </c>
      <c r="F134" s="102">
        <v>0</v>
      </c>
      <c r="G134" s="102">
        <v>16</v>
      </c>
      <c r="H134" s="104">
        <v>1969960</v>
      </c>
      <c r="I134" s="104">
        <v>1752000</v>
      </c>
      <c r="J134" s="104">
        <v>-217960</v>
      </c>
      <c r="K134" s="102">
        <v>3.58</v>
      </c>
      <c r="L134" s="102">
        <v>-11.06</v>
      </c>
      <c r="M134" s="102" t="s">
        <v>542</v>
      </c>
      <c r="N134" s="104">
        <v>1969960</v>
      </c>
      <c r="O134" s="102">
        <v>3.78</v>
      </c>
      <c r="P134" s="102">
        <v>-0.2</v>
      </c>
    </row>
    <row r="135" spans="2:16" x14ac:dyDescent="0.3">
      <c r="B135" s="102" t="s">
        <v>532</v>
      </c>
      <c r="C135" s="102" t="s">
        <v>533</v>
      </c>
      <c r="D135" s="102" t="s">
        <v>705</v>
      </c>
      <c r="E135" s="102" t="s">
        <v>706</v>
      </c>
      <c r="F135" s="102">
        <v>0</v>
      </c>
      <c r="G135" s="102">
        <v>24</v>
      </c>
      <c r="H135" s="104">
        <v>91530</v>
      </c>
      <c r="I135" s="104">
        <v>96120</v>
      </c>
      <c r="J135" s="104">
        <v>4590</v>
      </c>
      <c r="K135" s="102">
        <v>0.2</v>
      </c>
      <c r="L135" s="102">
        <v>5.01</v>
      </c>
      <c r="M135" s="102" t="s">
        <v>707</v>
      </c>
      <c r="N135" s="104">
        <v>91530</v>
      </c>
      <c r="O135" s="102">
        <v>0.02</v>
      </c>
      <c r="P135" s="102">
        <v>0.18</v>
      </c>
    </row>
    <row r="136" spans="2:16" x14ac:dyDescent="0.3">
      <c r="B136" s="102" t="s">
        <v>532</v>
      </c>
      <c r="C136" s="102" t="s">
        <v>533</v>
      </c>
      <c r="D136" s="102" t="s">
        <v>708</v>
      </c>
      <c r="E136" s="102" t="s">
        <v>709</v>
      </c>
      <c r="F136" s="102">
        <v>0</v>
      </c>
      <c r="G136" s="102">
        <v>7</v>
      </c>
      <c r="H136" s="104">
        <v>73920</v>
      </c>
      <c r="I136" s="104">
        <v>72450</v>
      </c>
      <c r="J136" s="104">
        <v>-1470</v>
      </c>
      <c r="K136" s="102">
        <v>0.15</v>
      </c>
      <c r="L136" s="102">
        <v>-1.99</v>
      </c>
      <c r="M136" s="102" t="s">
        <v>710</v>
      </c>
      <c r="N136" s="104">
        <v>73920</v>
      </c>
      <c r="O136" s="102">
        <v>0.01</v>
      </c>
      <c r="P136" s="102">
        <v>0.14000000000000001</v>
      </c>
    </row>
    <row r="137" spans="2:16" x14ac:dyDescent="0.3">
      <c r="B137" s="102" t="s">
        <v>532</v>
      </c>
      <c r="C137" s="102" t="s">
        <v>533</v>
      </c>
      <c r="D137" s="102" t="s">
        <v>711</v>
      </c>
      <c r="E137" s="102" t="s">
        <v>712</v>
      </c>
      <c r="F137" s="102">
        <v>0</v>
      </c>
      <c r="G137" s="102">
        <v>11</v>
      </c>
      <c r="H137" s="104">
        <v>203150</v>
      </c>
      <c r="I137" s="104">
        <v>200750</v>
      </c>
      <c r="J137" s="104">
        <v>-2400</v>
      </c>
      <c r="K137" s="102">
        <v>0.41</v>
      </c>
      <c r="L137" s="102">
        <v>-1.18</v>
      </c>
      <c r="M137" s="102" t="s">
        <v>713</v>
      </c>
      <c r="N137" s="104">
        <v>203150</v>
      </c>
      <c r="O137" s="102">
        <v>0.03</v>
      </c>
      <c r="P137" s="102">
        <v>0.38</v>
      </c>
    </row>
    <row r="138" spans="2:16" x14ac:dyDescent="0.3">
      <c r="B138" s="102" t="s">
        <v>532</v>
      </c>
      <c r="C138" s="102" t="s">
        <v>533</v>
      </c>
      <c r="D138" s="102" t="s">
        <v>714</v>
      </c>
      <c r="E138" s="102" t="s">
        <v>715</v>
      </c>
      <c r="F138" s="102">
        <v>0</v>
      </c>
      <c r="G138" s="102">
        <v>71</v>
      </c>
      <c r="H138" s="104">
        <v>111580</v>
      </c>
      <c r="I138" s="104">
        <v>111470</v>
      </c>
      <c r="J138" s="102">
        <v>-110</v>
      </c>
      <c r="K138" s="102">
        <v>0.23</v>
      </c>
      <c r="L138" s="102">
        <v>-0.1</v>
      </c>
      <c r="M138" s="102" t="s">
        <v>716</v>
      </c>
      <c r="N138" s="104">
        <v>111580</v>
      </c>
      <c r="O138" s="102">
        <v>0.02</v>
      </c>
      <c r="P138" s="102">
        <v>0.21</v>
      </c>
    </row>
    <row r="139" spans="2:16" x14ac:dyDescent="0.3">
      <c r="B139" s="102" t="s">
        <v>532</v>
      </c>
      <c r="C139" s="102" t="s">
        <v>533</v>
      </c>
      <c r="D139" s="102" t="s">
        <v>717</v>
      </c>
      <c r="E139" s="102" t="s">
        <v>718</v>
      </c>
      <c r="F139" s="102">
        <v>0</v>
      </c>
      <c r="G139" s="102">
        <v>8</v>
      </c>
      <c r="H139" s="104">
        <v>192990</v>
      </c>
      <c r="I139" s="104">
        <v>199200</v>
      </c>
      <c r="J139" s="104">
        <v>6210</v>
      </c>
      <c r="K139" s="102">
        <v>0.41</v>
      </c>
      <c r="L139" s="102">
        <v>3.22</v>
      </c>
      <c r="M139" s="102" t="s">
        <v>719</v>
      </c>
      <c r="N139" s="104">
        <v>192990</v>
      </c>
      <c r="O139" s="102">
        <v>0.03</v>
      </c>
      <c r="P139" s="102">
        <v>0.38</v>
      </c>
    </row>
    <row r="140" spans="2:16" x14ac:dyDescent="0.3">
      <c r="B140" s="102" t="s">
        <v>532</v>
      </c>
      <c r="C140" s="102" t="s">
        <v>533</v>
      </c>
      <c r="D140" s="102" t="s">
        <v>624</v>
      </c>
      <c r="E140" s="102" t="s">
        <v>625</v>
      </c>
      <c r="F140" s="102">
        <v>0</v>
      </c>
      <c r="G140" s="102">
        <v>3</v>
      </c>
      <c r="H140" s="104">
        <v>35730</v>
      </c>
      <c r="I140" s="104">
        <v>32850</v>
      </c>
      <c r="J140" s="104">
        <v>-2880</v>
      </c>
      <c r="K140" s="102">
        <v>7.0000000000000007E-2</v>
      </c>
      <c r="L140" s="102">
        <v>-8.06</v>
      </c>
      <c r="M140" s="102" t="s">
        <v>626</v>
      </c>
      <c r="N140" s="104">
        <v>35730</v>
      </c>
      <c r="O140" s="102">
        <v>0.01</v>
      </c>
      <c r="P140" s="102">
        <v>0.06</v>
      </c>
    </row>
    <row r="141" spans="2:16" x14ac:dyDescent="0.3">
      <c r="B141" s="102" t="s">
        <v>532</v>
      </c>
      <c r="C141" s="102" t="s">
        <v>533</v>
      </c>
      <c r="D141" s="102" t="s">
        <v>720</v>
      </c>
      <c r="E141" s="102" t="s">
        <v>721</v>
      </c>
      <c r="F141" s="102">
        <v>0</v>
      </c>
      <c r="G141" s="102">
        <v>3</v>
      </c>
      <c r="H141" s="104">
        <v>163960</v>
      </c>
      <c r="I141" s="104">
        <v>163500</v>
      </c>
      <c r="J141" s="102">
        <v>-460</v>
      </c>
      <c r="K141" s="102">
        <v>0.33</v>
      </c>
      <c r="L141" s="102">
        <v>-0.28000000000000003</v>
      </c>
      <c r="M141" s="102" t="s">
        <v>722</v>
      </c>
      <c r="N141" s="104">
        <v>163960</v>
      </c>
      <c r="O141" s="102">
        <v>0.03</v>
      </c>
      <c r="P141" s="102">
        <v>0.3</v>
      </c>
    </row>
    <row r="142" spans="2:16" x14ac:dyDescent="0.3">
      <c r="B142" s="102" t="s">
        <v>532</v>
      </c>
      <c r="C142" s="102" t="s">
        <v>533</v>
      </c>
      <c r="D142" s="102" t="s">
        <v>723</v>
      </c>
      <c r="E142" s="102" t="s">
        <v>724</v>
      </c>
      <c r="F142" s="102">
        <v>0</v>
      </c>
      <c r="G142" s="102">
        <v>6</v>
      </c>
      <c r="H142" s="104">
        <v>85580</v>
      </c>
      <c r="I142" s="104">
        <v>85200</v>
      </c>
      <c r="J142" s="102">
        <v>-380</v>
      </c>
      <c r="K142" s="102">
        <v>0.17</v>
      </c>
      <c r="L142" s="102">
        <v>-0.44</v>
      </c>
      <c r="M142" s="102" t="s">
        <v>725</v>
      </c>
      <c r="N142" s="104">
        <v>85580</v>
      </c>
      <c r="O142" s="102">
        <v>0.01</v>
      </c>
      <c r="P142" s="102">
        <v>0.16</v>
      </c>
    </row>
    <row r="143" spans="2:16" x14ac:dyDescent="0.3">
      <c r="B143" s="102" t="s">
        <v>532</v>
      </c>
      <c r="C143" s="102" t="s">
        <v>533</v>
      </c>
      <c r="D143" s="102" t="s">
        <v>726</v>
      </c>
      <c r="E143" s="102" t="s">
        <v>727</v>
      </c>
      <c r="F143" s="102">
        <v>0</v>
      </c>
      <c r="G143" s="102">
        <v>8</v>
      </c>
      <c r="H143" s="104">
        <v>66780</v>
      </c>
      <c r="I143" s="104">
        <v>66320</v>
      </c>
      <c r="J143" s="102">
        <v>-460</v>
      </c>
      <c r="K143" s="102">
        <v>0.14000000000000001</v>
      </c>
      <c r="L143" s="102">
        <v>-0.69</v>
      </c>
      <c r="M143" s="102" t="s">
        <v>728</v>
      </c>
      <c r="N143" s="104">
        <v>66780</v>
      </c>
      <c r="O143" s="102">
        <v>0.01</v>
      </c>
      <c r="P143" s="102">
        <v>0.13</v>
      </c>
    </row>
    <row r="144" spans="2:16" x14ac:dyDescent="0.3">
      <c r="B144" s="102" t="s">
        <v>532</v>
      </c>
      <c r="C144" s="102" t="s">
        <v>533</v>
      </c>
      <c r="D144" s="102" t="s">
        <v>627</v>
      </c>
      <c r="E144" s="102" t="s">
        <v>628</v>
      </c>
      <c r="F144" s="102">
        <v>0</v>
      </c>
      <c r="G144" s="102">
        <v>4</v>
      </c>
      <c r="H144" s="104">
        <v>85080</v>
      </c>
      <c r="I144" s="104">
        <v>95000</v>
      </c>
      <c r="J144" s="104">
        <v>9920</v>
      </c>
      <c r="K144" s="102">
        <v>0.19</v>
      </c>
      <c r="L144" s="102">
        <v>11.66</v>
      </c>
      <c r="M144" s="102" t="s">
        <v>629</v>
      </c>
      <c r="N144" s="104">
        <v>85080</v>
      </c>
      <c r="O144" s="102">
        <v>0.01</v>
      </c>
      <c r="P144" s="102">
        <v>0.18</v>
      </c>
    </row>
    <row r="145" spans="2:16" x14ac:dyDescent="0.3">
      <c r="B145" s="102" t="s">
        <v>532</v>
      </c>
      <c r="C145" s="102" t="s">
        <v>533</v>
      </c>
      <c r="D145" s="102" t="s">
        <v>630</v>
      </c>
      <c r="E145" s="102" t="s">
        <v>631</v>
      </c>
      <c r="F145" s="102">
        <v>0</v>
      </c>
      <c r="G145" s="102">
        <v>1</v>
      </c>
      <c r="H145" s="104">
        <v>119115</v>
      </c>
      <c r="I145" s="104">
        <v>154000</v>
      </c>
      <c r="J145" s="104">
        <v>34885</v>
      </c>
      <c r="K145" s="102">
        <v>0.32</v>
      </c>
      <c r="L145" s="102">
        <v>29.29</v>
      </c>
      <c r="M145" s="102" t="s">
        <v>632</v>
      </c>
      <c r="N145" s="104">
        <v>119115</v>
      </c>
      <c r="O145" s="102">
        <v>0.03</v>
      </c>
      <c r="P145" s="102">
        <v>0.28999999999999998</v>
      </c>
    </row>
    <row r="146" spans="2:16" x14ac:dyDescent="0.3">
      <c r="B146" s="102" t="s">
        <v>532</v>
      </c>
      <c r="C146" s="102" t="s">
        <v>533</v>
      </c>
      <c r="D146" s="102" t="s">
        <v>729</v>
      </c>
      <c r="E146" s="102" t="s">
        <v>730</v>
      </c>
      <c r="F146" s="102">
        <v>0</v>
      </c>
      <c r="G146" s="102">
        <v>119</v>
      </c>
      <c r="H146" s="104">
        <v>96599</v>
      </c>
      <c r="I146" s="104">
        <v>96271</v>
      </c>
      <c r="J146" s="102">
        <v>-328</v>
      </c>
      <c r="K146" s="102">
        <v>0.2</v>
      </c>
      <c r="L146" s="102">
        <v>-0.34</v>
      </c>
      <c r="M146" s="102" t="s">
        <v>731</v>
      </c>
      <c r="N146" s="104">
        <v>96599</v>
      </c>
      <c r="O146" s="102">
        <v>0.02</v>
      </c>
      <c r="P146" s="102">
        <v>0.18</v>
      </c>
    </row>
    <row r="147" spans="2:16" x14ac:dyDescent="0.3">
      <c r="B147" s="102" t="s">
        <v>532</v>
      </c>
      <c r="C147" s="102" t="s">
        <v>533</v>
      </c>
      <c r="D147" s="102" t="s">
        <v>732</v>
      </c>
      <c r="E147" s="102" t="s">
        <v>733</v>
      </c>
      <c r="F147" s="102">
        <v>0</v>
      </c>
      <c r="G147" s="102">
        <v>2</v>
      </c>
      <c r="H147" s="104">
        <v>196590</v>
      </c>
      <c r="I147" s="104">
        <v>190600</v>
      </c>
      <c r="J147" s="104">
        <v>-5990</v>
      </c>
      <c r="K147" s="102">
        <v>0.39</v>
      </c>
      <c r="L147" s="102">
        <v>-3.05</v>
      </c>
      <c r="M147" s="102" t="s">
        <v>734</v>
      </c>
      <c r="N147" s="104">
        <v>196590</v>
      </c>
      <c r="O147" s="102">
        <v>0.03</v>
      </c>
      <c r="P147" s="102">
        <v>0.36</v>
      </c>
    </row>
    <row r="148" spans="2:16" x14ac:dyDescent="0.3">
      <c r="B148" s="102" t="s">
        <v>532</v>
      </c>
      <c r="C148" s="102" t="s">
        <v>533</v>
      </c>
      <c r="D148" s="102" t="s">
        <v>633</v>
      </c>
      <c r="E148" s="102" t="s">
        <v>634</v>
      </c>
      <c r="F148" s="102">
        <v>0</v>
      </c>
      <c r="G148" s="102">
        <v>73</v>
      </c>
      <c r="H148" s="104">
        <v>208255</v>
      </c>
      <c r="I148" s="104">
        <v>209875</v>
      </c>
      <c r="J148" s="104">
        <v>1620</v>
      </c>
      <c r="K148" s="102">
        <v>0.43</v>
      </c>
      <c r="L148" s="102">
        <v>0.78</v>
      </c>
      <c r="M148" s="102" t="s">
        <v>635</v>
      </c>
      <c r="N148" s="104">
        <v>208255</v>
      </c>
      <c r="O148" s="102">
        <v>0.03</v>
      </c>
      <c r="P148" s="102">
        <v>0.4</v>
      </c>
    </row>
    <row r="149" spans="2:16" x14ac:dyDescent="0.3">
      <c r="B149" s="102" t="s">
        <v>532</v>
      </c>
      <c r="C149" s="102" t="s">
        <v>533</v>
      </c>
      <c r="D149" s="102" t="s">
        <v>735</v>
      </c>
      <c r="E149" s="102" t="s">
        <v>736</v>
      </c>
      <c r="F149" s="102">
        <v>0</v>
      </c>
      <c r="G149" s="102">
        <v>16</v>
      </c>
      <c r="H149" s="104">
        <v>277070</v>
      </c>
      <c r="I149" s="104">
        <v>273600</v>
      </c>
      <c r="J149" s="104">
        <v>-3470</v>
      </c>
      <c r="K149" s="102">
        <v>0.56000000000000005</v>
      </c>
      <c r="L149" s="102">
        <v>-1.25</v>
      </c>
      <c r="M149" s="102" t="s">
        <v>737</v>
      </c>
      <c r="N149" s="104">
        <v>277070</v>
      </c>
      <c r="O149" s="102">
        <v>0.04</v>
      </c>
      <c r="P149" s="102">
        <v>0.52</v>
      </c>
    </row>
    <row r="150" spans="2:16" x14ac:dyDescent="0.3">
      <c r="B150" s="102" t="s">
        <v>532</v>
      </c>
      <c r="C150" s="102" t="s">
        <v>533</v>
      </c>
      <c r="D150" s="102" t="s">
        <v>738</v>
      </c>
      <c r="E150" s="102" t="s">
        <v>739</v>
      </c>
      <c r="F150" s="102">
        <v>0</v>
      </c>
      <c r="G150" s="102">
        <v>45</v>
      </c>
      <c r="H150" s="104">
        <v>50450</v>
      </c>
      <c r="I150" s="104">
        <v>50400</v>
      </c>
      <c r="J150" s="102">
        <v>-50</v>
      </c>
      <c r="K150" s="102">
        <v>0.1</v>
      </c>
      <c r="L150" s="102">
        <v>-0.1</v>
      </c>
      <c r="M150" s="102" t="s">
        <v>740</v>
      </c>
      <c r="N150" s="104">
        <v>50450</v>
      </c>
      <c r="O150" s="102">
        <v>0.01</v>
      </c>
      <c r="P150" s="102">
        <v>0.09</v>
      </c>
    </row>
    <row r="151" spans="2:16" x14ac:dyDescent="0.3">
      <c r="B151" s="102" t="s">
        <v>532</v>
      </c>
      <c r="C151" s="102" t="s">
        <v>533</v>
      </c>
      <c r="D151" s="102" t="s">
        <v>543</v>
      </c>
      <c r="E151" s="102" t="s">
        <v>695</v>
      </c>
      <c r="F151" s="102">
        <v>0</v>
      </c>
      <c r="G151" s="102">
        <v>13</v>
      </c>
      <c r="H151" s="104">
        <v>230970</v>
      </c>
      <c r="I151" s="104">
        <v>96850</v>
      </c>
      <c r="J151" s="104">
        <v>-134120</v>
      </c>
      <c r="K151" s="102">
        <v>0.2</v>
      </c>
      <c r="L151" s="102">
        <v>-58.07</v>
      </c>
      <c r="M151" s="102" t="s">
        <v>544</v>
      </c>
      <c r="N151" s="104">
        <v>230970</v>
      </c>
      <c r="O151" s="102">
        <v>0.01</v>
      </c>
      <c r="P151" s="102">
        <v>0.19</v>
      </c>
    </row>
    <row r="152" spans="2:16" x14ac:dyDescent="0.3">
      <c r="B152" s="102" t="s">
        <v>532</v>
      </c>
      <c r="C152" s="102" t="s">
        <v>533</v>
      </c>
      <c r="D152" s="102" t="s">
        <v>636</v>
      </c>
      <c r="E152" s="102" t="s">
        <v>637</v>
      </c>
      <c r="F152" s="102">
        <v>0</v>
      </c>
      <c r="G152" s="102">
        <v>13</v>
      </c>
      <c r="H152" s="104">
        <v>47625</v>
      </c>
      <c r="I152" s="104">
        <v>50960</v>
      </c>
      <c r="J152" s="104">
        <v>3335</v>
      </c>
      <c r="K152" s="102">
        <v>0.1</v>
      </c>
      <c r="L152" s="102">
        <v>7</v>
      </c>
      <c r="M152" s="102" t="s">
        <v>638</v>
      </c>
      <c r="N152" s="104">
        <v>47625</v>
      </c>
      <c r="O152" s="102">
        <v>0.01</v>
      </c>
      <c r="P152" s="102">
        <v>0.09</v>
      </c>
    </row>
    <row r="153" spans="2:16" x14ac:dyDescent="0.3">
      <c r="B153" s="102" t="s">
        <v>532</v>
      </c>
      <c r="C153" s="102" t="s">
        <v>533</v>
      </c>
      <c r="D153" s="102" t="s">
        <v>608</v>
      </c>
      <c r="E153" s="102" t="s">
        <v>609</v>
      </c>
      <c r="F153" s="102">
        <v>0</v>
      </c>
      <c r="G153" s="102">
        <v>37</v>
      </c>
      <c r="H153" s="104">
        <v>347736</v>
      </c>
      <c r="I153" s="104">
        <v>360010</v>
      </c>
      <c r="J153" s="104">
        <v>12274</v>
      </c>
      <c r="K153" s="102">
        <v>0.74</v>
      </c>
      <c r="L153" s="102">
        <v>3.53</v>
      </c>
      <c r="M153" s="102" t="s">
        <v>610</v>
      </c>
      <c r="N153" s="104">
        <v>347736</v>
      </c>
      <c r="O153" s="102">
        <v>0.06</v>
      </c>
      <c r="P153" s="102">
        <v>0.68</v>
      </c>
    </row>
    <row r="154" spans="2:16" x14ac:dyDescent="0.3">
      <c r="B154" s="102" t="s">
        <v>532</v>
      </c>
      <c r="C154" s="102" t="s">
        <v>533</v>
      </c>
      <c r="D154" s="102" t="s">
        <v>639</v>
      </c>
      <c r="E154" s="102" t="s">
        <v>640</v>
      </c>
      <c r="F154" s="102">
        <v>0</v>
      </c>
      <c r="G154" s="102">
        <v>1</v>
      </c>
      <c r="H154" s="104">
        <v>106605</v>
      </c>
      <c r="I154" s="104">
        <v>113000</v>
      </c>
      <c r="J154" s="104">
        <v>6395</v>
      </c>
      <c r="K154" s="102">
        <v>0.23</v>
      </c>
      <c r="L154" s="102">
        <v>6</v>
      </c>
      <c r="M154" s="102" t="s">
        <v>641</v>
      </c>
      <c r="N154" s="104">
        <v>106605</v>
      </c>
      <c r="O154" s="102">
        <v>0.02</v>
      </c>
      <c r="P154" s="102">
        <v>0.21</v>
      </c>
    </row>
    <row r="155" spans="2:16" x14ac:dyDescent="0.3">
      <c r="B155" s="102" t="s">
        <v>532</v>
      </c>
      <c r="C155" s="102" t="s">
        <v>533</v>
      </c>
      <c r="D155" s="102" t="s">
        <v>642</v>
      </c>
      <c r="E155" s="102" t="s">
        <v>643</v>
      </c>
      <c r="F155" s="102">
        <v>0</v>
      </c>
      <c r="G155" s="102">
        <v>5</v>
      </c>
      <c r="H155" s="104">
        <v>47444</v>
      </c>
      <c r="I155" s="104">
        <v>42050</v>
      </c>
      <c r="J155" s="104">
        <v>-5394</v>
      </c>
      <c r="K155" s="102">
        <v>0.09</v>
      </c>
      <c r="L155" s="102">
        <v>-11.37</v>
      </c>
      <c r="M155" s="102" t="s">
        <v>644</v>
      </c>
      <c r="N155" s="104">
        <v>47444</v>
      </c>
      <c r="O155" s="102">
        <v>0.01</v>
      </c>
      <c r="P155" s="102">
        <v>0.08</v>
      </c>
    </row>
    <row r="156" spans="2:16" x14ac:dyDescent="0.3">
      <c r="B156" s="102" t="s">
        <v>532</v>
      </c>
      <c r="C156" s="102" t="s">
        <v>533</v>
      </c>
      <c r="D156" s="102" t="s">
        <v>645</v>
      </c>
      <c r="E156" s="102" t="s">
        <v>646</v>
      </c>
      <c r="F156" s="102">
        <v>0</v>
      </c>
      <c r="G156" s="102">
        <v>5</v>
      </c>
      <c r="H156" s="104">
        <v>253750</v>
      </c>
      <c r="I156" s="104">
        <v>252500</v>
      </c>
      <c r="J156" s="104">
        <v>-1250</v>
      </c>
      <c r="K156" s="102">
        <v>0.52</v>
      </c>
      <c r="L156" s="102">
        <v>-0.49</v>
      </c>
      <c r="M156" s="102" t="s">
        <v>647</v>
      </c>
      <c r="N156" s="104">
        <v>253750</v>
      </c>
      <c r="O156" s="102">
        <v>0.04</v>
      </c>
      <c r="P156" s="102">
        <v>0.48</v>
      </c>
    </row>
    <row r="157" spans="2:16" x14ac:dyDescent="0.3">
      <c r="B157" s="102" t="s">
        <v>532</v>
      </c>
      <c r="C157" s="102" t="s">
        <v>533</v>
      </c>
      <c r="D157" s="102" t="s">
        <v>545</v>
      </c>
      <c r="E157" s="102" t="s">
        <v>546</v>
      </c>
      <c r="F157" s="102">
        <v>0</v>
      </c>
      <c r="G157" s="102">
        <v>5</v>
      </c>
      <c r="H157" s="104">
        <v>933430</v>
      </c>
      <c r="I157" s="104">
        <v>920000</v>
      </c>
      <c r="J157" s="104">
        <v>-13430</v>
      </c>
      <c r="K157" s="102">
        <v>1.88</v>
      </c>
      <c r="L157" s="102">
        <v>-1.44</v>
      </c>
      <c r="M157" s="102" t="s">
        <v>547</v>
      </c>
      <c r="N157" s="104">
        <v>933430</v>
      </c>
      <c r="O157" s="102">
        <v>1.87</v>
      </c>
      <c r="P157" s="102">
        <v>0.01</v>
      </c>
    </row>
    <row r="158" spans="2:16" x14ac:dyDescent="0.3">
      <c r="B158" s="102" t="s">
        <v>532</v>
      </c>
      <c r="C158" s="102" t="s">
        <v>533</v>
      </c>
      <c r="D158" s="102" t="s">
        <v>548</v>
      </c>
      <c r="E158" s="102" t="s">
        <v>623</v>
      </c>
      <c r="F158" s="102">
        <v>0</v>
      </c>
      <c r="G158" s="102">
        <v>2</v>
      </c>
      <c r="H158" s="104">
        <v>537530</v>
      </c>
      <c r="I158" s="104">
        <v>583000</v>
      </c>
      <c r="J158" s="104">
        <v>45470</v>
      </c>
      <c r="K158" s="102">
        <v>1.19</v>
      </c>
      <c r="L158" s="102">
        <v>8.4600000000000009</v>
      </c>
      <c r="M158" s="102" t="s">
        <v>549</v>
      </c>
      <c r="N158" s="104">
        <v>537530</v>
      </c>
      <c r="O158" s="102">
        <v>1.21</v>
      </c>
      <c r="P158" s="102">
        <v>-0.02</v>
      </c>
    </row>
    <row r="159" spans="2:16" x14ac:dyDescent="0.3">
      <c r="B159" s="102" t="s">
        <v>532</v>
      </c>
      <c r="C159" s="102" t="s">
        <v>533</v>
      </c>
      <c r="D159" s="102" t="s">
        <v>741</v>
      </c>
      <c r="E159" s="102" t="s">
        <v>742</v>
      </c>
      <c r="F159" s="102">
        <v>0</v>
      </c>
      <c r="G159" s="102">
        <v>4</v>
      </c>
      <c r="H159" s="104">
        <v>100300</v>
      </c>
      <c r="I159" s="104">
        <v>99800</v>
      </c>
      <c r="J159" s="102">
        <v>-500</v>
      </c>
      <c r="K159" s="102">
        <v>0.2</v>
      </c>
      <c r="L159" s="102">
        <v>-0.5</v>
      </c>
      <c r="M159" s="102" t="s">
        <v>743</v>
      </c>
      <c r="N159" s="104">
        <v>100300</v>
      </c>
      <c r="O159" s="102">
        <v>0.02</v>
      </c>
      <c r="P159" s="102">
        <v>0.18</v>
      </c>
    </row>
    <row r="160" spans="2:16" x14ac:dyDescent="0.3">
      <c r="B160" s="102" t="s">
        <v>532</v>
      </c>
      <c r="C160" s="102" t="s">
        <v>533</v>
      </c>
      <c r="D160" s="102" t="s">
        <v>648</v>
      </c>
      <c r="E160" s="102" t="s">
        <v>649</v>
      </c>
      <c r="F160" s="102">
        <v>0</v>
      </c>
      <c r="G160" s="102">
        <v>3</v>
      </c>
      <c r="H160" s="104">
        <v>266364</v>
      </c>
      <c r="I160" s="104">
        <v>265500</v>
      </c>
      <c r="J160" s="102">
        <v>-864</v>
      </c>
      <c r="K160" s="102">
        <v>0.54</v>
      </c>
      <c r="L160" s="102">
        <v>-0.32</v>
      </c>
      <c r="M160" s="102" t="s">
        <v>650</v>
      </c>
      <c r="N160" s="104">
        <v>266364</v>
      </c>
      <c r="O160" s="102">
        <v>0.04</v>
      </c>
      <c r="P160" s="102">
        <v>0.5</v>
      </c>
    </row>
    <row r="161" spans="2:16" x14ac:dyDescent="0.3">
      <c r="B161" s="102" t="s">
        <v>532</v>
      </c>
      <c r="C161" s="102" t="s">
        <v>533</v>
      </c>
      <c r="D161" s="102" t="s">
        <v>744</v>
      </c>
      <c r="E161" s="102" t="s">
        <v>745</v>
      </c>
      <c r="F161" s="102">
        <v>0</v>
      </c>
      <c r="G161" s="102">
        <v>18</v>
      </c>
      <c r="H161" s="104">
        <v>208100</v>
      </c>
      <c r="I161" s="104">
        <v>214200</v>
      </c>
      <c r="J161" s="104">
        <v>6100</v>
      </c>
      <c r="K161" s="102">
        <v>0.44</v>
      </c>
      <c r="L161" s="102">
        <v>2.93</v>
      </c>
      <c r="M161" s="102" t="s">
        <v>746</v>
      </c>
      <c r="N161" s="104">
        <v>208100</v>
      </c>
      <c r="O161" s="102">
        <v>0.03</v>
      </c>
      <c r="P161" s="102">
        <v>0.41</v>
      </c>
    </row>
    <row r="162" spans="2:16" x14ac:dyDescent="0.3">
      <c r="B162" s="102" t="s">
        <v>532</v>
      </c>
      <c r="C162" s="102" t="s">
        <v>533</v>
      </c>
      <c r="D162" s="102" t="s">
        <v>550</v>
      </c>
      <c r="E162" s="102" t="s">
        <v>551</v>
      </c>
      <c r="F162" s="102">
        <v>0</v>
      </c>
      <c r="G162" s="102">
        <v>110</v>
      </c>
      <c r="H162" s="104">
        <v>8030551</v>
      </c>
      <c r="I162" s="104">
        <v>7469000</v>
      </c>
      <c r="J162" s="104">
        <v>-561551</v>
      </c>
      <c r="K162" s="102">
        <v>15.28</v>
      </c>
      <c r="L162" s="102">
        <v>-6.99</v>
      </c>
      <c r="M162" s="102" t="s">
        <v>552</v>
      </c>
      <c r="N162" s="104">
        <v>8030551</v>
      </c>
      <c r="O162" s="102">
        <v>19.23</v>
      </c>
      <c r="P162" s="102">
        <v>-3.95</v>
      </c>
    </row>
    <row r="163" spans="2:16" x14ac:dyDescent="0.3">
      <c r="B163" s="102" t="s">
        <v>532</v>
      </c>
      <c r="C163" s="102" t="s">
        <v>533</v>
      </c>
      <c r="D163" s="102" t="s">
        <v>553</v>
      </c>
      <c r="E163" s="102" t="s">
        <v>554</v>
      </c>
      <c r="F163" s="102">
        <v>0</v>
      </c>
      <c r="G163" s="102">
        <v>2</v>
      </c>
      <c r="H163" s="104">
        <v>1180175</v>
      </c>
      <c r="I163" s="104">
        <v>1224000</v>
      </c>
      <c r="J163" s="104">
        <v>43825</v>
      </c>
      <c r="K163" s="102">
        <v>2.5</v>
      </c>
      <c r="L163" s="102">
        <v>3.71</v>
      </c>
      <c r="M163" s="102" t="s">
        <v>555</v>
      </c>
      <c r="N163" s="104">
        <v>1180175</v>
      </c>
      <c r="O163" s="102">
        <v>2</v>
      </c>
      <c r="P163" s="102">
        <v>0.5</v>
      </c>
    </row>
    <row r="164" spans="2:16" x14ac:dyDescent="0.3">
      <c r="B164" s="102" t="s">
        <v>532</v>
      </c>
      <c r="C164" s="102" t="s">
        <v>533</v>
      </c>
      <c r="D164" s="102" t="s">
        <v>651</v>
      </c>
      <c r="E164" s="102" t="s">
        <v>652</v>
      </c>
      <c r="F164" s="102">
        <v>0</v>
      </c>
      <c r="G164" s="102">
        <v>7</v>
      </c>
      <c r="H164" s="104">
        <v>73920</v>
      </c>
      <c r="I164" s="104">
        <v>77000</v>
      </c>
      <c r="J164" s="104">
        <v>3080</v>
      </c>
      <c r="K164" s="102">
        <v>0.16</v>
      </c>
      <c r="L164" s="102">
        <v>4.17</v>
      </c>
      <c r="M164" s="102" t="s">
        <v>653</v>
      </c>
      <c r="N164" s="104">
        <v>73920</v>
      </c>
      <c r="O164" s="102">
        <v>0.01</v>
      </c>
      <c r="P164" s="102">
        <v>0.15</v>
      </c>
    </row>
    <row r="165" spans="2:16" x14ac:dyDescent="0.3">
      <c r="B165" s="102" t="s">
        <v>532</v>
      </c>
      <c r="C165" s="102" t="s">
        <v>533</v>
      </c>
      <c r="D165" s="102" t="s">
        <v>747</v>
      </c>
      <c r="E165" s="102" t="s">
        <v>748</v>
      </c>
      <c r="F165" s="102">
        <v>0</v>
      </c>
      <c r="G165" s="102">
        <v>3</v>
      </c>
      <c r="H165" s="104">
        <v>49090</v>
      </c>
      <c r="I165" s="104">
        <v>47700</v>
      </c>
      <c r="J165" s="104">
        <v>-1390</v>
      </c>
      <c r="K165" s="102">
        <v>0.1</v>
      </c>
      <c r="L165" s="102">
        <v>-2.83</v>
      </c>
      <c r="M165" s="102" t="s">
        <v>749</v>
      </c>
      <c r="N165" s="104">
        <v>49090</v>
      </c>
      <c r="O165" s="102">
        <v>0.01</v>
      </c>
      <c r="P165" s="102">
        <v>0.09</v>
      </c>
    </row>
    <row r="166" spans="2:16" x14ac:dyDescent="0.3">
      <c r="B166" s="102" t="s">
        <v>532</v>
      </c>
      <c r="C166" s="102" t="s">
        <v>533</v>
      </c>
      <c r="D166" s="102" t="s">
        <v>556</v>
      </c>
      <c r="E166" s="102" t="s">
        <v>557</v>
      </c>
      <c r="F166" s="102">
        <v>0</v>
      </c>
      <c r="G166" s="102">
        <v>3</v>
      </c>
      <c r="H166" s="104">
        <v>224922</v>
      </c>
      <c r="I166" s="104">
        <v>226200</v>
      </c>
      <c r="J166" s="104">
        <v>1278</v>
      </c>
      <c r="K166" s="102">
        <v>0.46</v>
      </c>
      <c r="L166" s="102">
        <v>0.56999999999999995</v>
      </c>
      <c r="M166" s="102" t="s">
        <v>558</v>
      </c>
      <c r="N166" s="104">
        <v>224922</v>
      </c>
      <c r="O166" s="102">
        <v>0.04</v>
      </c>
      <c r="P166" s="102">
        <v>0.42</v>
      </c>
    </row>
    <row r="167" spans="2:16" x14ac:dyDescent="0.3">
      <c r="B167" s="102" t="s">
        <v>532</v>
      </c>
      <c r="C167" s="102" t="s">
        <v>533</v>
      </c>
      <c r="D167" s="102" t="s">
        <v>750</v>
      </c>
      <c r="E167" s="102" t="s">
        <v>751</v>
      </c>
      <c r="F167" s="102">
        <v>0</v>
      </c>
      <c r="G167" s="102">
        <v>6</v>
      </c>
      <c r="H167" s="104">
        <v>147140</v>
      </c>
      <c r="I167" s="104">
        <v>146400</v>
      </c>
      <c r="J167" s="102">
        <v>-740</v>
      </c>
      <c r="K167" s="102">
        <v>0.3</v>
      </c>
      <c r="L167" s="102">
        <v>-0.5</v>
      </c>
      <c r="M167" s="102" t="s">
        <v>752</v>
      </c>
      <c r="N167" s="104">
        <v>147140</v>
      </c>
      <c r="O167" s="102">
        <v>0.02</v>
      </c>
      <c r="P167" s="102">
        <v>0.28000000000000003</v>
      </c>
    </row>
    <row r="168" spans="2:16" x14ac:dyDescent="0.3">
      <c r="B168" s="102" t="s">
        <v>532</v>
      </c>
      <c r="C168" s="102" t="s">
        <v>533</v>
      </c>
      <c r="D168" s="102" t="s">
        <v>611</v>
      </c>
      <c r="E168" s="102" t="s">
        <v>612</v>
      </c>
      <c r="F168" s="102">
        <v>0</v>
      </c>
      <c r="G168" s="102">
        <v>3</v>
      </c>
      <c r="H168" s="104">
        <v>167082</v>
      </c>
      <c r="I168" s="104">
        <v>168300</v>
      </c>
      <c r="J168" s="104">
        <v>1218</v>
      </c>
      <c r="K168" s="102">
        <v>0.34</v>
      </c>
      <c r="L168" s="102">
        <v>0.73</v>
      </c>
      <c r="M168" s="102" t="s">
        <v>613</v>
      </c>
      <c r="N168" s="104">
        <v>167082</v>
      </c>
      <c r="O168" s="102">
        <v>0.02</v>
      </c>
      <c r="P168" s="102">
        <v>0.32</v>
      </c>
    </row>
    <row r="169" spans="2:16" x14ac:dyDescent="0.3">
      <c r="B169" s="102" t="s">
        <v>532</v>
      </c>
      <c r="C169" s="102" t="s">
        <v>533</v>
      </c>
      <c r="D169" s="102" t="s">
        <v>753</v>
      </c>
      <c r="E169" s="102" t="s">
        <v>754</v>
      </c>
      <c r="F169" s="102">
        <v>0</v>
      </c>
      <c r="G169" s="102">
        <v>7</v>
      </c>
      <c r="H169" s="104">
        <v>57380</v>
      </c>
      <c r="I169" s="104">
        <v>58730</v>
      </c>
      <c r="J169" s="104">
        <v>1350</v>
      </c>
      <c r="K169" s="102">
        <v>0.12</v>
      </c>
      <c r="L169" s="102">
        <v>2.35</v>
      </c>
      <c r="M169" s="102" t="s">
        <v>755</v>
      </c>
      <c r="N169" s="104">
        <v>57380</v>
      </c>
      <c r="O169" s="102">
        <v>0.01</v>
      </c>
      <c r="P169" s="102">
        <v>0.11</v>
      </c>
    </row>
    <row r="170" spans="2:16" x14ac:dyDescent="0.3">
      <c r="B170" s="102" t="s">
        <v>532</v>
      </c>
      <c r="C170" s="102" t="s">
        <v>533</v>
      </c>
      <c r="D170" s="102" t="s">
        <v>654</v>
      </c>
      <c r="E170" s="102" t="s">
        <v>655</v>
      </c>
      <c r="F170" s="102">
        <v>0</v>
      </c>
      <c r="G170" s="102">
        <v>10</v>
      </c>
      <c r="H170" s="104">
        <v>76972</v>
      </c>
      <c r="I170" s="104">
        <v>79400</v>
      </c>
      <c r="J170" s="104">
        <v>2428</v>
      </c>
      <c r="K170" s="102">
        <v>0.16</v>
      </c>
      <c r="L170" s="102">
        <v>3.15</v>
      </c>
      <c r="M170" s="102" t="s">
        <v>656</v>
      </c>
      <c r="N170" s="104">
        <v>76972</v>
      </c>
      <c r="O170" s="102">
        <v>0.01</v>
      </c>
      <c r="P170" s="102">
        <v>0.15</v>
      </c>
    </row>
    <row r="171" spans="2:16" x14ac:dyDescent="0.3">
      <c r="B171" s="102" t="s">
        <v>532</v>
      </c>
      <c r="C171" s="102" t="s">
        <v>533</v>
      </c>
      <c r="D171" s="102" t="s">
        <v>657</v>
      </c>
      <c r="E171" s="102" t="s">
        <v>658</v>
      </c>
      <c r="F171" s="102">
        <v>0</v>
      </c>
      <c r="G171" s="102">
        <v>20</v>
      </c>
      <c r="H171" s="104">
        <v>164961</v>
      </c>
      <c r="I171" s="104">
        <v>179600</v>
      </c>
      <c r="J171" s="104">
        <v>14639</v>
      </c>
      <c r="K171" s="102">
        <v>0.37</v>
      </c>
      <c r="L171" s="102">
        <v>8.8699999999999992</v>
      </c>
      <c r="M171" s="102" t="s">
        <v>659</v>
      </c>
      <c r="N171" s="104">
        <v>164961</v>
      </c>
      <c r="O171" s="102">
        <v>0.03</v>
      </c>
      <c r="P171" s="102">
        <v>0.34</v>
      </c>
    </row>
    <row r="172" spans="2:16" x14ac:dyDescent="0.3">
      <c r="B172" s="102" t="s">
        <v>532</v>
      </c>
      <c r="C172" s="102" t="s">
        <v>533</v>
      </c>
      <c r="D172" s="102" t="s">
        <v>559</v>
      </c>
      <c r="E172" s="102" t="s">
        <v>560</v>
      </c>
      <c r="F172" s="102">
        <v>0</v>
      </c>
      <c r="G172" s="102">
        <v>28</v>
      </c>
      <c r="H172" s="104">
        <v>59714</v>
      </c>
      <c r="I172" s="104">
        <v>54740</v>
      </c>
      <c r="J172" s="104">
        <v>-4974</v>
      </c>
      <c r="K172" s="102">
        <v>0.11</v>
      </c>
      <c r="L172" s="102">
        <v>-8.33</v>
      </c>
      <c r="M172" s="102" t="s">
        <v>561</v>
      </c>
      <c r="N172" s="104">
        <v>59714</v>
      </c>
      <c r="O172" s="102">
        <v>0.01</v>
      </c>
      <c r="P172" s="102">
        <v>0.1</v>
      </c>
    </row>
    <row r="173" spans="2:16" x14ac:dyDescent="0.3">
      <c r="B173" s="102" t="s">
        <v>532</v>
      </c>
      <c r="C173" s="102" t="s">
        <v>533</v>
      </c>
      <c r="D173" s="102" t="s">
        <v>756</v>
      </c>
      <c r="E173" s="102" t="s">
        <v>757</v>
      </c>
      <c r="F173" s="102">
        <v>0</v>
      </c>
      <c r="G173" s="102">
        <v>12</v>
      </c>
      <c r="H173" s="104">
        <v>118790</v>
      </c>
      <c r="I173" s="104">
        <v>116280</v>
      </c>
      <c r="J173" s="104">
        <v>-2510</v>
      </c>
      <c r="K173" s="102">
        <v>0.24</v>
      </c>
      <c r="L173" s="102">
        <v>-2.11</v>
      </c>
      <c r="M173" s="102" t="s">
        <v>758</v>
      </c>
      <c r="N173" s="104">
        <v>118790</v>
      </c>
      <c r="O173" s="102">
        <v>0.02</v>
      </c>
      <c r="P173" s="102">
        <v>0.22</v>
      </c>
    </row>
    <row r="174" spans="2:16" x14ac:dyDescent="0.3">
      <c r="B174" s="102" t="s">
        <v>532</v>
      </c>
      <c r="C174" s="102" t="s">
        <v>533</v>
      </c>
      <c r="D174" s="102" t="s">
        <v>759</v>
      </c>
      <c r="E174" s="102" t="s">
        <v>760</v>
      </c>
      <c r="F174" s="102">
        <v>0</v>
      </c>
      <c r="G174" s="102">
        <v>4</v>
      </c>
      <c r="H174" s="104">
        <v>209800</v>
      </c>
      <c r="I174" s="104">
        <v>210000</v>
      </c>
      <c r="J174" s="102">
        <v>200</v>
      </c>
      <c r="K174" s="102">
        <v>0.43</v>
      </c>
      <c r="L174" s="102">
        <v>0.1</v>
      </c>
      <c r="M174" s="102" t="s">
        <v>761</v>
      </c>
      <c r="N174" s="104">
        <v>209800</v>
      </c>
      <c r="O174" s="102">
        <v>0.03</v>
      </c>
      <c r="P174" s="102">
        <v>0.4</v>
      </c>
    </row>
    <row r="175" spans="2:16" x14ac:dyDescent="0.3">
      <c r="B175" s="102" t="s">
        <v>532</v>
      </c>
      <c r="C175" s="102" t="s">
        <v>533</v>
      </c>
      <c r="D175" s="102" t="s">
        <v>660</v>
      </c>
      <c r="E175" s="102" t="s">
        <v>661</v>
      </c>
      <c r="F175" s="102">
        <v>0</v>
      </c>
      <c r="G175" s="102">
        <v>261</v>
      </c>
      <c r="H175" s="104">
        <v>227817</v>
      </c>
      <c r="I175" s="104">
        <v>228897</v>
      </c>
      <c r="J175" s="104">
        <v>1080</v>
      </c>
      <c r="K175" s="102">
        <v>0.47</v>
      </c>
      <c r="L175" s="102">
        <v>0.47</v>
      </c>
      <c r="M175" s="102" t="s">
        <v>662</v>
      </c>
      <c r="N175" s="104">
        <v>227817</v>
      </c>
      <c r="O175" s="102">
        <v>0.04</v>
      </c>
      <c r="P175" s="102">
        <v>0.43</v>
      </c>
    </row>
    <row r="176" spans="2:16" x14ac:dyDescent="0.3">
      <c r="B176" s="102" t="s">
        <v>532</v>
      </c>
      <c r="C176" s="102" t="s">
        <v>533</v>
      </c>
      <c r="D176" s="102" t="s">
        <v>663</v>
      </c>
      <c r="E176" s="102" t="s">
        <v>664</v>
      </c>
      <c r="F176" s="102">
        <v>0</v>
      </c>
      <c r="G176" s="102">
        <v>24</v>
      </c>
      <c r="H176" s="104">
        <v>360360</v>
      </c>
      <c r="I176" s="104">
        <v>260400</v>
      </c>
      <c r="J176" s="104">
        <v>-99960</v>
      </c>
      <c r="K176" s="102">
        <v>0.53</v>
      </c>
      <c r="L176" s="102">
        <v>-27.74</v>
      </c>
      <c r="M176" s="102" t="s">
        <v>665</v>
      </c>
      <c r="N176" s="104">
        <v>360360</v>
      </c>
      <c r="O176" s="102">
        <v>0.04</v>
      </c>
      <c r="P176" s="102">
        <v>0.49</v>
      </c>
    </row>
    <row r="177" spans="2:16" x14ac:dyDescent="0.3">
      <c r="B177" s="102" t="s">
        <v>532</v>
      </c>
      <c r="C177" s="102" t="s">
        <v>533</v>
      </c>
      <c r="D177" s="102" t="s">
        <v>762</v>
      </c>
      <c r="E177" s="102" t="s">
        <v>763</v>
      </c>
      <c r="F177" s="102">
        <v>0</v>
      </c>
      <c r="G177" s="102">
        <v>60</v>
      </c>
      <c r="H177" s="104">
        <v>115010</v>
      </c>
      <c r="I177" s="104">
        <v>117900</v>
      </c>
      <c r="J177" s="104">
        <v>2890</v>
      </c>
      <c r="K177" s="102">
        <v>0.24</v>
      </c>
      <c r="L177" s="102">
        <v>2.5099999999999998</v>
      </c>
      <c r="M177" s="102" t="s">
        <v>764</v>
      </c>
      <c r="N177" s="104">
        <v>115010</v>
      </c>
      <c r="O177" s="102">
        <v>0.02</v>
      </c>
      <c r="P177" s="102">
        <v>0.22</v>
      </c>
    </row>
    <row r="178" spans="2:16" x14ac:dyDescent="0.3">
      <c r="B178" s="102" t="s">
        <v>532</v>
      </c>
      <c r="C178" s="102" t="s">
        <v>533</v>
      </c>
      <c r="D178" s="102" t="s">
        <v>765</v>
      </c>
      <c r="E178" s="102" t="s">
        <v>766</v>
      </c>
      <c r="F178" s="102">
        <v>0</v>
      </c>
      <c r="G178" s="102">
        <v>61</v>
      </c>
      <c r="H178" s="104">
        <v>60328</v>
      </c>
      <c r="I178" s="104">
        <v>61610</v>
      </c>
      <c r="J178" s="104">
        <v>1282</v>
      </c>
      <c r="K178" s="102">
        <v>0.13</v>
      </c>
      <c r="L178" s="102">
        <v>2.13</v>
      </c>
      <c r="M178" s="102" t="s">
        <v>767</v>
      </c>
      <c r="N178" s="104">
        <v>60328</v>
      </c>
      <c r="O178" s="102">
        <v>0.01</v>
      </c>
      <c r="P178" s="102">
        <v>0.12</v>
      </c>
    </row>
    <row r="179" spans="2:16" x14ac:dyDescent="0.3">
      <c r="B179" s="102" t="s">
        <v>532</v>
      </c>
      <c r="C179" s="102" t="s">
        <v>533</v>
      </c>
      <c r="D179" s="102" t="s">
        <v>768</v>
      </c>
      <c r="E179" s="102" t="s">
        <v>769</v>
      </c>
      <c r="F179" s="102">
        <v>0</v>
      </c>
      <c r="G179" s="102">
        <v>9</v>
      </c>
      <c r="H179" s="104">
        <v>371170</v>
      </c>
      <c r="I179" s="104">
        <v>365850</v>
      </c>
      <c r="J179" s="104">
        <v>-5320</v>
      </c>
      <c r="K179" s="102">
        <v>0.75</v>
      </c>
      <c r="L179" s="102">
        <v>-1.43</v>
      </c>
      <c r="M179" s="102" t="s">
        <v>770</v>
      </c>
      <c r="N179" s="104">
        <v>371170</v>
      </c>
      <c r="O179" s="102">
        <v>0.06</v>
      </c>
      <c r="P179" s="102">
        <v>0.69</v>
      </c>
    </row>
    <row r="180" spans="2:16" x14ac:dyDescent="0.3">
      <c r="B180" s="102" t="s">
        <v>532</v>
      </c>
      <c r="C180" s="102" t="s">
        <v>533</v>
      </c>
      <c r="D180" s="102" t="s">
        <v>666</v>
      </c>
      <c r="E180" s="102" t="s">
        <v>667</v>
      </c>
      <c r="F180" s="102">
        <v>0</v>
      </c>
      <c r="G180" s="102">
        <v>18</v>
      </c>
      <c r="H180" s="104">
        <v>128648</v>
      </c>
      <c r="I180" s="104">
        <v>133200</v>
      </c>
      <c r="J180" s="104">
        <v>4552</v>
      </c>
      <c r="K180" s="102">
        <v>0.27</v>
      </c>
      <c r="L180" s="102">
        <v>3.54</v>
      </c>
      <c r="M180" s="102" t="s">
        <v>668</v>
      </c>
      <c r="N180" s="104">
        <v>128648</v>
      </c>
      <c r="O180" s="102">
        <v>0.02</v>
      </c>
      <c r="P180" s="102">
        <v>0.25</v>
      </c>
    </row>
    <row r="181" spans="2:16" x14ac:dyDescent="0.3">
      <c r="B181" s="102" t="s">
        <v>532</v>
      </c>
      <c r="C181" s="102" t="s">
        <v>533</v>
      </c>
      <c r="D181" s="102" t="s">
        <v>771</v>
      </c>
      <c r="E181" s="102" t="s">
        <v>772</v>
      </c>
      <c r="F181" s="102">
        <v>0</v>
      </c>
      <c r="G181" s="102">
        <v>3</v>
      </c>
      <c r="H181" s="104">
        <v>111560</v>
      </c>
      <c r="I181" s="104">
        <v>109050</v>
      </c>
      <c r="J181" s="104">
        <v>-2510</v>
      </c>
      <c r="K181" s="102">
        <v>0.22</v>
      </c>
      <c r="L181" s="102">
        <v>-2.25</v>
      </c>
      <c r="M181" s="102" t="s">
        <v>773</v>
      </c>
      <c r="N181" s="104">
        <v>111560</v>
      </c>
      <c r="O181" s="102">
        <v>0.02</v>
      </c>
      <c r="P181" s="102">
        <v>0.2</v>
      </c>
    </row>
    <row r="182" spans="2:16" x14ac:dyDescent="0.3">
      <c r="B182" s="102" t="s">
        <v>532</v>
      </c>
      <c r="C182" s="102" t="s">
        <v>533</v>
      </c>
      <c r="D182" s="102" t="s">
        <v>669</v>
      </c>
      <c r="E182" s="102" t="s">
        <v>670</v>
      </c>
      <c r="F182" s="102">
        <v>0</v>
      </c>
      <c r="G182" s="102">
        <v>9</v>
      </c>
      <c r="H182" s="104">
        <v>88464</v>
      </c>
      <c r="I182" s="104">
        <v>88920</v>
      </c>
      <c r="J182" s="102">
        <v>456</v>
      </c>
      <c r="K182" s="102">
        <v>0.18</v>
      </c>
      <c r="L182" s="102">
        <v>0.52</v>
      </c>
      <c r="M182" s="102" t="s">
        <v>671</v>
      </c>
      <c r="N182" s="104">
        <v>88464</v>
      </c>
      <c r="O182" s="102">
        <v>0.01</v>
      </c>
      <c r="P182" s="102">
        <v>0.17</v>
      </c>
    </row>
    <row r="183" spans="2:16" x14ac:dyDescent="0.3">
      <c r="B183" s="102" t="s">
        <v>532</v>
      </c>
      <c r="C183" s="102" t="s">
        <v>533</v>
      </c>
      <c r="D183" s="102" t="s">
        <v>672</v>
      </c>
      <c r="E183" s="102" t="s">
        <v>673</v>
      </c>
      <c r="F183" s="102">
        <v>0</v>
      </c>
      <c r="G183" s="102">
        <v>9</v>
      </c>
      <c r="H183" s="104">
        <v>41124</v>
      </c>
      <c r="I183" s="104">
        <v>47700</v>
      </c>
      <c r="J183" s="104">
        <v>6576</v>
      </c>
      <c r="K183" s="102">
        <v>0.1</v>
      </c>
      <c r="L183" s="102">
        <v>15.99</v>
      </c>
      <c r="M183" s="102" t="s">
        <v>674</v>
      </c>
      <c r="N183" s="104">
        <v>41124</v>
      </c>
      <c r="O183" s="102">
        <v>0.01</v>
      </c>
      <c r="P183" s="102">
        <v>0.09</v>
      </c>
    </row>
    <row r="184" spans="2:16" x14ac:dyDescent="0.3">
      <c r="B184" s="102" t="s">
        <v>532</v>
      </c>
      <c r="C184" s="102" t="s">
        <v>533</v>
      </c>
      <c r="D184" s="102" t="s">
        <v>562</v>
      </c>
      <c r="E184" s="102" t="s">
        <v>563</v>
      </c>
      <c r="F184" s="102">
        <v>0</v>
      </c>
      <c r="G184" s="102">
        <v>5</v>
      </c>
      <c r="H184" s="104">
        <v>244406</v>
      </c>
      <c r="I184" s="104">
        <v>295000</v>
      </c>
      <c r="J184" s="104">
        <v>50594</v>
      </c>
      <c r="K184" s="102">
        <v>0.6</v>
      </c>
      <c r="L184" s="102">
        <v>20.7</v>
      </c>
      <c r="M184" s="102" t="s">
        <v>564</v>
      </c>
      <c r="N184" s="104">
        <v>244406</v>
      </c>
      <c r="O184" s="102">
        <v>0.05</v>
      </c>
      <c r="P184" s="102">
        <v>0.55000000000000004</v>
      </c>
    </row>
    <row r="185" spans="2:16" x14ac:dyDescent="0.3">
      <c r="B185" s="102" t="s">
        <v>532</v>
      </c>
      <c r="C185" s="102" t="s">
        <v>533</v>
      </c>
      <c r="D185" s="102" t="s">
        <v>774</v>
      </c>
      <c r="E185" s="102" t="s">
        <v>775</v>
      </c>
      <c r="F185" s="102">
        <v>0</v>
      </c>
      <c r="G185" s="102">
        <v>12</v>
      </c>
      <c r="H185" s="104">
        <v>201200</v>
      </c>
      <c r="I185" s="104">
        <v>196200</v>
      </c>
      <c r="J185" s="104">
        <v>-5000</v>
      </c>
      <c r="K185" s="102">
        <v>0.4</v>
      </c>
      <c r="L185" s="102">
        <v>-2.4900000000000002</v>
      </c>
      <c r="M185" s="102" t="s">
        <v>776</v>
      </c>
      <c r="N185" s="104">
        <v>201200</v>
      </c>
      <c r="O185" s="102">
        <v>0.03</v>
      </c>
      <c r="P185" s="102">
        <v>0.37</v>
      </c>
    </row>
    <row r="186" spans="2:16" x14ac:dyDescent="0.3">
      <c r="B186" s="102" t="s">
        <v>532</v>
      </c>
      <c r="C186" s="102" t="s">
        <v>533</v>
      </c>
      <c r="D186" s="102" t="s">
        <v>777</v>
      </c>
      <c r="E186" s="102" t="s">
        <v>778</v>
      </c>
      <c r="F186" s="102">
        <v>0</v>
      </c>
      <c r="G186" s="102">
        <v>3</v>
      </c>
      <c r="H186" s="104">
        <v>381380</v>
      </c>
      <c r="I186" s="104">
        <v>405000</v>
      </c>
      <c r="J186" s="104">
        <v>23620</v>
      </c>
      <c r="K186" s="102">
        <v>0.83</v>
      </c>
      <c r="L186" s="102">
        <v>6.19</v>
      </c>
      <c r="M186" s="102" t="s">
        <v>779</v>
      </c>
      <c r="N186" s="104">
        <v>381380</v>
      </c>
      <c r="O186" s="102">
        <v>0.06</v>
      </c>
      <c r="P186" s="102">
        <v>0.77</v>
      </c>
    </row>
    <row r="187" spans="2:16" x14ac:dyDescent="0.3">
      <c r="B187" s="102" t="s">
        <v>532</v>
      </c>
      <c r="C187" s="102" t="s">
        <v>533</v>
      </c>
      <c r="D187" s="102" t="s">
        <v>780</v>
      </c>
      <c r="E187" s="102" t="s">
        <v>781</v>
      </c>
      <c r="F187" s="102">
        <v>0</v>
      </c>
      <c r="G187" s="102">
        <v>11</v>
      </c>
      <c r="H187" s="104">
        <v>123870</v>
      </c>
      <c r="I187" s="104">
        <v>108790</v>
      </c>
      <c r="J187" s="104">
        <v>-15080</v>
      </c>
      <c r="K187" s="102">
        <v>0.22</v>
      </c>
      <c r="L187" s="102">
        <v>-12.17</v>
      </c>
      <c r="M187" s="102" t="s">
        <v>782</v>
      </c>
      <c r="N187" s="104">
        <v>123870</v>
      </c>
      <c r="O187" s="102">
        <v>0.02</v>
      </c>
      <c r="P187" s="102">
        <v>0.2</v>
      </c>
    </row>
    <row r="188" spans="2:16" x14ac:dyDescent="0.3">
      <c r="B188" s="102" t="s">
        <v>532</v>
      </c>
      <c r="C188" s="102" t="s">
        <v>533</v>
      </c>
      <c r="D188" s="102" t="s">
        <v>783</v>
      </c>
      <c r="E188" s="102" t="s">
        <v>784</v>
      </c>
      <c r="F188" s="102">
        <v>0</v>
      </c>
      <c r="G188" s="102">
        <v>4</v>
      </c>
      <c r="H188" s="104">
        <v>109100</v>
      </c>
      <c r="I188" s="104">
        <v>111800</v>
      </c>
      <c r="J188" s="104">
        <v>2700</v>
      </c>
      <c r="K188" s="102">
        <v>0.23</v>
      </c>
      <c r="L188" s="102">
        <v>2.4700000000000002</v>
      </c>
      <c r="M188" s="102" t="s">
        <v>785</v>
      </c>
      <c r="N188" s="104">
        <v>109100</v>
      </c>
      <c r="O188" s="102">
        <v>0.02</v>
      </c>
      <c r="P188" s="102">
        <v>0.21</v>
      </c>
    </row>
    <row r="189" spans="2:16" x14ac:dyDescent="0.3">
      <c r="B189" s="102" t="s">
        <v>532</v>
      </c>
      <c r="C189" s="102" t="s">
        <v>533</v>
      </c>
      <c r="D189" s="102" t="s">
        <v>786</v>
      </c>
      <c r="E189" s="102" t="s">
        <v>787</v>
      </c>
      <c r="F189" s="102">
        <v>0</v>
      </c>
      <c r="G189" s="102">
        <v>4</v>
      </c>
      <c r="H189" s="104">
        <v>472470</v>
      </c>
      <c r="I189" s="104">
        <v>464000</v>
      </c>
      <c r="J189" s="104">
        <v>-8470</v>
      </c>
      <c r="K189" s="102">
        <v>0.95</v>
      </c>
      <c r="L189" s="102">
        <v>-1.79</v>
      </c>
      <c r="M189" s="102" t="s">
        <v>788</v>
      </c>
      <c r="N189" s="104">
        <v>472470</v>
      </c>
      <c r="O189" s="102">
        <v>1.03</v>
      </c>
      <c r="P189" s="102">
        <v>-0.08</v>
      </c>
    </row>
    <row r="190" spans="2:16" x14ac:dyDescent="0.3">
      <c r="B190" s="102" t="s">
        <v>532</v>
      </c>
      <c r="C190" s="102" t="s">
        <v>533</v>
      </c>
      <c r="D190" s="102" t="s">
        <v>789</v>
      </c>
      <c r="E190" s="102" t="s">
        <v>790</v>
      </c>
      <c r="F190" s="102">
        <v>0</v>
      </c>
      <c r="G190" s="102">
        <v>18</v>
      </c>
      <c r="H190" s="104">
        <v>84500</v>
      </c>
      <c r="I190" s="104">
        <v>84150</v>
      </c>
      <c r="J190" s="102">
        <v>-350</v>
      </c>
      <c r="K190" s="102">
        <v>0.17</v>
      </c>
      <c r="L190" s="102">
        <v>-0.41</v>
      </c>
      <c r="M190" s="102" t="s">
        <v>791</v>
      </c>
      <c r="N190" s="104">
        <v>84500</v>
      </c>
      <c r="O190" s="102">
        <v>0.01</v>
      </c>
      <c r="P190" s="102">
        <v>0.16</v>
      </c>
    </row>
    <row r="191" spans="2:16" x14ac:dyDescent="0.3">
      <c r="B191" s="102" t="s">
        <v>532</v>
      </c>
      <c r="C191" s="102" t="s">
        <v>533</v>
      </c>
      <c r="D191" s="102" t="s">
        <v>792</v>
      </c>
      <c r="E191" s="102" t="s">
        <v>793</v>
      </c>
      <c r="F191" s="102">
        <v>0</v>
      </c>
      <c r="G191" s="102">
        <v>5</v>
      </c>
      <c r="H191" s="104">
        <v>149140</v>
      </c>
      <c r="I191" s="104">
        <v>147000</v>
      </c>
      <c r="J191" s="104">
        <v>-2140</v>
      </c>
      <c r="K191" s="102">
        <v>0.3</v>
      </c>
      <c r="L191" s="102">
        <v>-1.43</v>
      </c>
      <c r="M191" s="102" t="s">
        <v>794</v>
      </c>
      <c r="N191" s="104">
        <v>149140</v>
      </c>
      <c r="O191" s="102">
        <v>0.02</v>
      </c>
      <c r="P191" s="102">
        <v>0.28000000000000003</v>
      </c>
    </row>
    <row r="192" spans="2:16" x14ac:dyDescent="0.3">
      <c r="B192" s="102" t="s">
        <v>532</v>
      </c>
      <c r="C192" s="102" t="s">
        <v>533</v>
      </c>
      <c r="D192" s="102" t="s">
        <v>675</v>
      </c>
      <c r="E192" s="102" t="s">
        <v>676</v>
      </c>
      <c r="F192" s="102">
        <v>0</v>
      </c>
      <c r="G192" s="102">
        <v>9</v>
      </c>
      <c r="H192" s="104">
        <v>90090</v>
      </c>
      <c r="I192" s="104">
        <v>82440</v>
      </c>
      <c r="J192" s="104">
        <v>-7650</v>
      </c>
      <c r="K192" s="102">
        <v>0.17</v>
      </c>
      <c r="L192" s="102">
        <v>-8.49</v>
      </c>
      <c r="M192" s="102" t="s">
        <v>677</v>
      </c>
      <c r="N192" s="104">
        <v>90090</v>
      </c>
      <c r="O192" s="102">
        <v>0.01</v>
      </c>
      <c r="P192" s="102">
        <v>0.16</v>
      </c>
    </row>
    <row r="193" spans="2:16" x14ac:dyDescent="0.3">
      <c r="B193" s="102" t="s">
        <v>532</v>
      </c>
      <c r="C193" s="102" t="s">
        <v>533</v>
      </c>
      <c r="D193" s="102" t="s">
        <v>565</v>
      </c>
      <c r="E193" s="102" t="s">
        <v>566</v>
      </c>
      <c r="F193" s="102">
        <v>0</v>
      </c>
      <c r="G193" s="102">
        <v>5</v>
      </c>
      <c r="H193" s="104">
        <v>222356</v>
      </c>
      <c r="I193" s="104">
        <v>259500</v>
      </c>
      <c r="J193" s="104">
        <v>37144</v>
      </c>
      <c r="K193" s="102">
        <v>0.53</v>
      </c>
      <c r="L193" s="102">
        <v>16.7</v>
      </c>
      <c r="M193" s="102" t="s">
        <v>567</v>
      </c>
      <c r="N193" s="104">
        <v>222356</v>
      </c>
      <c r="O193" s="102">
        <v>0.04</v>
      </c>
      <c r="P193" s="102">
        <v>0.49</v>
      </c>
    </row>
    <row r="194" spans="2:16" x14ac:dyDescent="0.3">
      <c r="B194" s="102" t="s">
        <v>532</v>
      </c>
      <c r="C194" s="102" t="s">
        <v>533</v>
      </c>
      <c r="D194" s="102" t="s">
        <v>568</v>
      </c>
      <c r="E194" s="102" t="s">
        <v>569</v>
      </c>
      <c r="F194" s="102">
        <v>0</v>
      </c>
      <c r="G194" s="102">
        <v>77</v>
      </c>
      <c r="H194" s="104">
        <v>181157</v>
      </c>
      <c r="I194" s="104">
        <v>168630</v>
      </c>
      <c r="J194" s="104">
        <v>-12527</v>
      </c>
      <c r="K194" s="102">
        <v>0.34</v>
      </c>
      <c r="L194" s="102">
        <v>-6.91</v>
      </c>
      <c r="M194" s="102" t="s">
        <v>570</v>
      </c>
      <c r="N194" s="104">
        <v>181157</v>
      </c>
      <c r="O194" s="102">
        <v>0.03</v>
      </c>
      <c r="P194" s="102">
        <v>0.31</v>
      </c>
    </row>
    <row r="195" spans="2:16" x14ac:dyDescent="0.3">
      <c r="B195" s="102" t="s">
        <v>532</v>
      </c>
      <c r="C195" s="102" t="s">
        <v>533</v>
      </c>
      <c r="D195" s="102" t="s">
        <v>571</v>
      </c>
      <c r="E195" s="102" t="s">
        <v>572</v>
      </c>
      <c r="F195" s="102">
        <v>0</v>
      </c>
      <c r="G195" s="102">
        <v>4</v>
      </c>
      <c r="H195" s="104">
        <v>1309300</v>
      </c>
      <c r="I195" s="104">
        <v>1128000</v>
      </c>
      <c r="J195" s="104">
        <v>-181300</v>
      </c>
      <c r="K195" s="102">
        <v>2.31</v>
      </c>
      <c r="L195" s="102">
        <v>-13.85</v>
      </c>
      <c r="M195" s="102" t="s">
        <v>573</v>
      </c>
      <c r="N195" s="104">
        <v>1309300</v>
      </c>
      <c r="O195" s="102">
        <v>2.2000000000000002</v>
      </c>
      <c r="P195" s="102">
        <v>0.11</v>
      </c>
    </row>
    <row r="196" spans="2:16" x14ac:dyDescent="0.3">
      <c r="B196" s="102" t="s">
        <v>532</v>
      </c>
      <c r="C196" s="102" t="s">
        <v>533</v>
      </c>
      <c r="D196" s="102" t="s">
        <v>795</v>
      </c>
      <c r="E196" s="102" t="s">
        <v>796</v>
      </c>
      <c r="F196" s="102">
        <v>0</v>
      </c>
      <c r="G196" s="102">
        <v>5</v>
      </c>
      <c r="H196" s="104">
        <v>84330</v>
      </c>
      <c r="I196" s="104">
        <v>82750</v>
      </c>
      <c r="J196" s="104">
        <v>-1580</v>
      </c>
      <c r="K196" s="102">
        <v>0.17</v>
      </c>
      <c r="L196" s="102">
        <v>-1.87</v>
      </c>
      <c r="M196" s="102" t="s">
        <v>797</v>
      </c>
      <c r="N196" s="104">
        <v>84330</v>
      </c>
      <c r="O196" s="102">
        <v>0.01</v>
      </c>
      <c r="P196" s="102">
        <v>0.16</v>
      </c>
    </row>
    <row r="197" spans="2:16" x14ac:dyDescent="0.3">
      <c r="B197" s="102" t="s">
        <v>532</v>
      </c>
      <c r="C197" s="102" t="s">
        <v>533</v>
      </c>
      <c r="D197" s="102" t="s">
        <v>574</v>
      </c>
      <c r="E197" s="102" t="s">
        <v>575</v>
      </c>
      <c r="F197" s="102">
        <v>0</v>
      </c>
      <c r="G197" s="102">
        <v>10</v>
      </c>
      <c r="H197" s="104">
        <v>880880</v>
      </c>
      <c r="I197" s="104">
        <v>890000</v>
      </c>
      <c r="J197" s="104">
        <v>9120</v>
      </c>
      <c r="K197" s="102">
        <v>1.82</v>
      </c>
      <c r="L197" s="102">
        <v>1.04</v>
      </c>
      <c r="M197" s="102" t="s">
        <v>576</v>
      </c>
      <c r="N197" s="104">
        <v>880880</v>
      </c>
      <c r="O197" s="102">
        <v>1.88</v>
      </c>
      <c r="P197" s="102">
        <v>-0.06</v>
      </c>
    </row>
    <row r="198" spans="2:16" x14ac:dyDescent="0.3">
      <c r="B198" s="102" t="s">
        <v>532</v>
      </c>
      <c r="C198" s="102" t="s">
        <v>533</v>
      </c>
      <c r="D198" s="102" t="s">
        <v>798</v>
      </c>
      <c r="E198" s="102" t="s">
        <v>799</v>
      </c>
      <c r="F198" s="102">
        <v>0</v>
      </c>
      <c r="G198" s="102">
        <v>6</v>
      </c>
      <c r="H198" s="104">
        <v>278670</v>
      </c>
      <c r="I198" s="104">
        <v>293100</v>
      </c>
      <c r="J198" s="104">
        <v>14430</v>
      </c>
      <c r="K198" s="102">
        <v>0.6</v>
      </c>
      <c r="L198" s="102">
        <v>5.18</v>
      </c>
      <c r="M198" s="102" t="s">
        <v>800</v>
      </c>
      <c r="N198" s="104">
        <v>278670</v>
      </c>
      <c r="O198" s="102">
        <v>0.04</v>
      </c>
      <c r="P198" s="102">
        <v>0.56000000000000005</v>
      </c>
    </row>
    <row r="199" spans="2:16" x14ac:dyDescent="0.3">
      <c r="B199" s="102" t="s">
        <v>532</v>
      </c>
      <c r="C199" s="102" t="s">
        <v>533</v>
      </c>
      <c r="D199" s="102" t="s">
        <v>801</v>
      </c>
      <c r="E199" s="102" t="s">
        <v>802</v>
      </c>
      <c r="F199" s="102">
        <v>0</v>
      </c>
      <c r="G199" s="102">
        <v>4</v>
      </c>
      <c r="H199" s="104">
        <v>332730</v>
      </c>
      <c r="I199" s="104">
        <v>318400</v>
      </c>
      <c r="J199" s="104">
        <v>-14330</v>
      </c>
      <c r="K199" s="102">
        <v>0.65</v>
      </c>
      <c r="L199" s="102">
        <v>-4.3099999999999996</v>
      </c>
      <c r="M199" s="102" t="s">
        <v>803</v>
      </c>
      <c r="N199" s="104">
        <v>332730</v>
      </c>
      <c r="O199" s="102">
        <v>0.05</v>
      </c>
      <c r="P199" s="102">
        <v>0.6</v>
      </c>
    </row>
    <row r="200" spans="2:16" x14ac:dyDescent="0.3">
      <c r="B200" s="102" t="s">
        <v>532</v>
      </c>
      <c r="C200" s="102" t="s">
        <v>533</v>
      </c>
      <c r="D200" s="102" t="s">
        <v>577</v>
      </c>
      <c r="E200" s="102" t="s">
        <v>578</v>
      </c>
      <c r="F200" s="102">
        <v>0</v>
      </c>
      <c r="G200" s="102">
        <v>31</v>
      </c>
      <c r="H200" s="104">
        <v>585113</v>
      </c>
      <c r="I200" s="104">
        <v>463450</v>
      </c>
      <c r="J200" s="104">
        <v>-121663</v>
      </c>
      <c r="K200" s="102">
        <v>0.95</v>
      </c>
      <c r="L200" s="102">
        <v>-20.79</v>
      </c>
      <c r="M200" s="102" t="s">
        <v>579</v>
      </c>
      <c r="N200" s="104">
        <v>585113</v>
      </c>
      <c r="O200" s="102">
        <v>7.0000000000000007E-2</v>
      </c>
      <c r="P200" s="102">
        <v>0.88</v>
      </c>
    </row>
    <row r="201" spans="2:16" x14ac:dyDescent="0.3">
      <c r="B201" s="102" t="s">
        <v>532</v>
      </c>
      <c r="C201" s="102" t="s">
        <v>533</v>
      </c>
      <c r="D201" s="102" t="s">
        <v>580</v>
      </c>
      <c r="E201" s="102" t="s">
        <v>581</v>
      </c>
      <c r="F201" s="102">
        <v>0</v>
      </c>
      <c r="G201" s="102">
        <v>2</v>
      </c>
      <c r="H201" s="104">
        <v>1279270</v>
      </c>
      <c r="I201" s="104">
        <v>1036000</v>
      </c>
      <c r="J201" s="104">
        <v>-243270</v>
      </c>
      <c r="K201" s="102">
        <v>2.12</v>
      </c>
      <c r="L201" s="102">
        <v>-19.02</v>
      </c>
      <c r="M201" s="102" t="s">
        <v>582</v>
      </c>
      <c r="N201" s="104">
        <v>1279270</v>
      </c>
      <c r="O201" s="102">
        <v>1.74</v>
      </c>
      <c r="P201" s="102">
        <v>0.38</v>
      </c>
    </row>
    <row r="202" spans="2:16" x14ac:dyDescent="0.3">
      <c r="B202" s="102" t="s">
        <v>532</v>
      </c>
      <c r="C202" s="102" t="s">
        <v>533</v>
      </c>
      <c r="D202" s="102" t="s">
        <v>583</v>
      </c>
      <c r="E202" s="102" t="s">
        <v>584</v>
      </c>
      <c r="F202" s="102">
        <v>0</v>
      </c>
      <c r="G202" s="102">
        <v>1</v>
      </c>
      <c r="H202" s="104">
        <v>70200</v>
      </c>
      <c r="I202" s="104">
        <v>86600</v>
      </c>
      <c r="J202" s="104">
        <v>16400</v>
      </c>
      <c r="K202" s="102">
        <v>0.18</v>
      </c>
      <c r="L202" s="102">
        <v>23.36</v>
      </c>
      <c r="M202" s="102" t="s">
        <v>585</v>
      </c>
      <c r="N202" s="104">
        <v>70200</v>
      </c>
      <c r="O202" s="102">
        <v>0.02</v>
      </c>
      <c r="P202" s="102">
        <v>0.16</v>
      </c>
    </row>
    <row r="203" spans="2:16" x14ac:dyDescent="0.3">
      <c r="B203" s="102" t="s">
        <v>532</v>
      </c>
      <c r="C203" s="102" t="s">
        <v>533</v>
      </c>
      <c r="D203" s="102" t="s">
        <v>678</v>
      </c>
      <c r="E203" s="102" t="s">
        <v>679</v>
      </c>
      <c r="F203" s="102">
        <v>0</v>
      </c>
      <c r="G203" s="102">
        <v>11</v>
      </c>
      <c r="H203" s="104">
        <v>456400</v>
      </c>
      <c r="I203" s="104">
        <v>467500</v>
      </c>
      <c r="J203" s="104">
        <v>11100</v>
      </c>
      <c r="K203" s="102">
        <v>0.96</v>
      </c>
      <c r="L203" s="102">
        <v>2.4300000000000002</v>
      </c>
      <c r="M203" s="102" t="s">
        <v>680</v>
      </c>
      <c r="N203" s="104">
        <v>456400</v>
      </c>
      <c r="O203" s="102">
        <v>1.04</v>
      </c>
      <c r="P203" s="102">
        <v>-0.08</v>
      </c>
    </row>
    <row r="204" spans="2:16" x14ac:dyDescent="0.3">
      <c r="B204" s="102" t="s">
        <v>532</v>
      </c>
      <c r="C204" s="102" t="s">
        <v>533</v>
      </c>
      <c r="D204" s="102" t="s">
        <v>614</v>
      </c>
      <c r="E204" s="102" t="s">
        <v>615</v>
      </c>
      <c r="F204" s="102">
        <v>0</v>
      </c>
      <c r="G204" s="102">
        <v>3</v>
      </c>
      <c r="H204" s="104">
        <v>477470</v>
      </c>
      <c r="I204" s="104">
        <v>507000</v>
      </c>
      <c r="J204" s="104">
        <v>29530</v>
      </c>
      <c r="K204" s="102">
        <v>1.04</v>
      </c>
      <c r="L204" s="102">
        <v>6.18</v>
      </c>
      <c r="M204" s="102" t="s">
        <v>616</v>
      </c>
      <c r="N204" s="104">
        <v>477470</v>
      </c>
      <c r="O204" s="102">
        <v>1.1299999999999999</v>
      </c>
      <c r="P204" s="102">
        <v>-0.09</v>
      </c>
    </row>
    <row r="205" spans="2:16" x14ac:dyDescent="0.3">
      <c r="B205" s="102" t="s">
        <v>532</v>
      </c>
      <c r="C205" s="102" t="s">
        <v>533</v>
      </c>
      <c r="D205" s="102" t="s">
        <v>804</v>
      </c>
      <c r="E205" s="102" t="s">
        <v>805</v>
      </c>
      <c r="F205" s="102">
        <v>0</v>
      </c>
      <c r="G205" s="102">
        <v>17</v>
      </c>
      <c r="H205" s="104">
        <v>125580</v>
      </c>
      <c r="I205" s="104">
        <v>124100</v>
      </c>
      <c r="J205" s="104">
        <v>-1480</v>
      </c>
      <c r="K205" s="102">
        <v>0.25</v>
      </c>
      <c r="L205" s="102">
        <v>-1.18</v>
      </c>
      <c r="M205" s="102" t="s">
        <v>806</v>
      </c>
      <c r="N205" s="104">
        <v>125580</v>
      </c>
      <c r="O205" s="102">
        <v>0.02</v>
      </c>
      <c r="P205" s="102">
        <v>0.23</v>
      </c>
    </row>
    <row r="206" spans="2:16" x14ac:dyDescent="0.3">
      <c r="B206" s="102" t="s">
        <v>532</v>
      </c>
      <c r="C206" s="102" t="s">
        <v>533</v>
      </c>
      <c r="D206" s="102" t="s">
        <v>807</v>
      </c>
      <c r="E206" s="102" t="s">
        <v>808</v>
      </c>
      <c r="F206" s="102">
        <v>0</v>
      </c>
      <c r="G206" s="102">
        <v>8</v>
      </c>
      <c r="H206" s="104">
        <v>96090</v>
      </c>
      <c r="I206" s="104">
        <v>93200</v>
      </c>
      <c r="J206" s="104">
        <v>-2890</v>
      </c>
      <c r="K206" s="102">
        <v>0.19</v>
      </c>
      <c r="L206" s="102">
        <v>-3.01</v>
      </c>
      <c r="M206" s="102" t="s">
        <v>809</v>
      </c>
      <c r="N206" s="104">
        <v>96090</v>
      </c>
      <c r="O206" s="102">
        <v>0.02</v>
      </c>
      <c r="P206" s="102">
        <v>0.17</v>
      </c>
    </row>
    <row r="207" spans="2:16" x14ac:dyDescent="0.3">
      <c r="B207" s="102" t="s">
        <v>532</v>
      </c>
      <c r="C207" s="102" t="s">
        <v>533</v>
      </c>
      <c r="D207" s="102" t="s">
        <v>810</v>
      </c>
      <c r="E207" s="102" t="s">
        <v>811</v>
      </c>
      <c r="F207" s="102">
        <v>0</v>
      </c>
      <c r="G207" s="102">
        <v>6</v>
      </c>
      <c r="H207" s="104">
        <v>87980</v>
      </c>
      <c r="I207" s="104">
        <v>86700</v>
      </c>
      <c r="J207" s="104">
        <v>-1280</v>
      </c>
      <c r="K207" s="102">
        <v>0.18</v>
      </c>
      <c r="L207" s="102">
        <v>-1.45</v>
      </c>
      <c r="M207" s="102" t="s">
        <v>812</v>
      </c>
      <c r="N207" s="104">
        <v>87980</v>
      </c>
      <c r="O207" s="102">
        <v>0.01</v>
      </c>
      <c r="P207" s="102">
        <v>0.17</v>
      </c>
    </row>
    <row r="208" spans="2:16" x14ac:dyDescent="0.3">
      <c r="B208" s="102" t="s">
        <v>532</v>
      </c>
      <c r="C208" s="102" t="s">
        <v>533</v>
      </c>
      <c r="D208" s="102" t="s">
        <v>813</v>
      </c>
      <c r="E208" s="102" t="s">
        <v>814</v>
      </c>
      <c r="F208" s="102">
        <v>0</v>
      </c>
      <c r="G208" s="102">
        <v>14</v>
      </c>
      <c r="H208" s="104">
        <v>149940</v>
      </c>
      <c r="I208" s="104">
        <v>146300</v>
      </c>
      <c r="J208" s="104">
        <v>-3640</v>
      </c>
      <c r="K208" s="102">
        <v>0.3</v>
      </c>
      <c r="L208" s="102">
        <v>-2.4300000000000002</v>
      </c>
      <c r="M208" s="102" t="s">
        <v>815</v>
      </c>
      <c r="N208" s="104">
        <v>149940</v>
      </c>
      <c r="O208" s="102">
        <v>0.02</v>
      </c>
      <c r="P208" s="102">
        <v>0.28000000000000003</v>
      </c>
    </row>
    <row r="209" spans="2:16" x14ac:dyDescent="0.3">
      <c r="B209" s="102" t="s">
        <v>532</v>
      </c>
      <c r="C209" s="102" t="s">
        <v>533</v>
      </c>
      <c r="D209" s="102" t="s">
        <v>681</v>
      </c>
      <c r="E209" s="102" t="s">
        <v>682</v>
      </c>
      <c r="F209" s="102">
        <v>0</v>
      </c>
      <c r="G209" s="102">
        <v>8</v>
      </c>
      <c r="H209" s="104">
        <v>164160</v>
      </c>
      <c r="I209" s="104">
        <v>177200</v>
      </c>
      <c r="J209" s="104">
        <v>13040</v>
      </c>
      <c r="K209" s="102">
        <v>0.36</v>
      </c>
      <c r="L209" s="102">
        <v>7.94</v>
      </c>
      <c r="M209" s="102" t="s">
        <v>683</v>
      </c>
      <c r="N209" s="104">
        <v>164160</v>
      </c>
      <c r="O209" s="102">
        <v>0.03</v>
      </c>
      <c r="P209" s="102">
        <v>0.33</v>
      </c>
    </row>
    <row r="210" spans="2:16" x14ac:dyDescent="0.3">
      <c r="B210" s="102" t="s">
        <v>532</v>
      </c>
      <c r="C210" s="102" t="s">
        <v>533</v>
      </c>
      <c r="D210" s="102" t="s">
        <v>816</v>
      </c>
      <c r="E210" s="102" t="s">
        <v>817</v>
      </c>
      <c r="F210" s="102">
        <v>0</v>
      </c>
      <c r="G210" s="102">
        <v>11</v>
      </c>
      <c r="H210" s="104">
        <v>480630</v>
      </c>
      <c r="I210" s="104">
        <v>474650</v>
      </c>
      <c r="J210" s="104">
        <v>-5980</v>
      </c>
      <c r="K210" s="102">
        <v>0.97</v>
      </c>
      <c r="L210" s="102">
        <v>-1.24</v>
      </c>
      <c r="M210" s="102" t="s">
        <v>818</v>
      </c>
      <c r="N210" s="104">
        <v>480630</v>
      </c>
      <c r="O210" s="102">
        <v>0.08</v>
      </c>
      <c r="P210" s="102">
        <v>0.89</v>
      </c>
    </row>
    <row r="211" spans="2:16" x14ac:dyDescent="0.3">
      <c r="B211" s="102" t="s">
        <v>532</v>
      </c>
      <c r="C211" s="102" t="s">
        <v>533</v>
      </c>
      <c r="D211" s="102" t="s">
        <v>586</v>
      </c>
      <c r="E211" s="102" t="s">
        <v>587</v>
      </c>
      <c r="F211" s="102">
        <v>0</v>
      </c>
      <c r="G211" s="102">
        <v>46</v>
      </c>
      <c r="H211" s="104">
        <v>129305</v>
      </c>
      <c r="I211" s="104">
        <v>81420</v>
      </c>
      <c r="J211" s="104">
        <v>-47885</v>
      </c>
      <c r="K211" s="102">
        <v>0.17</v>
      </c>
      <c r="L211" s="102">
        <v>-37.03</v>
      </c>
      <c r="M211" s="102" t="s">
        <v>588</v>
      </c>
      <c r="N211" s="104">
        <v>129305</v>
      </c>
      <c r="O211" s="102">
        <v>0.01</v>
      </c>
      <c r="P211" s="102">
        <v>0.16</v>
      </c>
    </row>
    <row r="212" spans="2:16" x14ac:dyDescent="0.3">
      <c r="B212" s="102" t="s">
        <v>532</v>
      </c>
      <c r="C212" s="102" t="s">
        <v>533</v>
      </c>
      <c r="D212" s="102" t="s">
        <v>819</v>
      </c>
      <c r="E212" s="102" t="s">
        <v>820</v>
      </c>
      <c r="F212" s="102">
        <v>0</v>
      </c>
      <c r="G212" s="102">
        <v>6</v>
      </c>
      <c r="H212" s="104">
        <v>166660</v>
      </c>
      <c r="I212" s="104">
        <v>162900</v>
      </c>
      <c r="J212" s="104">
        <v>-3760</v>
      </c>
      <c r="K212" s="102">
        <v>0.33</v>
      </c>
      <c r="L212" s="102">
        <v>-2.2599999999999998</v>
      </c>
      <c r="M212" s="102" t="s">
        <v>821</v>
      </c>
      <c r="N212" s="104">
        <v>166660</v>
      </c>
      <c r="O212" s="102">
        <v>0.02</v>
      </c>
      <c r="P212" s="102">
        <v>0.31</v>
      </c>
    </row>
    <row r="213" spans="2:16" x14ac:dyDescent="0.3">
      <c r="B213" s="102" t="s">
        <v>532</v>
      </c>
      <c r="C213" s="102" t="s">
        <v>533</v>
      </c>
      <c r="D213" s="102" t="s">
        <v>589</v>
      </c>
      <c r="E213" s="102" t="s">
        <v>590</v>
      </c>
      <c r="F213" s="102">
        <v>0</v>
      </c>
      <c r="G213" s="102">
        <v>9</v>
      </c>
      <c r="H213" s="104">
        <v>551350</v>
      </c>
      <c r="I213" s="104">
        <v>539100</v>
      </c>
      <c r="J213" s="104">
        <v>-12250</v>
      </c>
      <c r="K213" s="102">
        <v>1.1000000000000001</v>
      </c>
      <c r="L213" s="102">
        <v>-2.2200000000000002</v>
      </c>
      <c r="M213" s="102" t="s">
        <v>591</v>
      </c>
      <c r="N213" s="104">
        <v>551350</v>
      </c>
      <c r="O213" s="102">
        <v>1.17</v>
      </c>
      <c r="P213" s="102">
        <v>-7.0000000000000007E-2</v>
      </c>
    </row>
    <row r="214" spans="2:16" x14ac:dyDescent="0.3">
      <c r="B214" s="102" t="s">
        <v>532</v>
      </c>
      <c r="C214" s="102" t="s">
        <v>533</v>
      </c>
      <c r="D214" s="102" t="s">
        <v>822</v>
      </c>
      <c r="E214" s="102" t="s">
        <v>823</v>
      </c>
      <c r="F214" s="102">
        <v>0</v>
      </c>
      <c r="G214" s="102">
        <v>3</v>
      </c>
      <c r="H214" s="104">
        <v>175070</v>
      </c>
      <c r="I214" s="104">
        <v>168900</v>
      </c>
      <c r="J214" s="104">
        <v>-6170</v>
      </c>
      <c r="K214" s="102">
        <v>0.35</v>
      </c>
      <c r="L214" s="102">
        <v>-3.52</v>
      </c>
      <c r="M214" s="102" t="s">
        <v>824</v>
      </c>
      <c r="N214" s="104">
        <v>175070</v>
      </c>
      <c r="O214" s="102">
        <v>0.02</v>
      </c>
      <c r="P214" s="102">
        <v>0.33</v>
      </c>
    </row>
    <row r="215" spans="2:16" x14ac:dyDescent="0.3">
      <c r="B215" s="102" t="s">
        <v>532</v>
      </c>
      <c r="C215" s="102" t="s">
        <v>533</v>
      </c>
      <c r="D215" s="102" t="s">
        <v>825</v>
      </c>
      <c r="E215" s="102" t="s">
        <v>826</v>
      </c>
      <c r="F215" s="102">
        <v>0</v>
      </c>
      <c r="G215" s="102">
        <v>31</v>
      </c>
      <c r="H215" s="104">
        <v>1446040</v>
      </c>
      <c r="I215" s="104">
        <v>1444600</v>
      </c>
      <c r="J215" s="104">
        <v>-1440</v>
      </c>
      <c r="K215" s="102">
        <v>2.96</v>
      </c>
      <c r="L215" s="102">
        <v>-0.1</v>
      </c>
      <c r="M215" s="102" t="s">
        <v>827</v>
      </c>
      <c r="N215" s="104">
        <v>1446040</v>
      </c>
      <c r="O215" s="102">
        <v>0.23</v>
      </c>
      <c r="P215" s="102">
        <v>2.73</v>
      </c>
    </row>
    <row r="216" spans="2:16" x14ac:dyDescent="0.3">
      <c r="B216" s="102" t="s">
        <v>532</v>
      </c>
      <c r="C216" s="102" t="s">
        <v>533</v>
      </c>
      <c r="D216" s="102" t="s">
        <v>592</v>
      </c>
      <c r="E216" s="102" t="s">
        <v>593</v>
      </c>
      <c r="F216" s="102">
        <v>0</v>
      </c>
      <c r="G216" s="102">
        <v>53</v>
      </c>
      <c r="H216" s="104">
        <v>508394</v>
      </c>
      <c r="I216" s="104">
        <v>470110</v>
      </c>
      <c r="J216" s="104">
        <v>-38284</v>
      </c>
      <c r="K216" s="102">
        <v>0.96</v>
      </c>
      <c r="L216" s="102">
        <v>-7.53</v>
      </c>
      <c r="M216" s="102" t="s">
        <v>594</v>
      </c>
      <c r="N216" s="104">
        <v>508394</v>
      </c>
      <c r="O216" s="102">
        <v>7.0000000000000007E-2</v>
      </c>
      <c r="P216" s="102">
        <v>0.89</v>
      </c>
    </row>
    <row r="217" spans="2:16" x14ac:dyDescent="0.3">
      <c r="B217" s="102" t="s">
        <v>532</v>
      </c>
      <c r="C217" s="102" t="s">
        <v>533</v>
      </c>
      <c r="D217" s="102" t="s">
        <v>828</v>
      </c>
      <c r="E217" s="102" t="s">
        <v>829</v>
      </c>
      <c r="F217" s="102">
        <v>0</v>
      </c>
      <c r="G217" s="102">
        <v>3</v>
      </c>
      <c r="H217" s="104">
        <v>214710</v>
      </c>
      <c r="I217" s="104">
        <v>213300</v>
      </c>
      <c r="J217" s="104">
        <v>-1410</v>
      </c>
      <c r="K217" s="102">
        <v>0.44</v>
      </c>
      <c r="L217" s="102">
        <v>-0.66</v>
      </c>
      <c r="M217" s="102" t="s">
        <v>830</v>
      </c>
      <c r="N217" s="104">
        <v>214710</v>
      </c>
      <c r="O217" s="102">
        <v>0.04</v>
      </c>
      <c r="P217" s="102">
        <v>0.4</v>
      </c>
    </row>
    <row r="218" spans="2:16" x14ac:dyDescent="0.3">
      <c r="B218" s="102" t="s">
        <v>532</v>
      </c>
      <c r="C218" s="102" t="s">
        <v>533</v>
      </c>
      <c r="D218" s="102" t="s">
        <v>107</v>
      </c>
      <c r="E218" s="102" t="s">
        <v>108</v>
      </c>
      <c r="F218" s="102">
        <v>0</v>
      </c>
      <c r="G218" s="102">
        <v>24</v>
      </c>
      <c r="H218" s="104">
        <v>2416589</v>
      </c>
      <c r="I218" s="104">
        <v>2419320</v>
      </c>
      <c r="J218" s="104">
        <v>2731</v>
      </c>
      <c r="K218" s="102">
        <v>4.95</v>
      </c>
      <c r="L218" s="102">
        <v>0.11</v>
      </c>
      <c r="M218" s="102" t="s">
        <v>470</v>
      </c>
      <c r="N218" s="104">
        <v>2416589</v>
      </c>
      <c r="O218" s="102">
        <v>0</v>
      </c>
      <c r="P218" s="102">
        <v>4.95</v>
      </c>
    </row>
    <row r="219" spans="2:16" x14ac:dyDescent="0.3">
      <c r="B219" s="102" t="s">
        <v>532</v>
      </c>
      <c r="C219" s="102" t="s">
        <v>533</v>
      </c>
      <c r="D219" s="102" t="s">
        <v>595</v>
      </c>
      <c r="E219" s="102" t="s">
        <v>596</v>
      </c>
      <c r="F219" s="102">
        <v>0</v>
      </c>
      <c r="G219" s="102">
        <v>61</v>
      </c>
      <c r="H219" s="104">
        <v>514784</v>
      </c>
      <c r="I219" s="104">
        <v>535580</v>
      </c>
      <c r="J219" s="104">
        <v>20796</v>
      </c>
      <c r="K219" s="102">
        <v>1.1000000000000001</v>
      </c>
      <c r="L219" s="102">
        <v>4.04</v>
      </c>
      <c r="M219" s="102" t="s">
        <v>597</v>
      </c>
      <c r="N219" s="104">
        <v>514784</v>
      </c>
      <c r="O219" s="102">
        <v>0.08</v>
      </c>
      <c r="P219" s="102">
        <v>1.02</v>
      </c>
    </row>
    <row r="220" spans="2:16" x14ac:dyDescent="0.3">
      <c r="B220" s="102" t="s">
        <v>532</v>
      </c>
      <c r="C220" s="102" t="s">
        <v>533</v>
      </c>
      <c r="D220" s="102" t="s">
        <v>831</v>
      </c>
      <c r="E220" s="102" t="s">
        <v>832</v>
      </c>
      <c r="F220" s="102">
        <v>0</v>
      </c>
      <c r="G220" s="102">
        <v>11</v>
      </c>
      <c r="H220" s="104">
        <v>392540</v>
      </c>
      <c r="I220" s="104">
        <v>384450</v>
      </c>
      <c r="J220" s="104">
        <v>-8090</v>
      </c>
      <c r="K220" s="102">
        <v>0.79</v>
      </c>
      <c r="L220" s="102">
        <v>-2.06</v>
      </c>
      <c r="M220" s="102" t="s">
        <v>833</v>
      </c>
      <c r="N220" s="104">
        <v>392540</v>
      </c>
      <c r="O220" s="102">
        <v>0.06</v>
      </c>
      <c r="P220" s="102">
        <v>0.73</v>
      </c>
    </row>
    <row r="221" spans="2:16" x14ac:dyDescent="0.3">
      <c r="B221" s="102" t="s">
        <v>532</v>
      </c>
      <c r="C221" s="102" t="s">
        <v>533</v>
      </c>
      <c r="D221" s="102" t="s">
        <v>617</v>
      </c>
      <c r="E221" s="102" t="s">
        <v>618</v>
      </c>
      <c r="F221" s="102">
        <v>0</v>
      </c>
      <c r="G221" s="102">
        <v>12</v>
      </c>
      <c r="H221" s="104">
        <v>175974</v>
      </c>
      <c r="I221" s="104">
        <v>172800</v>
      </c>
      <c r="J221" s="104">
        <v>-3174</v>
      </c>
      <c r="K221" s="102">
        <v>0.35</v>
      </c>
      <c r="L221" s="102">
        <v>-1.8</v>
      </c>
      <c r="M221" s="102" t="s">
        <v>619</v>
      </c>
      <c r="N221" s="104">
        <v>175974</v>
      </c>
      <c r="O221" s="102">
        <v>0.03</v>
      </c>
      <c r="P221" s="102">
        <v>0.32</v>
      </c>
    </row>
    <row r="222" spans="2:16" x14ac:dyDescent="0.3">
      <c r="B222" s="102" t="s">
        <v>532</v>
      </c>
      <c r="C222" s="102" t="s">
        <v>533</v>
      </c>
      <c r="D222" s="102" t="s">
        <v>834</v>
      </c>
      <c r="E222" s="102" t="s">
        <v>835</v>
      </c>
      <c r="F222" s="102">
        <v>0</v>
      </c>
      <c r="G222" s="102">
        <v>21</v>
      </c>
      <c r="H222" s="104">
        <v>220720</v>
      </c>
      <c r="I222" s="104">
        <v>216300</v>
      </c>
      <c r="J222" s="104">
        <v>-4420</v>
      </c>
      <c r="K222" s="102">
        <v>0.44</v>
      </c>
      <c r="L222" s="102">
        <v>-2</v>
      </c>
      <c r="M222" s="102" t="s">
        <v>836</v>
      </c>
      <c r="N222" s="104">
        <v>220720</v>
      </c>
      <c r="O222" s="102">
        <v>0.03</v>
      </c>
      <c r="P222" s="102">
        <v>0.41</v>
      </c>
    </row>
    <row r="223" spans="2:16" x14ac:dyDescent="0.3">
      <c r="B223" s="102" t="s">
        <v>532</v>
      </c>
      <c r="C223" s="102" t="s">
        <v>533</v>
      </c>
      <c r="D223" s="102" t="s">
        <v>684</v>
      </c>
      <c r="E223" s="102" t="s">
        <v>685</v>
      </c>
      <c r="F223" s="102">
        <v>0</v>
      </c>
      <c r="G223" s="102">
        <v>4</v>
      </c>
      <c r="H223" s="104">
        <v>106503</v>
      </c>
      <c r="I223" s="104">
        <v>89200</v>
      </c>
      <c r="J223" s="104">
        <v>-17303</v>
      </c>
      <c r="K223" s="102">
        <v>0.18</v>
      </c>
      <c r="L223" s="102">
        <v>-16.25</v>
      </c>
      <c r="M223" s="102" t="s">
        <v>686</v>
      </c>
      <c r="N223" s="104">
        <v>106503</v>
      </c>
      <c r="O223" s="102">
        <v>0.01</v>
      </c>
      <c r="P223" s="102">
        <v>0.17</v>
      </c>
    </row>
    <row r="224" spans="2:16" x14ac:dyDescent="0.3">
      <c r="B224" s="102" t="s">
        <v>532</v>
      </c>
      <c r="C224" s="102" t="s">
        <v>533</v>
      </c>
      <c r="D224" s="102" t="s">
        <v>598</v>
      </c>
      <c r="E224" s="102" t="s">
        <v>599</v>
      </c>
      <c r="F224" s="102">
        <v>0</v>
      </c>
      <c r="G224" s="102">
        <v>2</v>
      </c>
      <c r="H224" s="104">
        <v>1532520</v>
      </c>
      <c r="I224" s="104">
        <v>1630000</v>
      </c>
      <c r="J224" s="104">
        <v>97480</v>
      </c>
      <c r="K224" s="102">
        <v>3.33</v>
      </c>
      <c r="L224" s="102">
        <v>6.36</v>
      </c>
      <c r="M224" s="102" t="s">
        <v>600</v>
      </c>
      <c r="N224" s="104">
        <v>1532520</v>
      </c>
      <c r="O224" s="102">
        <v>2.75</v>
      </c>
      <c r="P224" s="102">
        <v>0.57999999999999996</v>
      </c>
    </row>
    <row r="225" spans="2:16" x14ac:dyDescent="0.3">
      <c r="B225" s="102" t="s">
        <v>532</v>
      </c>
      <c r="C225" s="102" t="s">
        <v>533</v>
      </c>
      <c r="D225" s="102" t="s">
        <v>837</v>
      </c>
      <c r="E225" s="102" t="s">
        <v>838</v>
      </c>
      <c r="F225" s="102">
        <v>0</v>
      </c>
      <c r="G225" s="102">
        <v>9</v>
      </c>
      <c r="H225" s="104">
        <v>72070</v>
      </c>
      <c r="I225" s="104">
        <v>72630</v>
      </c>
      <c r="J225" s="102">
        <v>560</v>
      </c>
      <c r="K225" s="102">
        <v>0.15</v>
      </c>
      <c r="L225" s="102">
        <v>0.78</v>
      </c>
      <c r="M225" s="102" t="s">
        <v>839</v>
      </c>
      <c r="N225" s="104">
        <v>72070</v>
      </c>
      <c r="O225" s="102">
        <v>0.01</v>
      </c>
      <c r="P225" s="102">
        <v>0.14000000000000001</v>
      </c>
    </row>
    <row r="226" spans="2:16" x14ac:dyDescent="0.3">
      <c r="B226" s="102" t="s">
        <v>532</v>
      </c>
      <c r="C226" s="102" t="s">
        <v>533</v>
      </c>
      <c r="D226" s="102" t="s">
        <v>840</v>
      </c>
      <c r="E226" s="102" t="s">
        <v>841</v>
      </c>
      <c r="F226" s="102">
        <v>0</v>
      </c>
      <c r="G226" s="102">
        <v>16</v>
      </c>
      <c r="H226" s="104">
        <v>388380</v>
      </c>
      <c r="I226" s="104">
        <v>409600</v>
      </c>
      <c r="J226" s="104">
        <v>21220</v>
      </c>
      <c r="K226" s="102">
        <v>0.84</v>
      </c>
      <c r="L226" s="102">
        <v>5.46</v>
      </c>
      <c r="M226" s="102" t="s">
        <v>842</v>
      </c>
      <c r="N226" s="104">
        <v>388380</v>
      </c>
      <c r="O226" s="102">
        <v>0.06</v>
      </c>
      <c r="P226" s="102">
        <v>0.78</v>
      </c>
    </row>
    <row r="227" spans="2:16" x14ac:dyDescent="0.3">
      <c r="B227" s="102" t="s">
        <v>532</v>
      </c>
      <c r="C227" s="102" t="s">
        <v>533</v>
      </c>
      <c r="D227" s="102" t="s">
        <v>843</v>
      </c>
      <c r="E227" s="102" t="s">
        <v>844</v>
      </c>
      <c r="F227" s="102">
        <v>0</v>
      </c>
      <c r="G227" s="102">
        <v>11</v>
      </c>
      <c r="H227" s="104">
        <v>442090</v>
      </c>
      <c r="I227" s="104">
        <v>448250</v>
      </c>
      <c r="J227" s="104">
        <v>6160</v>
      </c>
      <c r="K227" s="102">
        <v>0.92</v>
      </c>
      <c r="L227" s="102">
        <v>1.39</v>
      </c>
      <c r="M227" s="102" t="s">
        <v>845</v>
      </c>
      <c r="N227" s="104">
        <v>442090</v>
      </c>
      <c r="O227" s="102">
        <v>7.0000000000000007E-2</v>
      </c>
      <c r="P227" s="102">
        <v>0.85</v>
      </c>
    </row>
    <row r="228" spans="2:16" x14ac:dyDescent="0.3">
      <c r="B228" s="102" t="s">
        <v>532</v>
      </c>
      <c r="C228" s="102" t="s">
        <v>533</v>
      </c>
      <c r="D228" s="102" t="s">
        <v>204</v>
      </c>
      <c r="E228" s="102" t="s">
        <v>205</v>
      </c>
      <c r="F228" s="102">
        <v>0</v>
      </c>
      <c r="G228" s="102">
        <v>55</v>
      </c>
      <c r="H228" s="104">
        <v>1555508</v>
      </c>
      <c r="I228" s="104">
        <v>1508650</v>
      </c>
      <c r="J228" s="104">
        <v>-46858</v>
      </c>
      <c r="K228" s="102">
        <v>3.09</v>
      </c>
      <c r="L228" s="102">
        <v>-3.01</v>
      </c>
      <c r="M228" s="102" t="s">
        <v>601</v>
      </c>
      <c r="N228" s="104">
        <v>1555508</v>
      </c>
      <c r="O228" s="102">
        <v>0</v>
      </c>
      <c r="P228" s="102">
        <v>3.09</v>
      </c>
    </row>
    <row r="229" spans="2:16" x14ac:dyDescent="0.3">
      <c r="B229" s="102" t="s">
        <v>532</v>
      </c>
      <c r="C229" s="102" t="s">
        <v>533</v>
      </c>
      <c r="D229" s="102" t="s">
        <v>846</v>
      </c>
      <c r="E229" s="102" t="s">
        <v>847</v>
      </c>
      <c r="F229" s="102">
        <v>0</v>
      </c>
      <c r="G229" s="102">
        <v>1</v>
      </c>
      <c r="H229" s="104">
        <v>223220</v>
      </c>
      <c r="I229" s="104">
        <v>222500</v>
      </c>
      <c r="J229" s="102">
        <v>-720</v>
      </c>
      <c r="K229" s="102">
        <v>0.46</v>
      </c>
      <c r="L229" s="102">
        <v>-0.32</v>
      </c>
      <c r="M229" s="102" t="s">
        <v>848</v>
      </c>
      <c r="N229" s="104">
        <v>223220</v>
      </c>
      <c r="O229" s="102">
        <v>0.03</v>
      </c>
      <c r="P229" s="102">
        <v>0.43</v>
      </c>
    </row>
    <row r="230" spans="2:16" x14ac:dyDescent="0.3">
      <c r="B230" s="102" t="s">
        <v>532</v>
      </c>
      <c r="C230" s="102" t="s">
        <v>533</v>
      </c>
      <c r="D230" s="102" t="s">
        <v>849</v>
      </c>
      <c r="E230" s="102" t="s">
        <v>850</v>
      </c>
      <c r="F230" s="102">
        <v>0</v>
      </c>
      <c r="G230" s="102">
        <v>3</v>
      </c>
      <c r="H230" s="104">
        <v>164860</v>
      </c>
      <c r="I230" s="104">
        <v>173400</v>
      </c>
      <c r="J230" s="104">
        <v>8540</v>
      </c>
      <c r="K230" s="102">
        <v>0.35</v>
      </c>
      <c r="L230" s="102">
        <v>5.18</v>
      </c>
      <c r="M230" s="102" t="s">
        <v>851</v>
      </c>
      <c r="N230" s="104">
        <v>164860</v>
      </c>
      <c r="O230" s="102">
        <v>0.03</v>
      </c>
      <c r="P230" s="102">
        <v>0.32</v>
      </c>
    </row>
    <row r="231" spans="2:16" x14ac:dyDescent="0.3">
      <c r="B231" s="102" t="s">
        <v>532</v>
      </c>
      <c r="C231" s="102" t="s">
        <v>533</v>
      </c>
      <c r="D231" s="102" t="s">
        <v>602</v>
      </c>
      <c r="E231" s="102" t="s">
        <v>603</v>
      </c>
      <c r="F231" s="102">
        <v>0</v>
      </c>
      <c r="G231" s="102">
        <v>21</v>
      </c>
      <c r="H231" s="104">
        <v>414275</v>
      </c>
      <c r="I231" s="104">
        <v>425250</v>
      </c>
      <c r="J231" s="104">
        <v>10975</v>
      </c>
      <c r="K231" s="102">
        <v>0.87</v>
      </c>
      <c r="L231" s="102">
        <v>2.65</v>
      </c>
      <c r="M231" s="102" t="s">
        <v>604</v>
      </c>
      <c r="N231" s="104">
        <v>414275</v>
      </c>
      <c r="O231" s="102">
        <v>7.0000000000000007E-2</v>
      </c>
      <c r="P231" s="102">
        <v>0.8</v>
      </c>
    </row>
    <row r="232" spans="2:16" x14ac:dyDescent="0.3">
      <c r="B232" s="102" t="s">
        <v>532</v>
      </c>
      <c r="C232" s="102" t="s">
        <v>533</v>
      </c>
      <c r="D232" s="102" t="s">
        <v>852</v>
      </c>
      <c r="E232" s="102" t="s">
        <v>853</v>
      </c>
      <c r="F232" s="102">
        <v>0</v>
      </c>
      <c r="G232" s="102">
        <v>1</v>
      </c>
      <c r="H232" s="104">
        <v>179670</v>
      </c>
      <c r="I232" s="104">
        <v>181500</v>
      </c>
      <c r="J232" s="104">
        <v>1830</v>
      </c>
      <c r="K232" s="102">
        <v>0.37</v>
      </c>
      <c r="L232" s="102">
        <v>1.02</v>
      </c>
      <c r="M232" s="102" t="s">
        <v>854</v>
      </c>
      <c r="N232" s="104">
        <v>179670</v>
      </c>
      <c r="O232" s="102">
        <v>0.02</v>
      </c>
      <c r="P232" s="102">
        <v>0.35</v>
      </c>
    </row>
    <row r="233" spans="2:16" x14ac:dyDescent="0.3">
      <c r="B233" s="102" t="s">
        <v>532</v>
      </c>
      <c r="C233" s="102" t="s">
        <v>533</v>
      </c>
      <c r="D233" s="102" t="s">
        <v>855</v>
      </c>
      <c r="E233" s="102" t="s">
        <v>856</v>
      </c>
      <c r="F233" s="102">
        <v>0</v>
      </c>
      <c r="G233" s="102">
        <v>8</v>
      </c>
      <c r="H233" s="104">
        <v>1113110</v>
      </c>
      <c r="I233" s="104">
        <v>1084000</v>
      </c>
      <c r="J233" s="104">
        <v>-29110</v>
      </c>
      <c r="K233" s="102">
        <v>2.2200000000000002</v>
      </c>
      <c r="L233" s="102">
        <v>-2.62</v>
      </c>
      <c r="M233" s="102" t="s">
        <v>857</v>
      </c>
      <c r="N233" s="104">
        <v>1113110</v>
      </c>
      <c r="O233" s="102">
        <v>0.18</v>
      </c>
      <c r="P233" s="102">
        <v>2.04</v>
      </c>
    </row>
    <row r="234" spans="2:16" x14ac:dyDescent="0.3">
      <c r="B234" s="102" t="s">
        <v>532</v>
      </c>
      <c r="C234" s="102" t="s">
        <v>533</v>
      </c>
      <c r="D234" s="102" t="s">
        <v>620</v>
      </c>
      <c r="E234" s="102" t="s">
        <v>621</v>
      </c>
      <c r="F234" s="102">
        <v>0</v>
      </c>
      <c r="G234" s="102">
        <v>11</v>
      </c>
      <c r="H234" s="104">
        <v>520610</v>
      </c>
      <c r="I234" s="104">
        <v>455950</v>
      </c>
      <c r="J234" s="104">
        <v>-64660</v>
      </c>
      <c r="K234" s="102">
        <v>0.93</v>
      </c>
      <c r="L234" s="102">
        <v>-12.42</v>
      </c>
      <c r="M234" s="102" t="s">
        <v>622</v>
      </c>
      <c r="N234" s="104">
        <v>520610</v>
      </c>
      <c r="O234" s="102">
        <v>0.94</v>
      </c>
      <c r="P234" s="102">
        <v>-0.01</v>
      </c>
    </row>
    <row r="235" spans="2:16" x14ac:dyDescent="0.3">
      <c r="B235" s="102" t="s">
        <v>532</v>
      </c>
      <c r="C235" s="102" t="s">
        <v>533</v>
      </c>
      <c r="D235" s="102" t="s">
        <v>696</v>
      </c>
      <c r="E235" s="102" t="s">
        <v>697</v>
      </c>
      <c r="F235" s="102">
        <v>0</v>
      </c>
      <c r="G235" s="102">
        <v>2</v>
      </c>
      <c r="H235" s="104">
        <v>98800</v>
      </c>
      <c r="I235" s="104">
        <v>138200</v>
      </c>
      <c r="J235" s="104">
        <v>39400</v>
      </c>
      <c r="K235" s="102">
        <v>0.28000000000000003</v>
      </c>
      <c r="L235" s="102">
        <v>39.880000000000003</v>
      </c>
      <c r="M235" s="102" t="s">
        <v>698</v>
      </c>
      <c r="N235" s="104">
        <v>98800</v>
      </c>
      <c r="O235" s="102">
        <v>0.1</v>
      </c>
      <c r="P235" s="102">
        <v>0.18</v>
      </c>
    </row>
    <row r="236" spans="2:16" x14ac:dyDescent="0.3">
      <c r="B236" s="102" t="s">
        <v>532</v>
      </c>
      <c r="C236" s="102" t="s">
        <v>533</v>
      </c>
      <c r="D236" s="102" t="s">
        <v>687</v>
      </c>
      <c r="E236" s="102" t="s">
        <v>688</v>
      </c>
      <c r="F236" s="102">
        <v>0</v>
      </c>
      <c r="G236" s="102">
        <v>5</v>
      </c>
      <c r="H236" s="104">
        <v>313312</v>
      </c>
      <c r="I236" s="104">
        <v>311500</v>
      </c>
      <c r="J236" s="104">
        <v>-1812</v>
      </c>
      <c r="K236" s="102">
        <v>0.64</v>
      </c>
      <c r="L236" s="102">
        <v>-0.57999999999999996</v>
      </c>
      <c r="M236" s="102" t="s">
        <v>689</v>
      </c>
      <c r="N236" s="104">
        <v>313312</v>
      </c>
      <c r="O236" s="102">
        <v>0.05</v>
      </c>
      <c r="P236" s="102">
        <v>0.59</v>
      </c>
    </row>
    <row r="237" spans="2:16" x14ac:dyDescent="0.3">
      <c r="B237" s="102" t="s">
        <v>532</v>
      </c>
      <c r="C237" s="102" t="s">
        <v>533</v>
      </c>
      <c r="D237" s="102" t="s">
        <v>690</v>
      </c>
      <c r="E237" s="102" t="s">
        <v>691</v>
      </c>
      <c r="F237" s="102">
        <v>0</v>
      </c>
      <c r="G237" s="102">
        <v>15</v>
      </c>
      <c r="H237" s="104">
        <v>418917</v>
      </c>
      <c r="I237" s="104">
        <v>465750</v>
      </c>
      <c r="J237" s="104">
        <v>46833</v>
      </c>
      <c r="K237" s="102">
        <v>0.95</v>
      </c>
      <c r="L237" s="102">
        <v>11.18</v>
      </c>
      <c r="M237" s="102" t="s">
        <v>692</v>
      </c>
      <c r="N237" s="104">
        <v>418917</v>
      </c>
      <c r="O237" s="102">
        <v>7.0000000000000007E-2</v>
      </c>
      <c r="P237" s="102">
        <v>0.88</v>
      </c>
    </row>
    <row r="238" spans="2:16" x14ac:dyDescent="0.3">
      <c r="B238" s="102" t="s">
        <v>532</v>
      </c>
      <c r="C238" s="102" t="s">
        <v>533</v>
      </c>
      <c r="D238" s="102" t="s">
        <v>605</v>
      </c>
      <c r="E238" s="102" t="s">
        <v>606</v>
      </c>
      <c r="F238" s="102">
        <v>0</v>
      </c>
      <c r="G238" s="102">
        <v>5</v>
      </c>
      <c r="H238" s="104">
        <v>2628620</v>
      </c>
      <c r="I238" s="104">
        <v>2007500</v>
      </c>
      <c r="J238" s="104">
        <v>-621120</v>
      </c>
      <c r="K238" s="102">
        <v>4.1100000000000003</v>
      </c>
      <c r="L238" s="102">
        <v>-23.63</v>
      </c>
      <c r="M238" s="102" t="s">
        <v>607</v>
      </c>
      <c r="N238" s="104">
        <v>2628620</v>
      </c>
      <c r="O238" s="102">
        <v>4.46</v>
      </c>
      <c r="P238" s="102">
        <v>-0.35</v>
      </c>
    </row>
    <row r="239" spans="2:16" x14ac:dyDescent="0.3">
      <c r="B239" s="102" t="s">
        <v>532</v>
      </c>
      <c r="C239" s="102" t="s">
        <v>533</v>
      </c>
      <c r="D239" s="102" t="s">
        <v>858</v>
      </c>
      <c r="E239" s="102" t="s">
        <v>859</v>
      </c>
      <c r="F239" s="102">
        <v>0</v>
      </c>
      <c r="G239" s="102">
        <v>15</v>
      </c>
      <c r="H239" s="104">
        <v>405400</v>
      </c>
      <c r="I239" s="104">
        <v>405000</v>
      </c>
      <c r="J239" s="102">
        <v>-400</v>
      </c>
      <c r="K239" s="102">
        <v>0.83</v>
      </c>
      <c r="L239" s="102">
        <v>-0.1</v>
      </c>
      <c r="M239" s="102" t="s">
        <v>860</v>
      </c>
      <c r="N239" s="104">
        <v>405400</v>
      </c>
      <c r="O239" s="102">
        <v>0.06</v>
      </c>
      <c r="P239" s="102">
        <v>0.77</v>
      </c>
    </row>
    <row r="240" spans="2:16" x14ac:dyDescent="0.3">
      <c r="B240" s="102" t="s">
        <v>532</v>
      </c>
      <c r="C240" s="102" t="s">
        <v>533</v>
      </c>
      <c r="D240" s="102" t="s">
        <v>861</v>
      </c>
      <c r="E240" s="102" t="s">
        <v>862</v>
      </c>
      <c r="F240" s="102">
        <v>0</v>
      </c>
      <c r="G240" s="102">
        <v>12</v>
      </c>
      <c r="H240" s="104">
        <v>1699690</v>
      </c>
      <c r="I240" s="104">
        <v>1632000</v>
      </c>
      <c r="J240" s="104">
        <v>-67690</v>
      </c>
      <c r="K240" s="102">
        <v>3.34</v>
      </c>
      <c r="L240" s="102">
        <v>-3.98</v>
      </c>
      <c r="M240" s="102" t="s">
        <v>863</v>
      </c>
      <c r="N240" s="104">
        <v>1699690</v>
      </c>
      <c r="O240" s="102">
        <v>0.25</v>
      </c>
      <c r="P240" s="102">
        <v>3.09</v>
      </c>
    </row>
    <row r="241" spans="2:16" x14ac:dyDescent="0.3">
      <c r="B241" s="102" t="s">
        <v>532</v>
      </c>
      <c r="C241" s="102" t="s">
        <v>533</v>
      </c>
      <c r="D241" s="102" t="s">
        <v>418</v>
      </c>
      <c r="E241" s="102" t="s">
        <v>419</v>
      </c>
      <c r="F241" s="104">
        <v>-423932</v>
      </c>
      <c r="G241" s="104">
        <v>704333</v>
      </c>
      <c r="H241" s="104">
        <v>704333</v>
      </c>
      <c r="I241" s="104">
        <v>704333</v>
      </c>
      <c r="J241" s="102">
        <v>0</v>
      </c>
      <c r="K241" s="102">
        <v>1.44</v>
      </c>
      <c r="L241" s="102">
        <v>0</v>
      </c>
      <c r="M241" s="102"/>
      <c r="N241" s="102">
        <v>0</v>
      </c>
      <c r="O241" s="102"/>
      <c r="P241" s="102"/>
    </row>
    <row r="242" spans="2:16" x14ac:dyDescent="0.3">
      <c r="B242" s="102" t="s">
        <v>532</v>
      </c>
      <c r="C242" s="102" t="s">
        <v>533</v>
      </c>
      <c r="D242" s="102" t="s">
        <v>420</v>
      </c>
      <c r="E242" s="102"/>
      <c r="F242" s="104">
        <v>-423932</v>
      </c>
      <c r="G242" s="104">
        <v>706471</v>
      </c>
      <c r="H242" s="104">
        <v>51053661</v>
      </c>
      <c r="I242" s="104">
        <v>48982271</v>
      </c>
      <c r="J242" s="104">
        <v>-2071390</v>
      </c>
      <c r="K242" s="102">
        <v>100.21</v>
      </c>
      <c r="L242" s="102">
        <v>-4.0599999999999996</v>
      </c>
      <c r="M242" s="102"/>
      <c r="N242" s="104">
        <v>50349328</v>
      </c>
      <c r="O242" s="102"/>
      <c r="P242" s="102"/>
    </row>
    <row r="243" spans="2:16" x14ac:dyDescent="0.3">
      <c r="B243" s="102" t="s">
        <v>864</v>
      </c>
      <c r="C243" s="102" t="s">
        <v>865</v>
      </c>
      <c r="D243" s="102" t="s">
        <v>116</v>
      </c>
      <c r="E243" s="102" t="s">
        <v>117</v>
      </c>
      <c r="F243" s="102">
        <v>0</v>
      </c>
      <c r="G243" s="102">
        <v>10</v>
      </c>
      <c r="H243" s="104">
        <v>1062010</v>
      </c>
      <c r="I243" s="104">
        <v>1059050</v>
      </c>
      <c r="J243" s="104">
        <v>-2960</v>
      </c>
      <c r="K243" s="102">
        <v>6.02</v>
      </c>
      <c r="L243" s="102">
        <v>-0.28000000000000003</v>
      </c>
      <c r="M243" s="102" t="s">
        <v>513</v>
      </c>
      <c r="N243" s="104">
        <v>1062010</v>
      </c>
      <c r="O243" s="102">
        <v>0</v>
      </c>
      <c r="P243" s="102">
        <v>6.02</v>
      </c>
    </row>
    <row r="244" spans="2:16" x14ac:dyDescent="0.3">
      <c r="B244" s="102" t="s">
        <v>864</v>
      </c>
      <c r="C244" s="102" t="s">
        <v>865</v>
      </c>
      <c r="D244" s="102" t="s">
        <v>156</v>
      </c>
      <c r="E244" s="102" t="s">
        <v>157</v>
      </c>
      <c r="F244" s="102">
        <v>0</v>
      </c>
      <c r="G244" s="102">
        <v>25</v>
      </c>
      <c r="H244" s="104">
        <v>1834675</v>
      </c>
      <c r="I244" s="104">
        <v>1856750</v>
      </c>
      <c r="J244" s="104">
        <v>22075</v>
      </c>
      <c r="K244" s="102">
        <v>10.56</v>
      </c>
      <c r="L244" s="102">
        <v>1.2</v>
      </c>
      <c r="M244" s="102" t="s">
        <v>866</v>
      </c>
      <c r="N244" s="104">
        <v>1834675</v>
      </c>
      <c r="O244" s="102">
        <v>0</v>
      </c>
      <c r="P244" s="102">
        <v>10.56</v>
      </c>
    </row>
    <row r="245" spans="2:16" x14ac:dyDescent="0.3">
      <c r="B245" s="102" t="s">
        <v>864</v>
      </c>
      <c r="C245" s="102" t="s">
        <v>865</v>
      </c>
      <c r="D245" s="102" t="s">
        <v>867</v>
      </c>
      <c r="E245" s="102" t="s">
        <v>868</v>
      </c>
      <c r="F245" s="102">
        <v>0</v>
      </c>
      <c r="G245" s="102">
        <v>64</v>
      </c>
      <c r="H245" s="104">
        <v>644990</v>
      </c>
      <c r="I245" s="104">
        <v>644800</v>
      </c>
      <c r="J245" s="102">
        <v>-190</v>
      </c>
      <c r="K245" s="102">
        <v>3.67</v>
      </c>
      <c r="L245" s="102">
        <v>-0.03</v>
      </c>
      <c r="M245" s="102" t="s">
        <v>869</v>
      </c>
      <c r="N245" s="104">
        <v>644990</v>
      </c>
      <c r="O245" s="102">
        <v>0</v>
      </c>
      <c r="P245" s="102">
        <v>3.67</v>
      </c>
    </row>
    <row r="246" spans="2:16" x14ac:dyDescent="0.3">
      <c r="B246" s="102" t="s">
        <v>864</v>
      </c>
      <c r="C246" s="102" t="s">
        <v>865</v>
      </c>
      <c r="D246" s="102" t="s">
        <v>870</v>
      </c>
      <c r="E246" s="102" t="s">
        <v>871</v>
      </c>
      <c r="F246" s="102">
        <v>0</v>
      </c>
      <c r="G246" s="102">
        <v>33</v>
      </c>
      <c r="H246" s="104">
        <v>673565</v>
      </c>
      <c r="I246" s="104">
        <v>667920</v>
      </c>
      <c r="J246" s="104">
        <v>-5645</v>
      </c>
      <c r="K246" s="102">
        <v>3.8</v>
      </c>
      <c r="L246" s="102">
        <v>-0.84</v>
      </c>
      <c r="M246" s="102" t="s">
        <v>872</v>
      </c>
      <c r="N246" s="104">
        <v>673565</v>
      </c>
      <c r="O246" s="102">
        <v>0</v>
      </c>
      <c r="P246" s="102">
        <v>3.8</v>
      </c>
    </row>
    <row r="247" spans="2:16" x14ac:dyDescent="0.3">
      <c r="B247" s="102" t="s">
        <v>864</v>
      </c>
      <c r="C247" s="102" t="s">
        <v>865</v>
      </c>
      <c r="D247" s="102" t="s">
        <v>230</v>
      </c>
      <c r="E247" s="102" t="s">
        <v>873</v>
      </c>
      <c r="F247" s="102">
        <v>0</v>
      </c>
      <c r="G247" s="102">
        <v>134</v>
      </c>
      <c r="H247" s="104">
        <v>2174800</v>
      </c>
      <c r="I247" s="104">
        <v>2189560</v>
      </c>
      <c r="J247" s="104">
        <v>14760</v>
      </c>
      <c r="K247" s="102">
        <v>12.45</v>
      </c>
      <c r="L247" s="102">
        <v>0.68</v>
      </c>
      <c r="M247" s="102" t="s">
        <v>874</v>
      </c>
      <c r="N247" s="104">
        <v>2174800</v>
      </c>
      <c r="O247" s="102">
        <v>0</v>
      </c>
      <c r="P247" s="102">
        <v>12.45</v>
      </c>
    </row>
    <row r="248" spans="2:16" x14ac:dyDescent="0.3">
      <c r="B248" s="102" t="s">
        <v>864</v>
      </c>
      <c r="C248" s="102" t="s">
        <v>865</v>
      </c>
      <c r="D248" s="102" t="s">
        <v>118</v>
      </c>
      <c r="E248" s="102" t="s">
        <v>119</v>
      </c>
      <c r="F248" s="102">
        <v>0</v>
      </c>
      <c r="G248" s="102">
        <v>28</v>
      </c>
      <c r="H248" s="104">
        <v>1359800</v>
      </c>
      <c r="I248" s="104">
        <v>1349460</v>
      </c>
      <c r="J248" s="104">
        <v>-10340</v>
      </c>
      <c r="K248" s="102">
        <v>7.67</v>
      </c>
      <c r="L248" s="102">
        <v>-0.76</v>
      </c>
      <c r="M248" s="102" t="s">
        <v>875</v>
      </c>
      <c r="N248" s="104">
        <v>1359800</v>
      </c>
      <c r="O248" s="102">
        <v>0</v>
      </c>
      <c r="P248" s="102">
        <v>7.67</v>
      </c>
    </row>
    <row r="249" spans="2:16" x14ac:dyDescent="0.3">
      <c r="B249" s="102" t="s">
        <v>864</v>
      </c>
      <c r="C249" s="102" t="s">
        <v>865</v>
      </c>
      <c r="D249" s="102" t="s">
        <v>876</v>
      </c>
      <c r="E249" s="102" t="s">
        <v>877</v>
      </c>
      <c r="F249" s="102">
        <v>0</v>
      </c>
      <c r="G249" s="102">
        <v>68</v>
      </c>
      <c r="H249" s="104">
        <v>689380</v>
      </c>
      <c r="I249" s="104">
        <v>685100</v>
      </c>
      <c r="J249" s="104">
        <v>-4280</v>
      </c>
      <c r="K249" s="102">
        <v>3.9</v>
      </c>
      <c r="L249" s="102">
        <v>-0.62</v>
      </c>
      <c r="M249" s="102" t="s">
        <v>878</v>
      </c>
      <c r="N249" s="104">
        <v>689380</v>
      </c>
      <c r="O249" s="102">
        <v>0</v>
      </c>
      <c r="P249" s="102">
        <v>3.9</v>
      </c>
    </row>
    <row r="250" spans="2:16" x14ac:dyDescent="0.3">
      <c r="B250" s="102" t="s">
        <v>864</v>
      </c>
      <c r="C250" s="102" t="s">
        <v>865</v>
      </c>
      <c r="D250" s="102" t="s">
        <v>160</v>
      </c>
      <c r="E250" s="102" t="s">
        <v>161</v>
      </c>
      <c r="F250" s="102">
        <v>0</v>
      </c>
      <c r="G250" s="102">
        <v>292</v>
      </c>
      <c r="H250" s="104">
        <v>3857010</v>
      </c>
      <c r="I250" s="104">
        <v>3880680</v>
      </c>
      <c r="J250" s="104">
        <v>23670</v>
      </c>
      <c r="K250" s="102">
        <v>22.07</v>
      </c>
      <c r="L250" s="102">
        <v>0.61</v>
      </c>
      <c r="M250" s="102" t="s">
        <v>879</v>
      </c>
      <c r="N250" s="104">
        <v>3857010</v>
      </c>
      <c r="O250" s="102">
        <v>0</v>
      </c>
      <c r="P250" s="102">
        <v>22.07</v>
      </c>
    </row>
    <row r="251" spans="2:16" x14ac:dyDescent="0.3">
      <c r="B251" s="102" t="s">
        <v>864</v>
      </c>
      <c r="C251" s="102" t="s">
        <v>865</v>
      </c>
      <c r="D251" s="102" t="s">
        <v>880</v>
      </c>
      <c r="E251" s="102" t="s">
        <v>881</v>
      </c>
      <c r="F251" s="102">
        <v>0</v>
      </c>
      <c r="G251" s="102">
        <v>428</v>
      </c>
      <c r="H251" s="104">
        <v>4769350</v>
      </c>
      <c r="I251" s="104">
        <v>4815000</v>
      </c>
      <c r="J251" s="104">
        <v>45650</v>
      </c>
      <c r="K251" s="102">
        <v>27.38</v>
      </c>
      <c r="L251" s="102">
        <v>0.96</v>
      </c>
      <c r="M251" s="102" t="s">
        <v>882</v>
      </c>
      <c r="N251" s="104">
        <v>4769350</v>
      </c>
      <c r="O251" s="102">
        <v>0</v>
      </c>
      <c r="P251" s="102">
        <v>27.38</v>
      </c>
    </row>
    <row r="252" spans="2:16" x14ac:dyDescent="0.3">
      <c r="B252" s="102" t="s">
        <v>864</v>
      </c>
      <c r="C252" s="102" t="s">
        <v>865</v>
      </c>
      <c r="D252" s="102" t="s">
        <v>418</v>
      </c>
      <c r="E252" s="102" t="s">
        <v>419</v>
      </c>
      <c r="F252" s="104">
        <v>-16003570</v>
      </c>
      <c r="G252" s="104">
        <v>1496430</v>
      </c>
      <c r="H252" s="104">
        <v>1496430</v>
      </c>
      <c r="I252" s="104">
        <v>1496430</v>
      </c>
      <c r="J252" s="102">
        <v>0</v>
      </c>
      <c r="K252" s="102">
        <v>8.51</v>
      </c>
      <c r="L252" s="102">
        <v>0</v>
      </c>
      <c r="M252" s="102"/>
      <c r="N252" s="102">
        <v>0</v>
      </c>
      <c r="O252" s="102"/>
      <c r="P252" s="102"/>
    </row>
    <row r="253" spans="2:16" x14ac:dyDescent="0.3">
      <c r="B253" s="102" t="s">
        <v>864</v>
      </c>
      <c r="C253" s="102" t="s">
        <v>865</v>
      </c>
      <c r="D253" s="102" t="s">
        <v>420</v>
      </c>
      <c r="E253" s="102"/>
      <c r="F253" s="104">
        <v>-16003570</v>
      </c>
      <c r="G253" s="104">
        <v>1497512</v>
      </c>
      <c r="H253" s="104">
        <v>18562010</v>
      </c>
      <c r="I253" s="104">
        <v>18644750</v>
      </c>
      <c r="J253" s="104">
        <v>82740</v>
      </c>
      <c r="K253" s="102">
        <v>106.03</v>
      </c>
      <c r="L253" s="102">
        <v>0.45</v>
      </c>
      <c r="M253" s="102"/>
      <c r="N253" s="104">
        <v>17065580</v>
      </c>
      <c r="O253" s="102"/>
      <c r="P253" s="102"/>
    </row>
    <row r="254" spans="2:16" x14ac:dyDescent="0.3">
      <c r="B254" s="102" t="s">
        <v>883</v>
      </c>
      <c r="C254" s="102" t="s">
        <v>884</v>
      </c>
      <c r="D254" s="102" t="s">
        <v>116</v>
      </c>
      <c r="E254" s="102" t="s">
        <v>117</v>
      </c>
      <c r="F254" s="102">
        <v>0</v>
      </c>
      <c r="G254" s="102">
        <v>15</v>
      </c>
      <c r="H254" s="104">
        <v>1593020</v>
      </c>
      <c r="I254" s="104">
        <v>1588575</v>
      </c>
      <c r="J254" s="104">
        <v>-4445</v>
      </c>
      <c r="K254" s="102">
        <v>6.32</v>
      </c>
      <c r="L254" s="102">
        <v>-0.28000000000000003</v>
      </c>
      <c r="M254" s="102" t="s">
        <v>513</v>
      </c>
      <c r="N254" s="104">
        <v>1593020</v>
      </c>
      <c r="O254" s="102">
        <v>0</v>
      </c>
      <c r="P254" s="102">
        <v>6.32</v>
      </c>
    </row>
    <row r="255" spans="2:16" x14ac:dyDescent="0.3">
      <c r="B255" s="102" t="s">
        <v>883</v>
      </c>
      <c r="C255" s="102" t="s">
        <v>884</v>
      </c>
      <c r="D255" s="102" t="s">
        <v>156</v>
      </c>
      <c r="E255" s="102" t="s">
        <v>157</v>
      </c>
      <c r="F255" s="102">
        <v>0</v>
      </c>
      <c r="G255" s="102">
        <v>37</v>
      </c>
      <c r="H255" s="104">
        <v>2715315</v>
      </c>
      <c r="I255" s="104">
        <v>2747990</v>
      </c>
      <c r="J255" s="104">
        <v>32675</v>
      </c>
      <c r="K255" s="102">
        <v>10.94</v>
      </c>
      <c r="L255" s="102">
        <v>1.2</v>
      </c>
      <c r="M255" s="102" t="s">
        <v>866</v>
      </c>
      <c r="N255" s="104">
        <v>2715315</v>
      </c>
      <c r="O255" s="102">
        <v>0</v>
      </c>
      <c r="P255" s="102">
        <v>10.94</v>
      </c>
    </row>
    <row r="256" spans="2:16" x14ac:dyDescent="0.3">
      <c r="B256" s="102" t="s">
        <v>883</v>
      </c>
      <c r="C256" s="102" t="s">
        <v>884</v>
      </c>
      <c r="D256" s="102" t="s">
        <v>867</v>
      </c>
      <c r="E256" s="102" t="s">
        <v>868</v>
      </c>
      <c r="F256" s="102">
        <v>0</v>
      </c>
      <c r="G256" s="102">
        <v>91</v>
      </c>
      <c r="H256" s="104">
        <v>917095</v>
      </c>
      <c r="I256" s="104">
        <v>916825</v>
      </c>
      <c r="J256" s="102">
        <v>-270</v>
      </c>
      <c r="K256" s="102">
        <v>3.65</v>
      </c>
      <c r="L256" s="102">
        <v>-0.03</v>
      </c>
      <c r="M256" s="102" t="s">
        <v>869</v>
      </c>
      <c r="N256" s="104">
        <v>917095</v>
      </c>
      <c r="O256" s="102">
        <v>0</v>
      </c>
      <c r="P256" s="102">
        <v>3.65</v>
      </c>
    </row>
    <row r="257" spans="2:16" x14ac:dyDescent="0.3">
      <c r="B257" s="102" t="s">
        <v>883</v>
      </c>
      <c r="C257" s="102" t="s">
        <v>884</v>
      </c>
      <c r="D257" s="102" t="s">
        <v>870</v>
      </c>
      <c r="E257" s="102" t="s">
        <v>871</v>
      </c>
      <c r="F257" s="102">
        <v>0</v>
      </c>
      <c r="G257" s="102">
        <v>47</v>
      </c>
      <c r="H257" s="104">
        <v>959315</v>
      </c>
      <c r="I257" s="104">
        <v>951280</v>
      </c>
      <c r="J257" s="104">
        <v>-8035</v>
      </c>
      <c r="K257" s="102">
        <v>3.79</v>
      </c>
      <c r="L257" s="102">
        <v>-0.84</v>
      </c>
      <c r="M257" s="102" t="s">
        <v>872</v>
      </c>
      <c r="N257" s="104">
        <v>959315</v>
      </c>
      <c r="O257" s="102">
        <v>0</v>
      </c>
      <c r="P257" s="102">
        <v>3.79</v>
      </c>
    </row>
    <row r="258" spans="2:16" x14ac:dyDescent="0.3">
      <c r="B258" s="102" t="s">
        <v>883</v>
      </c>
      <c r="C258" s="102" t="s">
        <v>884</v>
      </c>
      <c r="D258" s="102" t="s">
        <v>230</v>
      </c>
      <c r="E258" s="102" t="s">
        <v>873</v>
      </c>
      <c r="F258" s="102">
        <v>0</v>
      </c>
      <c r="G258" s="102">
        <v>192</v>
      </c>
      <c r="H258" s="104">
        <v>3116130</v>
      </c>
      <c r="I258" s="104">
        <v>3137280</v>
      </c>
      <c r="J258" s="104">
        <v>21150</v>
      </c>
      <c r="K258" s="102">
        <v>12.49</v>
      </c>
      <c r="L258" s="102">
        <v>0.68</v>
      </c>
      <c r="M258" s="102" t="s">
        <v>874</v>
      </c>
      <c r="N258" s="104">
        <v>3116130</v>
      </c>
      <c r="O258" s="102">
        <v>0</v>
      </c>
      <c r="P258" s="102">
        <v>12.49</v>
      </c>
    </row>
    <row r="259" spans="2:16" x14ac:dyDescent="0.3">
      <c r="B259" s="102" t="s">
        <v>883</v>
      </c>
      <c r="C259" s="102" t="s">
        <v>884</v>
      </c>
      <c r="D259" s="102" t="s">
        <v>118</v>
      </c>
      <c r="E259" s="102" t="s">
        <v>119</v>
      </c>
      <c r="F259" s="102">
        <v>0</v>
      </c>
      <c r="G259" s="102">
        <v>41</v>
      </c>
      <c r="H259" s="104">
        <v>1991140</v>
      </c>
      <c r="I259" s="104">
        <v>1975995</v>
      </c>
      <c r="J259" s="104">
        <v>-15145</v>
      </c>
      <c r="K259" s="102">
        <v>7.87</v>
      </c>
      <c r="L259" s="102">
        <v>-0.76</v>
      </c>
      <c r="M259" s="102" t="s">
        <v>875</v>
      </c>
      <c r="N259" s="104">
        <v>1991140</v>
      </c>
      <c r="O259" s="102">
        <v>0</v>
      </c>
      <c r="P259" s="102">
        <v>7.87</v>
      </c>
    </row>
    <row r="260" spans="2:16" x14ac:dyDescent="0.3">
      <c r="B260" s="102" t="s">
        <v>883</v>
      </c>
      <c r="C260" s="102" t="s">
        <v>884</v>
      </c>
      <c r="D260" s="102" t="s">
        <v>876</v>
      </c>
      <c r="E260" s="102" t="s">
        <v>877</v>
      </c>
      <c r="F260" s="102">
        <v>0</v>
      </c>
      <c r="G260" s="102">
        <v>98</v>
      </c>
      <c r="H260" s="104">
        <v>993520</v>
      </c>
      <c r="I260" s="104">
        <v>987350</v>
      </c>
      <c r="J260" s="104">
        <v>-6170</v>
      </c>
      <c r="K260" s="102">
        <v>3.93</v>
      </c>
      <c r="L260" s="102">
        <v>-0.62</v>
      </c>
      <c r="M260" s="102" t="s">
        <v>878</v>
      </c>
      <c r="N260" s="104">
        <v>993520</v>
      </c>
      <c r="O260" s="102">
        <v>0</v>
      </c>
      <c r="P260" s="102">
        <v>3.93</v>
      </c>
    </row>
    <row r="261" spans="2:16" x14ac:dyDescent="0.3">
      <c r="B261" s="102" t="s">
        <v>883</v>
      </c>
      <c r="C261" s="102" t="s">
        <v>884</v>
      </c>
      <c r="D261" s="102" t="s">
        <v>160</v>
      </c>
      <c r="E261" s="102" t="s">
        <v>161</v>
      </c>
      <c r="F261" s="102">
        <v>0</v>
      </c>
      <c r="G261" s="102">
        <v>418</v>
      </c>
      <c r="H261" s="104">
        <v>5521340</v>
      </c>
      <c r="I261" s="104">
        <v>5555220</v>
      </c>
      <c r="J261" s="104">
        <v>33880</v>
      </c>
      <c r="K261" s="102">
        <v>22.12</v>
      </c>
      <c r="L261" s="102">
        <v>0.61</v>
      </c>
      <c r="M261" s="102" t="s">
        <v>879</v>
      </c>
      <c r="N261" s="104">
        <v>5521340</v>
      </c>
      <c r="O261" s="102">
        <v>0</v>
      </c>
      <c r="P261" s="102">
        <v>22.12</v>
      </c>
    </row>
    <row r="262" spans="2:16" x14ac:dyDescent="0.3">
      <c r="B262" s="102" t="s">
        <v>883</v>
      </c>
      <c r="C262" s="102" t="s">
        <v>884</v>
      </c>
      <c r="D262" s="102" t="s">
        <v>880</v>
      </c>
      <c r="E262" s="102" t="s">
        <v>881</v>
      </c>
      <c r="F262" s="102">
        <v>0</v>
      </c>
      <c r="G262" s="102">
        <v>612</v>
      </c>
      <c r="H262" s="104">
        <v>6819720</v>
      </c>
      <c r="I262" s="104">
        <v>6885000</v>
      </c>
      <c r="J262" s="104">
        <v>65280</v>
      </c>
      <c r="K262" s="102">
        <v>27.41</v>
      </c>
      <c r="L262" s="102">
        <v>0.96</v>
      </c>
      <c r="M262" s="102" t="s">
        <v>882</v>
      </c>
      <c r="N262" s="104">
        <v>6819720</v>
      </c>
      <c r="O262" s="102">
        <v>0</v>
      </c>
      <c r="P262" s="102">
        <v>27.41</v>
      </c>
    </row>
    <row r="263" spans="2:16" x14ac:dyDescent="0.3">
      <c r="B263" s="102" t="s">
        <v>883</v>
      </c>
      <c r="C263" s="102" t="s">
        <v>884</v>
      </c>
      <c r="D263" s="102" t="s">
        <v>418</v>
      </c>
      <c r="E263" s="102" t="s">
        <v>419</v>
      </c>
      <c r="F263" s="104">
        <v>-23033575</v>
      </c>
      <c r="G263" s="104">
        <v>1966425</v>
      </c>
      <c r="H263" s="104">
        <v>1966425</v>
      </c>
      <c r="I263" s="104">
        <v>1966425</v>
      </c>
      <c r="J263" s="102">
        <v>0</v>
      </c>
      <c r="K263" s="102">
        <v>7.83</v>
      </c>
      <c r="L263" s="102">
        <v>0</v>
      </c>
      <c r="M263" s="102"/>
      <c r="N263" s="102">
        <v>0</v>
      </c>
      <c r="O263" s="102"/>
      <c r="P263" s="102"/>
    </row>
    <row r="264" spans="2:16" x14ac:dyDescent="0.3">
      <c r="B264" s="102" t="s">
        <v>883</v>
      </c>
      <c r="C264" s="102" t="s">
        <v>884</v>
      </c>
      <c r="D264" s="102" t="s">
        <v>420</v>
      </c>
      <c r="E264" s="102"/>
      <c r="F264" s="104">
        <v>-23033575</v>
      </c>
      <c r="G264" s="104">
        <v>1967976</v>
      </c>
      <c r="H264" s="104">
        <v>26593020</v>
      </c>
      <c r="I264" s="104">
        <v>26711940</v>
      </c>
      <c r="J264" s="104">
        <v>118920</v>
      </c>
      <c r="K264" s="102">
        <v>106.35</v>
      </c>
      <c r="L264" s="102">
        <v>0.45</v>
      </c>
      <c r="M264" s="102"/>
      <c r="N264" s="104">
        <v>24626595</v>
      </c>
      <c r="O264" s="102"/>
      <c r="P264" s="102"/>
    </row>
    <row r="265" spans="2:16" x14ac:dyDescent="0.3">
      <c r="B265" s="102" t="s">
        <v>885</v>
      </c>
      <c r="C265" s="102" t="s">
        <v>886</v>
      </c>
      <c r="D265" s="102" t="s">
        <v>116</v>
      </c>
      <c r="E265" s="102" t="s">
        <v>117</v>
      </c>
      <c r="F265" s="102">
        <v>0</v>
      </c>
      <c r="G265" s="102">
        <v>19</v>
      </c>
      <c r="H265" s="104">
        <v>2017830</v>
      </c>
      <c r="I265" s="104">
        <v>2012195</v>
      </c>
      <c r="J265" s="104">
        <v>-5635</v>
      </c>
      <c r="K265" s="102">
        <v>6.16</v>
      </c>
      <c r="L265" s="102">
        <v>-0.28000000000000003</v>
      </c>
      <c r="M265" s="102" t="s">
        <v>513</v>
      </c>
      <c r="N265" s="104">
        <v>2017830</v>
      </c>
      <c r="O265" s="102">
        <v>0</v>
      </c>
      <c r="P265" s="102">
        <v>6.16</v>
      </c>
    </row>
    <row r="266" spans="2:16" x14ac:dyDescent="0.3">
      <c r="B266" s="102" t="s">
        <v>885</v>
      </c>
      <c r="C266" s="102" t="s">
        <v>886</v>
      </c>
      <c r="D266" s="102" t="s">
        <v>156</v>
      </c>
      <c r="E266" s="102" t="s">
        <v>157</v>
      </c>
      <c r="F266" s="102">
        <v>0</v>
      </c>
      <c r="G266" s="102">
        <v>48</v>
      </c>
      <c r="H266" s="104">
        <v>3522570</v>
      </c>
      <c r="I266" s="104">
        <v>3564960</v>
      </c>
      <c r="J266" s="104">
        <v>42390</v>
      </c>
      <c r="K266" s="102">
        <v>10.92</v>
      </c>
      <c r="L266" s="102">
        <v>1.2</v>
      </c>
      <c r="M266" s="102" t="s">
        <v>866</v>
      </c>
      <c r="N266" s="104">
        <v>3522570</v>
      </c>
      <c r="O266" s="102">
        <v>0</v>
      </c>
      <c r="P266" s="102">
        <v>10.92</v>
      </c>
    </row>
    <row r="267" spans="2:16" x14ac:dyDescent="0.3">
      <c r="B267" s="102" t="s">
        <v>885</v>
      </c>
      <c r="C267" s="102" t="s">
        <v>886</v>
      </c>
      <c r="D267" s="102" t="s">
        <v>867</v>
      </c>
      <c r="E267" s="102" t="s">
        <v>868</v>
      </c>
      <c r="F267" s="102">
        <v>0</v>
      </c>
      <c r="G267" s="102">
        <v>118</v>
      </c>
      <c r="H267" s="104">
        <v>1189200</v>
      </c>
      <c r="I267" s="104">
        <v>1188850</v>
      </c>
      <c r="J267" s="102">
        <v>-350</v>
      </c>
      <c r="K267" s="102">
        <v>3.64</v>
      </c>
      <c r="L267" s="102">
        <v>-0.03</v>
      </c>
      <c r="M267" s="102" t="s">
        <v>869</v>
      </c>
      <c r="N267" s="104">
        <v>1189200</v>
      </c>
      <c r="O267" s="102">
        <v>0</v>
      </c>
      <c r="P267" s="102">
        <v>3.64</v>
      </c>
    </row>
    <row r="268" spans="2:16" x14ac:dyDescent="0.3">
      <c r="B268" s="102" t="s">
        <v>885</v>
      </c>
      <c r="C268" s="102" t="s">
        <v>886</v>
      </c>
      <c r="D268" s="102" t="s">
        <v>870</v>
      </c>
      <c r="E268" s="102" t="s">
        <v>871</v>
      </c>
      <c r="F268" s="102">
        <v>0</v>
      </c>
      <c r="G268" s="102">
        <v>61</v>
      </c>
      <c r="H268" s="104">
        <v>1245075</v>
      </c>
      <c r="I268" s="104">
        <v>1234640</v>
      </c>
      <c r="J268" s="104">
        <v>-10435</v>
      </c>
      <c r="K268" s="102">
        <v>3.78</v>
      </c>
      <c r="L268" s="102">
        <v>-0.84</v>
      </c>
      <c r="M268" s="102" t="s">
        <v>872</v>
      </c>
      <c r="N268" s="104">
        <v>1245075</v>
      </c>
      <c r="O268" s="102">
        <v>0</v>
      </c>
      <c r="P268" s="102">
        <v>3.78</v>
      </c>
    </row>
    <row r="269" spans="2:16" x14ac:dyDescent="0.3">
      <c r="B269" s="102" t="s">
        <v>885</v>
      </c>
      <c r="C269" s="102" t="s">
        <v>886</v>
      </c>
      <c r="D269" s="102" t="s">
        <v>230</v>
      </c>
      <c r="E269" s="102" t="s">
        <v>873</v>
      </c>
      <c r="F269" s="102">
        <v>0</v>
      </c>
      <c r="G269" s="102">
        <v>250</v>
      </c>
      <c r="H269" s="104">
        <v>4057460</v>
      </c>
      <c r="I269" s="104">
        <v>4085000</v>
      </c>
      <c r="J269" s="104">
        <v>27540</v>
      </c>
      <c r="K269" s="102">
        <v>12.51</v>
      </c>
      <c r="L269" s="102">
        <v>0.68</v>
      </c>
      <c r="M269" s="102" t="s">
        <v>874</v>
      </c>
      <c r="N269" s="104">
        <v>4057460</v>
      </c>
      <c r="O269" s="102">
        <v>0</v>
      </c>
      <c r="P269" s="102">
        <v>12.51</v>
      </c>
    </row>
    <row r="270" spans="2:16" x14ac:dyDescent="0.3">
      <c r="B270" s="102" t="s">
        <v>885</v>
      </c>
      <c r="C270" s="102" t="s">
        <v>886</v>
      </c>
      <c r="D270" s="102" t="s">
        <v>118</v>
      </c>
      <c r="E270" s="102" t="s">
        <v>119</v>
      </c>
      <c r="F270" s="102">
        <v>0</v>
      </c>
      <c r="G270" s="102">
        <v>53</v>
      </c>
      <c r="H270" s="104">
        <v>2573920</v>
      </c>
      <c r="I270" s="104">
        <v>2554335</v>
      </c>
      <c r="J270" s="104">
        <v>-19585</v>
      </c>
      <c r="K270" s="102">
        <v>7.82</v>
      </c>
      <c r="L270" s="102">
        <v>-0.76</v>
      </c>
      <c r="M270" s="102" t="s">
        <v>875</v>
      </c>
      <c r="N270" s="104">
        <v>2573920</v>
      </c>
      <c r="O270" s="102">
        <v>0</v>
      </c>
      <c r="P270" s="102">
        <v>7.82</v>
      </c>
    </row>
    <row r="271" spans="2:16" x14ac:dyDescent="0.3">
      <c r="B271" s="102" t="s">
        <v>885</v>
      </c>
      <c r="C271" s="102" t="s">
        <v>886</v>
      </c>
      <c r="D271" s="102" t="s">
        <v>876</v>
      </c>
      <c r="E271" s="102" t="s">
        <v>877</v>
      </c>
      <c r="F271" s="102">
        <v>0</v>
      </c>
      <c r="G271" s="102">
        <v>127</v>
      </c>
      <c r="H271" s="104">
        <v>1287525</v>
      </c>
      <c r="I271" s="104">
        <v>1279525</v>
      </c>
      <c r="J271" s="104">
        <v>-8000</v>
      </c>
      <c r="K271" s="102">
        <v>3.92</v>
      </c>
      <c r="L271" s="102">
        <v>-0.62</v>
      </c>
      <c r="M271" s="102" t="s">
        <v>878</v>
      </c>
      <c r="N271" s="104">
        <v>1287525</v>
      </c>
      <c r="O271" s="102">
        <v>0</v>
      </c>
      <c r="P271" s="102">
        <v>3.92</v>
      </c>
    </row>
    <row r="272" spans="2:16" x14ac:dyDescent="0.3">
      <c r="B272" s="102" t="s">
        <v>885</v>
      </c>
      <c r="C272" s="102" t="s">
        <v>886</v>
      </c>
      <c r="D272" s="102" t="s">
        <v>160</v>
      </c>
      <c r="E272" s="102" t="s">
        <v>161</v>
      </c>
      <c r="F272" s="102">
        <v>0</v>
      </c>
      <c r="G272" s="102">
        <v>543</v>
      </c>
      <c r="H272" s="104">
        <v>7172465</v>
      </c>
      <c r="I272" s="104">
        <v>7216470</v>
      </c>
      <c r="J272" s="104">
        <v>44005</v>
      </c>
      <c r="K272" s="102">
        <v>22.1</v>
      </c>
      <c r="L272" s="102">
        <v>0.61</v>
      </c>
      <c r="M272" s="102" t="s">
        <v>879</v>
      </c>
      <c r="N272" s="104">
        <v>7172465</v>
      </c>
      <c r="O272" s="102">
        <v>0</v>
      </c>
      <c r="P272" s="102">
        <v>22.1</v>
      </c>
    </row>
    <row r="273" spans="2:16" x14ac:dyDescent="0.3">
      <c r="B273" s="102" t="s">
        <v>885</v>
      </c>
      <c r="C273" s="102" t="s">
        <v>886</v>
      </c>
      <c r="D273" s="102" t="s">
        <v>880</v>
      </c>
      <c r="E273" s="102" t="s">
        <v>881</v>
      </c>
      <c r="F273" s="102">
        <v>0</v>
      </c>
      <c r="G273" s="102">
        <v>795</v>
      </c>
      <c r="H273" s="104">
        <v>8858950</v>
      </c>
      <c r="I273" s="104">
        <v>8943750</v>
      </c>
      <c r="J273" s="104">
        <v>84800</v>
      </c>
      <c r="K273" s="102">
        <v>27.39</v>
      </c>
      <c r="L273" s="102">
        <v>0.96</v>
      </c>
      <c r="M273" s="102" t="s">
        <v>882</v>
      </c>
      <c r="N273" s="104">
        <v>8858950</v>
      </c>
      <c r="O273" s="102">
        <v>0</v>
      </c>
      <c r="P273" s="102">
        <v>27.39</v>
      </c>
    </row>
    <row r="274" spans="2:16" x14ac:dyDescent="0.3">
      <c r="B274" s="102" t="s">
        <v>885</v>
      </c>
      <c r="C274" s="102" t="s">
        <v>886</v>
      </c>
      <c r="D274" s="102" t="s">
        <v>418</v>
      </c>
      <c r="E274" s="102" t="s">
        <v>419</v>
      </c>
      <c r="F274" s="104">
        <v>-29907165</v>
      </c>
      <c r="G274" s="104">
        <v>2592835</v>
      </c>
      <c r="H274" s="104">
        <v>2592835</v>
      </c>
      <c r="I274" s="104">
        <v>2592835</v>
      </c>
      <c r="J274" s="102">
        <v>0</v>
      </c>
      <c r="K274" s="102">
        <v>7.94</v>
      </c>
      <c r="L274" s="102">
        <v>0</v>
      </c>
      <c r="M274" s="102"/>
      <c r="N274" s="102">
        <v>0</v>
      </c>
      <c r="O274" s="102"/>
      <c r="P274" s="102"/>
    </row>
    <row r="275" spans="2:16" x14ac:dyDescent="0.3">
      <c r="B275" s="102" t="s">
        <v>885</v>
      </c>
      <c r="C275" s="102" t="s">
        <v>886</v>
      </c>
      <c r="D275" s="102" t="s">
        <v>420</v>
      </c>
      <c r="E275" s="102"/>
      <c r="F275" s="104">
        <v>-29907165</v>
      </c>
      <c r="G275" s="104">
        <v>2594849</v>
      </c>
      <c r="H275" s="104">
        <v>34517830</v>
      </c>
      <c r="I275" s="104">
        <v>34672560</v>
      </c>
      <c r="J275" s="104">
        <v>154730</v>
      </c>
      <c r="K275" s="102">
        <v>106.18</v>
      </c>
      <c r="L275" s="102">
        <v>0.45</v>
      </c>
      <c r="M275" s="102"/>
      <c r="N275" s="104">
        <v>31924995</v>
      </c>
      <c r="O275" s="102"/>
      <c r="P275" s="102"/>
    </row>
    <row r="276" spans="2:16" x14ac:dyDescent="0.3">
      <c r="B276" s="102" t="s">
        <v>887</v>
      </c>
      <c r="C276" s="102" t="s">
        <v>888</v>
      </c>
      <c r="D276" s="102" t="s">
        <v>116</v>
      </c>
      <c r="E276" s="102" t="s">
        <v>117</v>
      </c>
      <c r="F276" s="102">
        <v>0</v>
      </c>
      <c r="G276" s="102">
        <v>57</v>
      </c>
      <c r="H276" s="104">
        <v>6053500</v>
      </c>
      <c r="I276" s="104">
        <v>6036585</v>
      </c>
      <c r="J276" s="104">
        <v>-16915</v>
      </c>
      <c r="K276" s="102">
        <v>34.520000000000003</v>
      </c>
      <c r="L276" s="102">
        <v>-0.28000000000000003</v>
      </c>
      <c r="M276" s="102" t="s">
        <v>513</v>
      </c>
      <c r="N276" s="104">
        <v>6053500</v>
      </c>
      <c r="O276" s="102">
        <v>0</v>
      </c>
      <c r="P276" s="102">
        <v>34.520000000000003</v>
      </c>
    </row>
    <row r="277" spans="2:16" x14ac:dyDescent="0.3">
      <c r="B277" s="102" t="s">
        <v>887</v>
      </c>
      <c r="C277" s="102" t="s">
        <v>888</v>
      </c>
      <c r="D277" s="102" t="s">
        <v>156</v>
      </c>
      <c r="E277" s="102" t="s">
        <v>157</v>
      </c>
      <c r="F277" s="102">
        <v>0</v>
      </c>
      <c r="G277" s="102">
        <v>4</v>
      </c>
      <c r="H277" s="104">
        <v>293540</v>
      </c>
      <c r="I277" s="104">
        <v>297080</v>
      </c>
      <c r="J277" s="104">
        <v>3540</v>
      </c>
      <c r="K277" s="102">
        <v>1.7</v>
      </c>
      <c r="L277" s="102">
        <v>1.21</v>
      </c>
      <c r="M277" s="102" t="s">
        <v>866</v>
      </c>
      <c r="N277" s="104">
        <v>293540</v>
      </c>
      <c r="O277" s="102">
        <v>0</v>
      </c>
      <c r="P277" s="102">
        <v>1.7</v>
      </c>
    </row>
    <row r="278" spans="2:16" x14ac:dyDescent="0.3">
      <c r="B278" s="102" t="s">
        <v>887</v>
      </c>
      <c r="C278" s="102" t="s">
        <v>888</v>
      </c>
      <c r="D278" s="102" t="s">
        <v>107</v>
      </c>
      <c r="E278" s="102" t="s">
        <v>108</v>
      </c>
      <c r="F278" s="102">
        <v>0</v>
      </c>
      <c r="G278" s="102">
        <v>3</v>
      </c>
      <c r="H278" s="104">
        <v>302520</v>
      </c>
      <c r="I278" s="104">
        <v>302415</v>
      </c>
      <c r="J278" s="102">
        <v>-105</v>
      </c>
      <c r="K278" s="102">
        <v>1.73</v>
      </c>
      <c r="L278" s="102">
        <v>-0.03</v>
      </c>
      <c r="M278" s="102" t="s">
        <v>470</v>
      </c>
      <c r="N278" s="104">
        <v>302520</v>
      </c>
      <c r="O278" s="102">
        <v>0</v>
      </c>
      <c r="P278" s="102">
        <v>1.73</v>
      </c>
    </row>
    <row r="279" spans="2:16" x14ac:dyDescent="0.3">
      <c r="B279" s="102" t="s">
        <v>887</v>
      </c>
      <c r="C279" s="102" t="s">
        <v>888</v>
      </c>
      <c r="D279" s="102" t="s">
        <v>122</v>
      </c>
      <c r="E279" s="102" t="s">
        <v>471</v>
      </c>
      <c r="F279" s="102">
        <v>0</v>
      </c>
      <c r="G279" s="102">
        <v>6</v>
      </c>
      <c r="H279" s="104">
        <v>72350</v>
      </c>
      <c r="I279" s="104">
        <v>72240</v>
      </c>
      <c r="J279" s="102">
        <v>-110</v>
      </c>
      <c r="K279" s="102">
        <v>0.41</v>
      </c>
      <c r="L279" s="102">
        <v>-0.15</v>
      </c>
      <c r="M279" s="102" t="s">
        <v>472</v>
      </c>
      <c r="N279" s="104">
        <v>72350</v>
      </c>
      <c r="O279" s="102">
        <v>0</v>
      </c>
      <c r="P279" s="102">
        <v>0.41</v>
      </c>
    </row>
    <row r="280" spans="2:16" x14ac:dyDescent="0.3">
      <c r="B280" s="102" t="s">
        <v>887</v>
      </c>
      <c r="C280" s="102" t="s">
        <v>888</v>
      </c>
      <c r="D280" s="102" t="s">
        <v>867</v>
      </c>
      <c r="E280" s="102" t="s">
        <v>868</v>
      </c>
      <c r="F280" s="102">
        <v>0</v>
      </c>
      <c r="G280" s="102">
        <v>3</v>
      </c>
      <c r="H280" s="104">
        <v>30225</v>
      </c>
      <c r="I280" s="104">
        <v>30225</v>
      </c>
      <c r="J280" s="102">
        <v>0</v>
      </c>
      <c r="K280" s="102">
        <v>0.17</v>
      </c>
      <c r="L280" s="102">
        <v>0</v>
      </c>
      <c r="M280" s="102" t="s">
        <v>869</v>
      </c>
      <c r="N280" s="104">
        <v>30225</v>
      </c>
      <c r="O280" s="102">
        <v>0</v>
      </c>
      <c r="P280" s="102">
        <v>0.17</v>
      </c>
    </row>
    <row r="281" spans="2:16" x14ac:dyDescent="0.3">
      <c r="B281" s="102" t="s">
        <v>887</v>
      </c>
      <c r="C281" s="102" t="s">
        <v>888</v>
      </c>
      <c r="D281" s="102" t="s">
        <v>870</v>
      </c>
      <c r="E281" s="102" t="s">
        <v>871</v>
      </c>
      <c r="F281" s="102">
        <v>0</v>
      </c>
      <c r="G281" s="102">
        <v>1</v>
      </c>
      <c r="H281" s="104">
        <v>20405</v>
      </c>
      <c r="I281" s="104">
        <v>20240</v>
      </c>
      <c r="J281" s="102">
        <v>-165</v>
      </c>
      <c r="K281" s="102">
        <v>0.12</v>
      </c>
      <c r="L281" s="102">
        <v>-0.81</v>
      </c>
      <c r="M281" s="102" t="s">
        <v>872</v>
      </c>
      <c r="N281" s="104">
        <v>20405</v>
      </c>
      <c r="O281" s="102">
        <v>0</v>
      </c>
      <c r="P281" s="102">
        <v>0.12</v>
      </c>
    </row>
    <row r="282" spans="2:16" x14ac:dyDescent="0.3">
      <c r="B282" s="102" t="s">
        <v>887</v>
      </c>
      <c r="C282" s="102" t="s">
        <v>888</v>
      </c>
      <c r="D282" s="102" t="s">
        <v>230</v>
      </c>
      <c r="E282" s="102" t="s">
        <v>873</v>
      </c>
      <c r="F282" s="102">
        <v>0</v>
      </c>
      <c r="G282" s="102">
        <v>145</v>
      </c>
      <c r="H282" s="104">
        <v>2353325</v>
      </c>
      <c r="I282" s="104">
        <v>2369300</v>
      </c>
      <c r="J282" s="104">
        <v>15975</v>
      </c>
      <c r="K282" s="102">
        <v>13.55</v>
      </c>
      <c r="L282" s="102">
        <v>0.68</v>
      </c>
      <c r="M282" s="102" t="s">
        <v>874</v>
      </c>
      <c r="N282" s="104">
        <v>2353325</v>
      </c>
      <c r="O282" s="102">
        <v>0</v>
      </c>
      <c r="P282" s="102">
        <v>13.55</v>
      </c>
    </row>
    <row r="283" spans="2:16" x14ac:dyDescent="0.3">
      <c r="B283" s="102" t="s">
        <v>887</v>
      </c>
      <c r="C283" s="102" t="s">
        <v>888</v>
      </c>
      <c r="D283" s="102" t="s">
        <v>118</v>
      </c>
      <c r="E283" s="102" t="s">
        <v>119</v>
      </c>
      <c r="F283" s="102">
        <v>0</v>
      </c>
      <c r="G283" s="102">
        <v>65</v>
      </c>
      <c r="H283" s="104">
        <v>3156690</v>
      </c>
      <c r="I283" s="104">
        <v>3132675</v>
      </c>
      <c r="J283" s="104">
        <v>-24015</v>
      </c>
      <c r="K283" s="102">
        <v>17.91</v>
      </c>
      <c r="L283" s="102">
        <v>-0.76</v>
      </c>
      <c r="M283" s="102" t="s">
        <v>875</v>
      </c>
      <c r="N283" s="104">
        <v>3156690</v>
      </c>
      <c r="O283" s="102">
        <v>0</v>
      </c>
      <c r="P283" s="102">
        <v>17.91</v>
      </c>
    </row>
    <row r="284" spans="2:16" x14ac:dyDescent="0.3">
      <c r="B284" s="102" t="s">
        <v>887</v>
      </c>
      <c r="C284" s="102" t="s">
        <v>888</v>
      </c>
      <c r="D284" s="102" t="s">
        <v>876</v>
      </c>
      <c r="E284" s="102" t="s">
        <v>877</v>
      </c>
      <c r="F284" s="102">
        <v>0</v>
      </c>
      <c r="G284" s="102">
        <v>41</v>
      </c>
      <c r="H284" s="104">
        <v>415655</v>
      </c>
      <c r="I284" s="104">
        <v>413075</v>
      </c>
      <c r="J284" s="104">
        <v>-2580</v>
      </c>
      <c r="K284" s="102">
        <v>2.36</v>
      </c>
      <c r="L284" s="102">
        <v>-0.62</v>
      </c>
      <c r="M284" s="102" t="s">
        <v>878</v>
      </c>
      <c r="N284" s="104">
        <v>415655</v>
      </c>
      <c r="O284" s="102">
        <v>0</v>
      </c>
      <c r="P284" s="102">
        <v>2.36</v>
      </c>
    </row>
    <row r="285" spans="2:16" x14ac:dyDescent="0.3">
      <c r="B285" s="102" t="s">
        <v>887</v>
      </c>
      <c r="C285" s="102" t="s">
        <v>888</v>
      </c>
      <c r="D285" s="102" t="s">
        <v>144</v>
      </c>
      <c r="E285" s="102" t="s">
        <v>889</v>
      </c>
      <c r="F285" s="102">
        <v>0</v>
      </c>
      <c r="G285" s="102">
        <v>126</v>
      </c>
      <c r="H285" s="104">
        <v>812940</v>
      </c>
      <c r="I285" s="104">
        <v>792540</v>
      </c>
      <c r="J285" s="104">
        <v>-20400</v>
      </c>
      <c r="K285" s="102">
        <v>4.53</v>
      </c>
      <c r="L285" s="102">
        <v>-2.5099999999999998</v>
      </c>
      <c r="M285" s="102" t="s">
        <v>890</v>
      </c>
      <c r="N285" s="104">
        <v>812940</v>
      </c>
      <c r="O285" s="102">
        <v>0</v>
      </c>
      <c r="P285" s="102">
        <v>4.53</v>
      </c>
    </row>
    <row r="286" spans="2:16" x14ac:dyDescent="0.3">
      <c r="B286" s="102" t="s">
        <v>887</v>
      </c>
      <c r="C286" s="102" t="s">
        <v>888</v>
      </c>
      <c r="D286" s="102" t="s">
        <v>160</v>
      </c>
      <c r="E286" s="102" t="s">
        <v>161</v>
      </c>
      <c r="F286" s="102">
        <v>0</v>
      </c>
      <c r="G286" s="102">
        <v>74</v>
      </c>
      <c r="H286" s="104">
        <v>977460</v>
      </c>
      <c r="I286" s="104">
        <v>983460</v>
      </c>
      <c r="J286" s="104">
        <v>6000</v>
      </c>
      <c r="K286" s="102">
        <v>5.62</v>
      </c>
      <c r="L286" s="102">
        <v>0.61</v>
      </c>
      <c r="M286" s="102" t="s">
        <v>879</v>
      </c>
      <c r="N286" s="104">
        <v>977460</v>
      </c>
      <c r="O286" s="102">
        <v>0</v>
      </c>
      <c r="P286" s="102">
        <v>5.62</v>
      </c>
    </row>
    <row r="287" spans="2:16" x14ac:dyDescent="0.3">
      <c r="B287" s="102" t="s">
        <v>887</v>
      </c>
      <c r="C287" s="102" t="s">
        <v>888</v>
      </c>
      <c r="D287" s="102" t="s">
        <v>880</v>
      </c>
      <c r="E287" s="102" t="s">
        <v>881</v>
      </c>
      <c r="F287" s="102">
        <v>0</v>
      </c>
      <c r="G287" s="102">
        <v>237</v>
      </c>
      <c r="H287" s="104">
        <v>2640970</v>
      </c>
      <c r="I287" s="104">
        <v>2666250</v>
      </c>
      <c r="J287" s="104">
        <v>25280</v>
      </c>
      <c r="K287" s="102">
        <v>15.25</v>
      </c>
      <c r="L287" s="102">
        <v>0.96</v>
      </c>
      <c r="M287" s="102" t="s">
        <v>882</v>
      </c>
      <c r="N287" s="104">
        <v>2640970</v>
      </c>
      <c r="O287" s="102">
        <v>0</v>
      </c>
      <c r="P287" s="102">
        <v>15.25</v>
      </c>
    </row>
    <row r="288" spans="2:16" x14ac:dyDescent="0.3">
      <c r="B288" s="102" t="s">
        <v>887</v>
      </c>
      <c r="C288" s="102" t="s">
        <v>888</v>
      </c>
      <c r="D288" s="102" t="s">
        <v>418</v>
      </c>
      <c r="E288" s="102" t="s">
        <v>419</v>
      </c>
      <c r="F288" s="104">
        <v>-10773560</v>
      </c>
      <c r="G288" s="104">
        <v>6726440</v>
      </c>
      <c r="H288" s="104">
        <v>6726440</v>
      </c>
      <c r="I288" s="104">
        <v>6726440</v>
      </c>
      <c r="J288" s="102">
        <v>0</v>
      </c>
      <c r="K288" s="102">
        <v>38.47</v>
      </c>
      <c r="L288" s="102">
        <v>0</v>
      </c>
      <c r="M288" s="102"/>
      <c r="N288" s="102">
        <v>0</v>
      </c>
      <c r="O288" s="102"/>
      <c r="P288" s="102"/>
    </row>
    <row r="289" spans="2:16" x14ac:dyDescent="0.3">
      <c r="B289" s="102" t="s">
        <v>887</v>
      </c>
      <c r="C289" s="102" t="s">
        <v>888</v>
      </c>
      <c r="D289" s="102" t="s">
        <v>420</v>
      </c>
      <c r="E289" s="102"/>
      <c r="F289" s="104">
        <v>-10773560</v>
      </c>
      <c r="G289" s="104">
        <v>6727202</v>
      </c>
      <c r="H289" s="104">
        <v>23856020</v>
      </c>
      <c r="I289" s="104">
        <v>23842525</v>
      </c>
      <c r="J289" s="104">
        <v>-13495</v>
      </c>
      <c r="K289" s="102">
        <v>136.34</v>
      </c>
      <c r="L289" s="102">
        <v>-0.06</v>
      </c>
      <c r="M289" s="102"/>
      <c r="N289" s="104">
        <v>17129580</v>
      </c>
      <c r="O289" s="102"/>
      <c r="P289" s="102"/>
    </row>
    <row r="290" spans="2:16" x14ac:dyDescent="0.3">
      <c r="B290" s="102" t="s">
        <v>891</v>
      </c>
      <c r="C290" s="102" t="s">
        <v>892</v>
      </c>
      <c r="D290" s="102" t="s">
        <v>116</v>
      </c>
      <c r="E290" s="102" t="s">
        <v>117</v>
      </c>
      <c r="F290" s="102">
        <v>0</v>
      </c>
      <c r="G290" s="102">
        <v>82</v>
      </c>
      <c r="H290" s="104">
        <v>8708550</v>
      </c>
      <c r="I290" s="104">
        <v>8684210</v>
      </c>
      <c r="J290" s="104">
        <v>-24340</v>
      </c>
      <c r="K290" s="102">
        <v>34.76</v>
      </c>
      <c r="L290" s="102">
        <v>-0.28000000000000003</v>
      </c>
      <c r="M290" s="102" t="s">
        <v>513</v>
      </c>
      <c r="N290" s="104">
        <v>8708550</v>
      </c>
      <c r="O290" s="102">
        <v>0</v>
      </c>
      <c r="P290" s="102">
        <v>34.76</v>
      </c>
    </row>
    <row r="291" spans="2:16" x14ac:dyDescent="0.3">
      <c r="B291" s="102" t="s">
        <v>891</v>
      </c>
      <c r="C291" s="102" t="s">
        <v>892</v>
      </c>
      <c r="D291" s="102" t="s">
        <v>156</v>
      </c>
      <c r="E291" s="102" t="s">
        <v>157</v>
      </c>
      <c r="F291" s="102">
        <v>0</v>
      </c>
      <c r="G291" s="102">
        <v>6</v>
      </c>
      <c r="H291" s="104">
        <v>440320</v>
      </c>
      <c r="I291" s="104">
        <v>445620</v>
      </c>
      <c r="J291" s="104">
        <v>5300</v>
      </c>
      <c r="K291" s="102">
        <v>1.78</v>
      </c>
      <c r="L291" s="102">
        <v>1.2</v>
      </c>
      <c r="M291" s="102" t="s">
        <v>866</v>
      </c>
      <c r="N291" s="104">
        <v>440320</v>
      </c>
      <c r="O291" s="102">
        <v>0</v>
      </c>
      <c r="P291" s="102">
        <v>1.78</v>
      </c>
    </row>
    <row r="292" spans="2:16" x14ac:dyDescent="0.3">
      <c r="B292" s="102" t="s">
        <v>891</v>
      </c>
      <c r="C292" s="102" t="s">
        <v>892</v>
      </c>
      <c r="D292" s="102" t="s">
        <v>107</v>
      </c>
      <c r="E292" s="102" t="s">
        <v>108</v>
      </c>
      <c r="F292" s="102">
        <v>0</v>
      </c>
      <c r="G292" s="102">
        <v>5</v>
      </c>
      <c r="H292" s="104">
        <v>504200</v>
      </c>
      <c r="I292" s="104">
        <v>504025</v>
      </c>
      <c r="J292" s="102">
        <v>-175</v>
      </c>
      <c r="K292" s="102">
        <v>2.02</v>
      </c>
      <c r="L292" s="102">
        <v>-0.03</v>
      </c>
      <c r="M292" s="102" t="s">
        <v>470</v>
      </c>
      <c r="N292" s="104">
        <v>504200</v>
      </c>
      <c r="O292" s="102">
        <v>0</v>
      </c>
      <c r="P292" s="102">
        <v>2.02</v>
      </c>
    </row>
    <row r="293" spans="2:16" x14ac:dyDescent="0.3">
      <c r="B293" s="102" t="s">
        <v>891</v>
      </c>
      <c r="C293" s="102" t="s">
        <v>892</v>
      </c>
      <c r="D293" s="102" t="s">
        <v>122</v>
      </c>
      <c r="E293" s="102" t="s">
        <v>471</v>
      </c>
      <c r="F293" s="102">
        <v>0</v>
      </c>
      <c r="G293" s="102">
        <v>9</v>
      </c>
      <c r="H293" s="104">
        <v>108525</v>
      </c>
      <c r="I293" s="104">
        <v>108360</v>
      </c>
      <c r="J293" s="102">
        <v>-165</v>
      </c>
      <c r="K293" s="102">
        <v>0.43</v>
      </c>
      <c r="L293" s="102">
        <v>-0.15</v>
      </c>
      <c r="M293" s="102" t="s">
        <v>472</v>
      </c>
      <c r="N293" s="104">
        <v>108525</v>
      </c>
      <c r="O293" s="102">
        <v>0</v>
      </c>
      <c r="P293" s="102">
        <v>0.43</v>
      </c>
    </row>
    <row r="294" spans="2:16" x14ac:dyDescent="0.3">
      <c r="B294" s="102" t="s">
        <v>891</v>
      </c>
      <c r="C294" s="102" t="s">
        <v>892</v>
      </c>
      <c r="D294" s="102" t="s">
        <v>867</v>
      </c>
      <c r="E294" s="102" t="s">
        <v>868</v>
      </c>
      <c r="F294" s="102">
        <v>0</v>
      </c>
      <c r="G294" s="102">
        <v>4</v>
      </c>
      <c r="H294" s="104">
        <v>40310</v>
      </c>
      <c r="I294" s="104">
        <v>40300</v>
      </c>
      <c r="J294" s="102">
        <v>-10</v>
      </c>
      <c r="K294" s="102">
        <v>0.16</v>
      </c>
      <c r="L294" s="102">
        <v>-0.02</v>
      </c>
      <c r="M294" s="102" t="s">
        <v>869</v>
      </c>
      <c r="N294" s="104">
        <v>40310</v>
      </c>
      <c r="O294" s="102">
        <v>0</v>
      </c>
      <c r="P294" s="102">
        <v>0.16</v>
      </c>
    </row>
    <row r="295" spans="2:16" x14ac:dyDescent="0.3">
      <c r="B295" s="102" t="s">
        <v>891</v>
      </c>
      <c r="C295" s="102" t="s">
        <v>892</v>
      </c>
      <c r="D295" s="102" t="s">
        <v>870</v>
      </c>
      <c r="E295" s="102" t="s">
        <v>871</v>
      </c>
      <c r="F295" s="102">
        <v>0</v>
      </c>
      <c r="G295" s="102">
        <v>2</v>
      </c>
      <c r="H295" s="104">
        <v>40820</v>
      </c>
      <c r="I295" s="104">
        <v>40480</v>
      </c>
      <c r="J295" s="102">
        <v>-340</v>
      </c>
      <c r="K295" s="102">
        <v>0.16</v>
      </c>
      <c r="L295" s="102">
        <v>-0.83</v>
      </c>
      <c r="M295" s="102" t="s">
        <v>872</v>
      </c>
      <c r="N295" s="104">
        <v>40820</v>
      </c>
      <c r="O295" s="102">
        <v>0</v>
      </c>
      <c r="P295" s="102">
        <v>0.16</v>
      </c>
    </row>
    <row r="296" spans="2:16" x14ac:dyDescent="0.3">
      <c r="B296" s="102" t="s">
        <v>891</v>
      </c>
      <c r="C296" s="102" t="s">
        <v>892</v>
      </c>
      <c r="D296" s="102" t="s">
        <v>230</v>
      </c>
      <c r="E296" s="102" t="s">
        <v>873</v>
      </c>
      <c r="F296" s="102">
        <v>0</v>
      </c>
      <c r="G296" s="102">
        <v>207</v>
      </c>
      <c r="H296" s="104">
        <v>3359575</v>
      </c>
      <c r="I296" s="104">
        <v>3382380</v>
      </c>
      <c r="J296" s="104">
        <v>22805</v>
      </c>
      <c r="K296" s="102">
        <v>13.54</v>
      </c>
      <c r="L296" s="102">
        <v>0.68</v>
      </c>
      <c r="M296" s="102" t="s">
        <v>874</v>
      </c>
      <c r="N296" s="104">
        <v>3359575</v>
      </c>
      <c r="O296" s="102">
        <v>0</v>
      </c>
      <c r="P296" s="102">
        <v>13.54</v>
      </c>
    </row>
    <row r="297" spans="2:16" x14ac:dyDescent="0.3">
      <c r="B297" s="102" t="s">
        <v>891</v>
      </c>
      <c r="C297" s="102" t="s">
        <v>892</v>
      </c>
      <c r="D297" s="102" t="s">
        <v>118</v>
      </c>
      <c r="E297" s="102" t="s">
        <v>119</v>
      </c>
      <c r="F297" s="102">
        <v>0</v>
      </c>
      <c r="G297" s="102">
        <v>94</v>
      </c>
      <c r="H297" s="104">
        <v>4565060</v>
      </c>
      <c r="I297" s="104">
        <v>4530330</v>
      </c>
      <c r="J297" s="104">
        <v>-34730</v>
      </c>
      <c r="K297" s="102">
        <v>18.14</v>
      </c>
      <c r="L297" s="102">
        <v>-0.76</v>
      </c>
      <c r="M297" s="102" t="s">
        <v>875</v>
      </c>
      <c r="N297" s="104">
        <v>4565060</v>
      </c>
      <c r="O297" s="102">
        <v>0</v>
      </c>
      <c r="P297" s="102">
        <v>18.14</v>
      </c>
    </row>
    <row r="298" spans="2:16" x14ac:dyDescent="0.3">
      <c r="B298" s="102" t="s">
        <v>891</v>
      </c>
      <c r="C298" s="102" t="s">
        <v>892</v>
      </c>
      <c r="D298" s="102" t="s">
        <v>876</v>
      </c>
      <c r="E298" s="102" t="s">
        <v>877</v>
      </c>
      <c r="F298" s="102">
        <v>0</v>
      </c>
      <c r="G298" s="102">
        <v>59</v>
      </c>
      <c r="H298" s="104">
        <v>598135</v>
      </c>
      <c r="I298" s="104">
        <v>594425</v>
      </c>
      <c r="J298" s="104">
        <v>-3710</v>
      </c>
      <c r="K298" s="102">
        <v>2.38</v>
      </c>
      <c r="L298" s="102">
        <v>-0.62</v>
      </c>
      <c r="M298" s="102" t="s">
        <v>878</v>
      </c>
      <c r="N298" s="104">
        <v>598135</v>
      </c>
      <c r="O298" s="102">
        <v>0</v>
      </c>
      <c r="P298" s="102">
        <v>2.38</v>
      </c>
    </row>
    <row r="299" spans="2:16" x14ac:dyDescent="0.3">
      <c r="B299" s="102" t="s">
        <v>891</v>
      </c>
      <c r="C299" s="102" t="s">
        <v>892</v>
      </c>
      <c r="D299" s="102" t="s">
        <v>144</v>
      </c>
      <c r="E299" s="102" t="s">
        <v>889</v>
      </c>
      <c r="F299" s="102">
        <v>0</v>
      </c>
      <c r="G299" s="102">
        <v>180</v>
      </c>
      <c r="H299" s="104">
        <v>1161340</v>
      </c>
      <c r="I299" s="104">
        <v>1132200</v>
      </c>
      <c r="J299" s="104">
        <v>-29140</v>
      </c>
      <c r="K299" s="102">
        <v>4.53</v>
      </c>
      <c r="L299" s="102">
        <v>-2.5099999999999998</v>
      </c>
      <c r="M299" s="102" t="s">
        <v>890</v>
      </c>
      <c r="N299" s="104">
        <v>1161340</v>
      </c>
      <c r="O299" s="102">
        <v>0</v>
      </c>
      <c r="P299" s="102">
        <v>4.53</v>
      </c>
    </row>
    <row r="300" spans="2:16" x14ac:dyDescent="0.3">
      <c r="B300" s="102" t="s">
        <v>891</v>
      </c>
      <c r="C300" s="102" t="s">
        <v>892</v>
      </c>
      <c r="D300" s="102" t="s">
        <v>160</v>
      </c>
      <c r="E300" s="102" t="s">
        <v>161</v>
      </c>
      <c r="F300" s="102">
        <v>0</v>
      </c>
      <c r="G300" s="102">
        <v>106</v>
      </c>
      <c r="H300" s="104">
        <v>1400140</v>
      </c>
      <c r="I300" s="104">
        <v>1408740</v>
      </c>
      <c r="J300" s="104">
        <v>8600</v>
      </c>
      <c r="K300" s="102">
        <v>5.64</v>
      </c>
      <c r="L300" s="102">
        <v>0.61</v>
      </c>
      <c r="M300" s="102" t="s">
        <v>879</v>
      </c>
      <c r="N300" s="104">
        <v>1400140</v>
      </c>
      <c r="O300" s="102">
        <v>0</v>
      </c>
      <c r="P300" s="102">
        <v>5.64</v>
      </c>
    </row>
    <row r="301" spans="2:16" x14ac:dyDescent="0.3">
      <c r="B301" s="102" t="s">
        <v>891</v>
      </c>
      <c r="C301" s="102" t="s">
        <v>892</v>
      </c>
      <c r="D301" s="102" t="s">
        <v>880</v>
      </c>
      <c r="E301" s="102" t="s">
        <v>881</v>
      </c>
      <c r="F301" s="102">
        <v>0</v>
      </c>
      <c r="G301" s="102">
        <v>339</v>
      </c>
      <c r="H301" s="104">
        <v>3777590</v>
      </c>
      <c r="I301" s="104">
        <v>3813750</v>
      </c>
      <c r="J301" s="104">
        <v>36160</v>
      </c>
      <c r="K301" s="102">
        <v>15.27</v>
      </c>
      <c r="L301" s="102">
        <v>0.96</v>
      </c>
      <c r="M301" s="102" t="s">
        <v>882</v>
      </c>
      <c r="N301" s="104">
        <v>3777590</v>
      </c>
      <c r="O301" s="102">
        <v>0</v>
      </c>
      <c r="P301" s="102">
        <v>15.27</v>
      </c>
    </row>
    <row r="302" spans="2:16" x14ac:dyDescent="0.3">
      <c r="B302" s="102" t="s">
        <v>891</v>
      </c>
      <c r="C302" s="102" t="s">
        <v>892</v>
      </c>
      <c r="D302" s="102" t="s">
        <v>418</v>
      </c>
      <c r="E302" s="102" t="s">
        <v>419</v>
      </c>
      <c r="F302" s="104">
        <v>-15491815</v>
      </c>
      <c r="G302" s="104">
        <v>9508185</v>
      </c>
      <c r="H302" s="104">
        <v>9508185</v>
      </c>
      <c r="I302" s="104">
        <v>9508185</v>
      </c>
      <c r="J302" s="102">
        <v>0</v>
      </c>
      <c r="K302" s="102">
        <v>38.06</v>
      </c>
      <c r="L302" s="102">
        <v>0</v>
      </c>
      <c r="M302" s="102"/>
      <c r="N302" s="102">
        <v>0</v>
      </c>
      <c r="O302" s="102"/>
      <c r="P302" s="102"/>
    </row>
    <row r="303" spans="2:16" x14ac:dyDescent="0.3">
      <c r="B303" s="102" t="s">
        <v>891</v>
      </c>
      <c r="C303" s="102" t="s">
        <v>892</v>
      </c>
      <c r="D303" s="102" t="s">
        <v>420</v>
      </c>
      <c r="E303" s="102"/>
      <c r="F303" s="104">
        <v>-15491815</v>
      </c>
      <c r="G303" s="104">
        <v>9509278</v>
      </c>
      <c r="H303" s="104">
        <v>34212750</v>
      </c>
      <c r="I303" s="104">
        <v>34193005</v>
      </c>
      <c r="J303" s="104">
        <v>-19745</v>
      </c>
      <c r="K303" s="102">
        <v>136.87</v>
      </c>
      <c r="L303" s="102">
        <v>-0.06</v>
      </c>
      <c r="M303" s="102"/>
      <c r="N303" s="104">
        <v>24704565</v>
      </c>
      <c r="O303" s="102"/>
      <c r="P303" s="102"/>
    </row>
    <row r="304" spans="2:16" x14ac:dyDescent="0.3">
      <c r="B304" s="102" t="s">
        <v>893</v>
      </c>
      <c r="C304" s="102" t="s">
        <v>894</v>
      </c>
      <c r="D304" s="102" t="s">
        <v>116</v>
      </c>
      <c r="E304" s="102" t="s">
        <v>117</v>
      </c>
      <c r="F304" s="102">
        <v>0</v>
      </c>
      <c r="G304" s="102">
        <v>106</v>
      </c>
      <c r="H304" s="104">
        <v>11257390</v>
      </c>
      <c r="I304" s="104">
        <v>11225930</v>
      </c>
      <c r="J304" s="104">
        <v>-31460</v>
      </c>
      <c r="K304" s="102">
        <v>34.57</v>
      </c>
      <c r="L304" s="102">
        <v>-0.28000000000000003</v>
      </c>
      <c r="M304" s="102" t="s">
        <v>513</v>
      </c>
      <c r="N304" s="104">
        <v>11257390</v>
      </c>
      <c r="O304" s="102">
        <v>0</v>
      </c>
      <c r="P304" s="102">
        <v>34.57</v>
      </c>
    </row>
    <row r="305" spans="2:16" x14ac:dyDescent="0.3">
      <c r="B305" s="102" t="s">
        <v>893</v>
      </c>
      <c r="C305" s="102" t="s">
        <v>894</v>
      </c>
      <c r="D305" s="102" t="s">
        <v>156</v>
      </c>
      <c r="E305" s="102" t="s">
        <v>157</v>
      </c>
      <c r="F305" s="102">
        <v>0</v>
      </c>
      <c r="G305" s="102">
        <v>8</v>
      </c>
      <c r="H305" s="104">
        <v>587090</v>
      </c>
      <c r="I305" s="104">
        <v>594160</v>
      </c>
      <c r="J305" s="104">
        <v>7070</v>
      </c>
      <c r="K305" s="102">
        <v>1.83</v>
      </c>
      <c r="L305" s="102">
        <v>1.2</v>
      </c>
      <c r="M305" s="102" t="s">
        <v>866</v>
      </c>
      <c r="N305" s="104">
        <v>587090</v>
      </c>
      <c r="O305" s="102">
        <v>0</v>
      </c>
      <c r="P305" s="102">
        <v>1.83</v>
      </c>
    </row>
    <row r="306" spans="2:16" x14ac:dyDescent="0.3">
      <c r="B306" s="102" t="s">
        <v>893</v>
      </c>
      <c r="C306" s="102" t="s">
        <v>894</v>
      </c>
      <c r="D306" s="102" t="s">
        <v>107</v>
      </c>
      <c r="E306" s="102" t="s">
        <v>108</v>
      </c>
      <c r="F306" s="102">
        <v>0</v>
      </c>
      <c r="G306" s="102">
        <v>6</v>
      </c>
      <c r="H306" s="104">
        <v>605040</v>
      </c>
      <c r="I306" s="104">
        <v>604830</v>
      </c>
      <c r="J306" s="102">
        <v>-210</v>
      </c>
      <c r="K306" s="102">
        <v>1.86</v>
      </c>
      <c r="L306" s="102">
        <v>-0.03</v>
      </c>
      <c r="M306" s="102" t="s">
        <v>470</v>
      </c>
      <c r="N306" s="104">
        <v>605040</v>
      </c>
      <c r="O306" s="102">
        <v>0</v>
      </c>
      <c r="P306" s="102">
        <v>1.86</v>
      </c>
    </row>
    <row r="307" spans="2:16" x14ac:dyDescent="0.3">
      <c r="B307" s="102" t="s">
        <v>893</v>
      </c>
      <c r="C307" s="102" t="s">
        <v>894</v>
      </c>
      <c r="D307" s="102" t="s">
        <v>122</v>
      </c>
      <c r="E307" s="102" t="s">
        <v>471</v>
      </c>
      <c r="F307" s="102">
        <v>0</v>
      </c>
      <c r="G307" s="102">
        <v>12</v>
      </c>
      <c r="H307" s="104">
        <v>144700</v>
      </c>
      <c r="I307" s="104">
        <v>144480</v>
      </c>
      <c r="J307" s="102">
        <v>-220</v>
      </c>
      <c r="K307" s="102">
        <v>0.44</v>
      </c>
      <c r="L307" s="102">
        <v>-0.15</v>
      </c>
      <c r="M307" s="102" t="s">
        <v>472</v>
      </c>
      <c r="N307" s="104">
        <v>144700</v>
      </c>
      <c r="O307" s="102">
        <v>0</v>
      </c>
      <c r="P307" s="102">
        <v>0.44</v>
      </c>
    </row>
    <row r="308" spans="2:16" x14ac:dyDescent="0.3">
      <c r="B308" s="102" t="s">
        <v>893</v>
      </c>
      <c r="C308" s="102" t="s">
        <v>894</v>
      </c>
      <c r="D308" s="102" t="s">
        <v>867</v>
      </c>
      <c r="E308" s="102" t="s">
        <v>868</v>
      </c>
      <c r="F308" s="102">
        <v>0</v>
      </c>
      <c r="G308" s="102">
        <v>6</v>
      </c>
      <c r="H308" s="104">
        <v>60460</v>
      </c>
      <c r="I308" s="104">
        <v>60450</v>
      </c>
      <c r="J308" s="102">
        <v>-10</v>
      </c>
      <c r="K308" s="102">
        <v>0.19</v>
      </c>
      <c r="L308" s="102">
        <v>-0.02</v>
      </c>
      <c r="M308" s="102" t="s">
        <v>869</v>
      </c>
      <c r="N308" s="104">
        <v>60460</v>
      </c>
      <c r="O308" s="102">
        <v>0</v>
      </c>
      <c r="P308" s="102">
        <v>0.19</v>
      </c>
    </row>
    <row r="309" spans="2:16" x14ac:dyDescent="0.3">
      <c r="B309" s="102" t="s">
        <v>893</v>
      </c>
      <c r="C309" s="102" t="s">
        <v>894</v>
      </c>
      <c r="D309" s="102" t="s">
        <v>870</v>
      </c>
      <c r="E309" s="102" t="s">
        <v>871</v>
      </c>
      <c r="F309" s="102">
        <v>0</v>
      </c>
      <c r="G309" s="102">
        <v>3</v>
      </c>
      <c r="H309" s="104">
        <v>61225</v>
      </c>
      <c r="I309" s="104">
        <v>60720</v>
      </c>
      <c r="J309" s="102">
        <v>-505</v>
      </c>
      <c r="K309" s="102">
        <v>0.19</v>
      </c>
      <c r="L309" s="102">
        <v>-0.82</v>
      </c>
      <c r="M309" s="102" t="s">
        <v>872</v>
      </c>
      <c r="N309" s="104">
        <v>61225</v>
      </c>
      <c r="O309" s="102">
        <v>0</v>
      </c>
      <c r="P309" s="102">
        <v>0.19</v>
      </c>
    </row>
    <row r="310" spans="2:16" x14ac:dyDescent="0.3">
      <c r="B310" s="102" t="s">
        <v>893</v>
      </c>
      <c r="C310" s="102" t="s">
        <v>894</v>
      </c>
      <c r="D310" s="102" t="s">
        <v>230</v>
      </c>
      <c r="E310" s="102" t="s">
        <v>873</v>
      </c>
      <c r="F310" s="102">
        <v>0</v>
      </c>
      <c r="G310" s="102">
        <v>270</v>
      </c>
      <c r="H310" s="104">
        <v>4382060</v>
      </c>
      <c r="I310" s="104">
        <v>4411800</v>
      </c>
      <c r="J310" s="104">
        <v>29740</v>
      </c>
      <c r="K310" s="102">
        <v>13.59</v>
      </c>
      <c r="L310" s="102">
        <v>0.68</v>
      </c>
      <c r="M310" s="102" t="s">
        <v>874</v>
      </c>
      <c r="N310" s="104">
        <v>4382060</v>
      </c>
      <c r="O310" s="102">
        <v>0</v>
      </c>
      <c r="P310" s="102">
        <v>13.59</v>
      </c>
    </row>
    <row r="311" spans="2:16" x14ac:dyDescent="0.3">
      <c r="B311" s="102" t="s">
        <v>893</v>
      </c>
      <c r="C311" s="102" t="s">
        <v>894</v>
      </c>
      <c r="D311" s="102" t="s">
        <v>118</v>
      </c>
      <c r="E311" s="102" t="s">
        <v>119</v>
      </c>
      <c r="F311" s="102">
        <v>0</v>
      </c>
      <c r="G311" s="102">
        <v>122</v>
      </c>
      <c r="H311" s="104">
        <v>5924870</v>
      </c>
      <c r="I311" s="104">
        <v>5879790</v>
      </c>
      <c r="J311" s="104">
        <v>-45080</v>
      </c>
      <c r="K311" s="102">
        <v>18.11</v>
      </c>
      <c r="L311" s="102">
        <v>-0.76</v>
      </c>
      <c r="M311" s="102" t="s">
        <v>875</v>
      </c>
      <c r="N311" s="104">
        <v>5924870</v>
      </c>
      <c r="O311" s="102">
        <v>0</v>
      </c>
      <c r="P311" s="102">
        <v>18.11</v>
      </c>
    </row>
    <row r="312" spans="2:16" x14ac:dyDescent="0.3">
      <c r="B312" s="102" t="s">
        <v>893</v>
      </c>
      <c r="C312" s="102" t="s">
        <v>894</v>
      </c>
      <c r="D312" s="102" t="s">
        <v>876</v>
      </c>
      <c r="E312" s="102" t="s">
        <v>877</v>
      </c>
      <c r="F312" s="102">
        <v>0</v>
      </c>
      <c r="G312" s="102">
        <v>77</v>
      </c>
      <c r="H312" s="104">
        <v>780625</v>
      </c>
      <c r="I312" s="104">
        <v>775775</v>
      </c>
      <c r="J312" s="104">
        <v>-4850</v>
      </c>
      <c r="K312" s="102">
        <v>2.39</v>
      </c>
      <c r="L312" s="102">
        <v>-0.62</v>
      </c>
      <c r="M312" s="102" t="s">
        <v>878</v>
      </c>
      <c r="N312" s="104">
        <v>780625</v>
      </c>
      <c r="O312" s="102">
        <v>0</v>
      </c>
      <c r="P312" s="102">
        <v>2.39</v>
      </c>
    </row>
    <row r="313" spans="2:16" x14ac:dyDescent="0.3">
      <c r="B313" s="102" t="s">
        <v>893</v>
      </c>
      <c r="C313" s="102" t="s">
        <v>894</v>
      </c>
      <c r="D313" s="102" t="s">
        <v>144</v>
      </c>
      <c r="E313" s="102" t="s">
        <v>889</v>
      </c>
      <c r="F313" s="102">
        <v>0</v>
      </c>
      <c r="G313" s="102">
        <v>234</v>
      </c>
      <c r="H313" s="104">
        <v>1509750</v>
      </c>
      <c r="I313" s="104">
        <v>1471860</v>
      </c>
      <c r="J313" s="104">
        <v>-37890</v>
      </c>
      <c r="K313" s="102">
        <v>4.53</v>
      </c>
      <c r="L313" s="102">
        <v>-2.5099999999999998</v>
      </c>
      <c r="M313" s="102" t="s">
        <v>890</v>
      </c>
      <c r="N313" s="104">
        <v>1509750</v>
      </c>
      <c r="O313" s="102">
        <v>0</v>
      </c>
      <c r="P313" s="102">
        <v>4.53</v>
      </c>
    </row>
    <row r="314" spans="2:16" x14ac:dyDescent="0.3">
      <c r="B314" s="102" t="s">
        <v>893</v>
      </c>
      <c r="C314" s="102" t="s">
        <v>894</v>
      </c>
      <c r="D314" s="102" t="s">
        <v>160</v>
      </c>
      <c r="E314" s="102" t="s">
        <v>161</v>
      </c>
      <c r="F314" s="102">
        <v>0</v>
      </c>
      <c r="G314" s="102">
        <v>138</v>
      </c>
      <c r="H314" s="104">
        <v>1822830</v>
      </c>
      <c r="I314" s="104">
        <v>1834020</v>
      </c>
      <c r="J314" s="104">
        <v>11190</v>
      </c>
      <c r="K314" s="102">
        <v>5.65</v>
      </c>
      <c r="L314" s="102">
        <v>0.61</v>
      </c>
      <c r="M314" s="102" t="s">
        <v>879</v>
      </c>
      <c r="N314" s="104">
        <v>1822830</v>
      </c>
      <c r="O314" s="102">
        <v>0</v>
      </c>
      <c r="P314" s="102">
        <v>5.65</v>
      </c>
    </row>
    <row r="315" spans="2:16" x14ac:dyDescent="0.3">
      <c r="B315" s="102" t="s">
        <v>893</v>
      </c>
      <c r="C315" s="102" t="s">
        <v>894</v>
      </c>
      <c r="D315" s="102" t="s">
        <v>880</v>
      </c>
      <c r="E315" s="102" t="s">
        <v>881</v>
      </c>
      <c r="F315" s="102">
        <v>0</v>
      </c>
      <c r="G315" s="102">
        <v>441</v>
      </c>
      <c r="H315" s="104">
        <v>4914210</v>
      </c>
      <c r="I315" s="104">
        <v>4961250</v>
      </c>
      <c r="J315" s="104">
        <v>47040</v>
      </c>
      <c r="K315" s="102">
        <v>15.28</v>
      </c>
      <c r="L315" s="102">
        <v>0.96</v>
      </c>
      <c r="M315" s="102" t="s">
        <v>882</v>
      </c>
      <c r="N315" s="104">
        <v>4914210</v>
      </c>
      <c r="O315" s="102">
        <v>0</v>
      </c>
      <c r="P315" s="102">
        <v>15.28</v>
      </c>
    </row>
    <row r="316" spans="2:16" x14ac:dyDescent="0.3">
      <c r="B316" s="102" t="s">
        <v>893</v>
      </c>
      <c r="C316" s="102" t="s">
        <v>894</v>
      </c>
      <c r="D316" s="102" t="s">
        <v>418</v>
      </c>
      <c r="E316" s="102" t="s">
        <v>419</v>
      </c>
      <c r="F316" s="104">
        <v>-20187820</v>
      </c>
      <c r="G316" s="104">
        <v>12312180</v>
      </c>
      <c r="H316" s="104">
        <v>12312180</v>
      </c>
      <c r="I316" s="104">
        <v>12312180</v>
      </c>
      <c r="J316" s="102">
        <v>0</v>
      </c>
      <c r="K316" s="102">
        <v>37.909999999999997</v>
      </c>
      <c r="L316" s="102">
        <v>0</v>
      </c>
      <c r="M316" s="102"/>
      <c r="N316" s="102">
        <v>0</v>
      </c>
      <c r="O316" s="102"/>
      <c r="P316" s="102"/>
    </row>
    <row r="317" spans="2:16" x14ac:dyDescent="0.3">
      <c r="B317" s="102" t="s">
        <v>893</v>
      </c>
      <c r="C317" s="102" t="s">
        <v>894</v>
      </c>
      <c r="D317" s="102" t="s">
        <v>420</v>
      </c>
      <c r="E317" s="102"/>
      <c r="F317" s="104">
        <v>-20187820</v>
      </c>
      <c r="G317" s="104">
        <v>12313603</v>
      </c>
      <c r="H317" s="104">
        <v>44362430</v>
      </c>
      <c r="I317" s="104">
        <v>44337245</v>
      </c>
      <c r="J317" s="104">
        <v>-25185</v>
      </c>
      <c r="K317" s="102">
        <v>136.54</v>
      </c>
      <c r="L317" s="102">
        <v>-0.06</v>
      </c>
      <c r="M317" s="102"/>
      <c r="N317" s="104">
        <v>32050250</v>
      </c>
      <c r="O317" s="102"/>
      <c r="P317" s="102"/>
    </row>
    <row r="318" spans="2:16" x14ac:dyDescent="0.3">
      <c r="B318" s="102" t="s">
        <v>895</v>
      </c>
      <c r="C318" s="102" t="s">
        <v>896</v>
      </c>
      <c r="D318" s="102" t="s">
        <v>116</v>
      </c>
      <c r="E318" s="102" t="s">
        <v>117</v>
      </c>
      <c r="F318" s="102">
        <v>0</v>
      </c>
      <c r="G318" s="102">
        <v>57</v>
      </c>
      <c r="H318" s="104">
        <v>6053500</v>
      </c>
      <c r="I318" s="104">
        <v>6036585</v>
      </c>
      <c r="J318" s="104">
        <v>-16915</v>
      </c>
      <c r="K318" s="102">
        <v>34.53</v>
      </c>
      <c r="L318" s="102">
        <v>-0.28000000000000003</v>
      </c>
      <c r="M318" s="102" t="s">
        <v>513</v>
      </c>
      <c r="N318" s="104">
        <v>6053500</v>
      </c>
      <c r="O318" s="102">
        <v>0</v>
      </c>
      <c r="P318" s="102">
        <v>34.53</v>
      </c>
    </row>
    <row r="319" spans="2:16" x14ac:dyDescent="0.3">
      <c r="B319" s="102" t="s">
        <v>895</v>
      </c>
      <c r="C319" s="102" t="s">
        <v>896</v>
      </c>
      <c r="D319" s="102" t="s">
        <v>156</v>
      </c>
      <c r="E319" s="102" t="s">
        <v>157</v>
      </c>
      <c r="F319" s="102">
        <v>0</v>
      </c>
      <c r="G319" s="102">
        <v>3</v>
      </c>
      <c r="H319" s="104">
        <v>220155</v>
      </c>
      <c r="I319" s="104">
        <v>222810</v>
      </c>
      <c r="J319" s="104">
        <v>2655</v>
      </c>
      <c r="K319" s="102">
        <v>1.27</v>
      </c>
      <c r="L319" s="102">
        <v>1.21</v>
      </c>
      <c r="M319" s="102" t="s">
        <v>866</v>
      </c>
      <c r="N319" s="104">
        <v>220155</v>
      </c>
      <c r="O319" s="102">
        <v>0</v>
      </c>
      <c r="P319" s="102">
        <v>1.27</v>
      </c>
    </row>
    <row r="320" spans="2:16" x14ac:dyDescent="0.3">
      <c r="B320" s="102" t="s">
        <v>895</v>
      </c>
      <c r="C320" s="102" t="s">
        <v>896</v>
      </c>
      <c r="D320" s="102" t="s">
        <v>107</v>
      </c>
      <c r="E320" s="102" t="s">
        <v>108</v>
      </c>
      <c r="F320" s="102">
        <v>0</v>
      </c>
      <c r="G320" s="102">
        <v>32</v>
      </c>
      <c r="H320" s="104">
        <v>3226880</v>
      </c>
      <c r="I320" s="104">
        <v>3225760</v>
      </c>
      <c r="J320" s="104">
        <v>-1120</v>
      </c>
      <c r="K320" s="102">
        <v>18.45</v>
      </c>
      <c r="L320" s="102">
        <v>-0.03</v>
      </c>
      <c r="M320" s="102" t="s">
        <v>470</v>
      </c>
      <c r="N320" s="104">
        <v>3226880</v>
      </c>
      <c r="O320" s="102">
        <v>0</v>
      </c>
      <c r="P320" s="102">
        <v>18.45</v>
      </c>
    </row>
    <row r="321" spans="2:16" x14ac:dyDescent="0.3">
      <c r="B321" s="102" t="s">
        <v>895</v>
      </c>
      <c r="C321" s="102" t="s">
        <v>896</v>
      </c>
      <c r="D321" s="102" t="s">
        <v>122</v>
      </c>
      <c r="E321" s="102" t="s">
        <v>471</v>
      </c>
      <c r="F321" s="102">
        <v>0</v>
      </c>
      <c r="G321" s="102">
        <v>1</v>
      </c>
      <c r="H321" s="104">
        <v>12055</v>
      </c>
      <c r="I321" s="104">
        <v>12040</v>
      </c>
      <c r="J321" s="102">
        <v>-15</v>
      </c>
      <c r="K321" s="102">
        <v>7.0000000000000007E-2</v>
      </c>
      <c r="L321" s="102">
        <v>-0.12</v>
      </c>
      <c r="M321" s="102" t="s">
        <v>472</v>
      </c>
      <c r="N321" s="104">
        <v>12055</v>
      </c>
      <c r="O321" s="102">
        <v>0</v>
      </c>
      <c r="P321" s="102">
        <v>7.0000000000000007E-2</v>
      </c>
    </row>
    <row r="322" spans="2:16" x14ac:dyDescent="0.3">
      <c r="B322" s="102" t="s">
        <v>895</v>
      </c>
      <c r="C322" s="102" t="s">
        <v>896</v>
      </c>
      <c r="D322" s="102" t="s">
        <v>230</v>
      </c>
      <c r="E322" s="102" t="s">
        <v>873</v>
      </c>
      <c r="F322" s="102">
        <v>0</v>
      </c>
      <c r="G322" s="102">
        <v>111</v>
      </c>
      <c r="H322" s="104">
        <v>1801515</v>
      </c>
      <c r="I322" s="104">
        <v>1813740</v>
      </c>
      <c r="J322" s="104">
        <v>12225</v>
      </c>
      <c r="K322" s="102">
        <v>10.38</v>
      </c>
      <c r="L322" s="102">
        <v>0.68</v>
      </c>
      <c r="M322" s="102" t="s">
        <v>874</v>
      </c>
      <c r="N322" s="104">
        <v>1801515</v>
      </c>
      <c r="O322" s="102">
        <v>0</v>
      </c>
      <c r="P322" s="102">
        <v>10.38</v>
      </c>
    </row>
    <row r="323" spans="2:16" x14ac:dyDescent="0.3">
      <c r="B323" s="102" t="s">
        <v>895</v>
      </c>
      <c r="C323" s="102" t="s">
        <v>896</v>
      </c>
      <c r="D323" s="102" t="s">
        <v>118</v>
      </c>
      <c r="E323" s="102" t="s">
        <v>119</v>
      </c>
      <c r="F323" s="102">
        <v>0</v>
      </c>
      <c r="G323" s="102">
        <v>48</v>
      </c>
      <c r="H323" s="104">
        <v>2331090</v>
      </c>
      <c r="I323" s="104">
        <v>2313360</v>
      </c>
      <c r="J323" s="104">
        <v>-17730</v>
      </c>
      <c r="K323" s="102">
        <v>13.23</v>
      </c>
      <c r="L323" s="102">
        <v>-0.76</v>
      </c>
      <c r="M323" s="102" t="s">
        <v>875</v>
      </c>
      <c r="N323" s="104">
        <v>2331090</v>
      </c>
      <c r="O323" s="102">
        <v>0</v>
      </c>
      <c r="P323" s="102">
        <v>13.23</v>
      </c>
    </row>
    <row r="324" spans="2:16" x14ac:dyDescent="0.3">
      <c r="B324" s="102" t="s">
        <v>895</v>
      </c>
      <c r="C324" s="102" t="s">
        <v>896</v>
      </c>
      <c r="D324" s="102" t="s">
        <v>876</v>
      </c>
      <c r="E324" s="102" t="s">
        <v>877</v>
      </c>
      <c r="F324" s="102">
        <v>0</v>
      </c>
      <c r="G324" s="102">
        <v>49</v>
      </c>
      <c r="H324" s="104">
        <v>496755</v>
      </c>
      <c r="I324" s="104">
        <v>493675</v>
      </c>
      <c r="J324" s="104">
        <v>-3080</v>
      </c>
      <c r="K324" s="102">
        <v>2.82</v>
      </c>
      <c r="L324" s="102">
        <v>-0.62</v>
      </c>
      <c r="M324" s="102" t="s">
        <v>878</v>
      </c>
      <c r="N324" s="104">
        <v>496755</v>
      </c>
      <c r="O324" s="102">
        <v>0</v>
      </c>
      <c r="P324" s="102">
        <v>2.82</v>
      </c>
    </row>
    <row r="325" spans="2:16" x14ac:dyDescent="0.3">
      <c r="B325" s="102" t="s">
        <v>895</v>
      </c>
      <c r="C325" s="102" t="s">
        <v>896</v>
      </c>
      <c r="D325" s="102" t="s">
        <v>144</v>
      </c>
      <c r="E325" s="102" t="s">
        <v>889</v>
      </c>
      <c r="F325" s="102">
        <v>0</v>
      </c>
      <c r="G325" s="102">
        <v>104</v>
      </c>
      <c r="H325" s="104">
        <v>671000</v>
      </c>
      <c r="I325" s="104">
        <v>654160</v>
      </c>
      <c r="J325" s="104">
        <v>-16840</v>
      </c>
      <c r="K325" s="102">
        <v>3.74</v>
      </c>
      <c r="L325" s="102">
        <v>-2.5099999999999998</v>
      </c>
      <c r="M325" s="102" t="s">
        <v>890</v>
      </c>
      <c r="N325" s="104">
        <v>671000</v>
      </c>
      <c r="O325" s="102">
        <v>0</v>
      </c>
      <c r="P325" s="102">
        <v>3.74</v>
      </c>
    </row>
    <row r="326" spans="2:16" x14ac:dyDescent="0.3">
      <c r="B326" s="102" t="s">
        <v>895</v>
      </c>
      <c r="C326" s="102" t="s">
        <v>896</v>
      </c>
      <c r="D326" s="102" t="s">
        <v>160</v>
      </c>
      <c r="E326" s="102" t="s">
        <v>161</v>
      </c>
      <c r="F326" s="102">
        <v>0</v>
      </c>
      <c r="G326" s="102">
        <v>48</v>
      </c>
      <c r="H326" s="104">
        <v>634030</v>
      </c>
      <c r="I326" s="104">
        <v>637920</v>
      </c>
      <c r="J326" s="104">
        <v>3890</v>
      </c>
      <c r="K326" s="102">
        <v>3.65</v>
      </c>
      <c r="L326" s="102">
        <v>0.61</v>
      </c>
      <c r="M326" s="102" t="s">
        <v>879</v>
      </c>
      <c r="N326" s="104">
        <v>634030</v>
      </c>
      <c r="O326" s="102">
        <v>0</v>
      </c>
      <c r="P326" s="102">
        <v>3.65</v>
      </c>
    </row>
    <row r="327" spans="2:16" x14ac:dyDescent="0.3">
      <c r="B327" s="102" t="s">
        <v>895</v>
      </c>
      <c r="C327" s="102" t="s">
        <v>896</v>
      </c>
      <c r="D327" s="102" t="s">
        <v>880</v>
      </c>
      <c r="E327" s="102" t="s">
        <v>881</v>
      </c>
      <c r="F327" s="102">
        <v>0</v>
      </c>
      <c r="G327" s="102">
        <v>161</v>
      </c>
      <c r="H327" s="104">
        <v>1794070</v>
      </c>
      <c r="I327" s="104">
        <v>1811250</v>
      </c>
      <c r="J327" s="104">
        <v>17180</v>
      </c>
      <c r="K327" s="102">
        <v>10.36</v>
      </c>
      <c r="L327" s="102">
        <v>0.96</v>
      </c>
      <c r="M327" s="102" t="s">
        <v>882</v>
      </c>
      <c r="N327" s="104">
        <v>1794070</v>
      </c>
      <c r="O327" s="102">
        <v>0</v>
      </c>
      <c r="P327" s="102">
        <v>10.36</v>
      </c>
    </row>
    <row r="328" spans="2:16" x14ac:dyDescent="0.3">
      <c r="B328" s="102" t="s">
        <v>895</v>
      </c>
      <c r="C328" s="102" t="s">
        <v>896</v>
      </c>
      <c r="D328" s="102" t="s">
        <v>418</v>
      </c>
      <c r="E328" s="102" t="s">
        <v>419</v>
      </c>
      <c r="F328" s="104">
        <v>-7960670</v>
      </c>
      <c r="G328" s="104">
        <v>9539330</v>
      </c>
      <c r="H328" s="104">
        <v>9539330</v>
      </c>
      <c r="I328" s="104">
        <v>9539330</v>
      </c>
      <c r="J328" s="102">
        <v>0</v>
      </c>
      <c r="K328" s="102">
        <v>54.57</v>
      </c>
      <c r="L328" s="102">
        <v>0</v>
      </c>
      <c r="M328" s="102"/>
      <c r="N328" s="102">
        <v>0</v>
      </c>
      <c r="O328" s="102"/>
      <c r="P328" s="102"/>
    </row>
    <row r="329" spans="2:16" x14ac:dyDescent="0.3">
      <c r="B329" s="102" t="s">
        <v>895</v>
      </c>
      <c r="C329" s="102" t="s">
        <v>896</v>
      </c>
      <c r="D329" s="102" t="s">
        <v>420</v>
      </c>
      <c r="E329" s="102"/>
      <c r="F329" s="104">
        <v>-7960670</v>
      </c>
      <c r="G329" s="104">
        <v>9539944</v>
      </c>
      <c r="H329" s="104">
        <v>26780380</v>
      </c>
      <c r="I329" s="104">
        <v>26760630</v>
      </c>
      <c r="J329" s="104">
        <v>-19750</v>
      </c>
      <c r="K329" s="102">
        <v>153.07</v>
      </c>
      <c r="L329" s="102">
        <v>-7.0000000000000007E-2</v>
      </c>
      <c r="M329" s="102"/>
      <c r="N329" s="104">
        <v>17241050</v>
      </c>
      <c r="O329" s="102"/>
      <c r="P329" s="102"/>
    </row>
    <row r="330" spans="2:16" x14ac:dyDescent="0.3">
      <c r="B330" s="102" t="s">
        <v>897</v>
      </c>
      <c r="C330" s="102" t="s">
        <v>898</v>
      </c>
      <c r="D330" s="102" t="s">
        <v>116</v>
      </c>
      <c r="E330" s="102" t="s">
        <v>117</v>
      </c>
      <c r="F330" s="102">
        <v>0</v>
      </c>
      <c r="G330" s="102">
        <v>82</v>
      </c>
      <c r="H330" s="104">
        <v>8708550</v>
      </c>
      <c r="I330" s="104">
        <v>8684210</v>
      </c>
      <c r="J330" s="104">
        <v>-24340</v>
      </c>
      <c r="K330" s="102">
        <v>34.78</v>
      </c>
      <c r="L330" s="102">
        <v>-0.28000000000000003</v>
      </c>
      <c r="M330" s="102" t="s">
        <v>513</v>
      </c>
      <c r="N330" s="104">
        <v>8708550</v>
      </c>
      <c r="O330" s="102">
        <v>0</v>
      </c>
      <c r="P330" s="102">
        <v>34.78</v>
      </c>
    </row>
    <row r="331" spans="2:16" x14ac:dyDescent="0.3">
      <c r="B331" s="102" t="s">
        <v>897</v>
      </c>
      <c r="C331" s="102" t="s">
        <v>898</v>
      </c>
      <c r="D331" s="102" t="s">
        <v>156</v>
      </c>
      <c r="E331" s="102" t="s">
        <v>157</v>
      </c>
      <c r="F331" s="102">
        <v>0</v>
      </c>
      <c r="G331" s="102">
        <v>4</v>
      </c>
      <c r="H331" s="104">
        <v>293540</v>
      </c>
      <c r="I331" s="104">
        <v>297080</v>
      </c>
      <c r="J331" s="104">
        <v>3540</v>
      </c>
      <c r="K331" s="102">
        <v>1.19</v>
      </c>
      <c r="L331" s="102">
        <v>1.21</v>
      </c>
      <c r="M331" s="102" t="s">
        <v>866</v>
      </c>
      <c r="N331" s="104">
        <v>293540</v>
      </c>
      <c r="O331" s="102">
        <v>0</v>
      </c>
      <c r="P331" s="102">
        <v>1.19</v>
      </c>
    </row>
    <row r="332" spans="2:16" x14ac:dyDescent="0.3">
      <c r="B332" s="102" t="s">
        <v>897</v>
      </c>
      <c r="C332" s="102" t="s">
        <v>898</v>
      </c>
      <c r="D332" s="102" t="s">
        <v>107</v>
      </c>
      <c r="E332" s="102" t="s">
        <v>108</v>
      </c>
      <c r="F332" s="102">
        <v>0</v>
      </c>
      <c r="G332" s="102">
        <v>46</v>
      </c>
      <c r="H332" s="104">
        <v>4638650</v>
      </c>
      <c r="I332" s="104">
        <v>4637030</v>
      </c>
      <c r="J332" s="104">
        <v>-1620</v>
      </c>
      <c r="K332" s="102">
        <v>18.57</v>
      </c>
      <c r="L332" s="102">
        <v>-0.03</v>
      </c>
      <c r="M332" s="102" t="s">
        <v>470</v>
      </c>
      <c r="N332" s="104">
        <v>4638650</v>
      </c>
      <c r="O332" s="102">
        <v>0</v>
      </c>
      <c r="P332" s="102">
        <v>18.57</v>
      </c>
    </row>
    <row r="333" spans="2:16" x14ac:dyDescent="0.3">
      <c r="B333" s="102" t="s">
        <v>897</v>
      </c>
      <c r="C333" s="102" t="s">
        <v>898</v>
      </c>
      <c r="D333" s="102" t="s">
        <v>122</v>
      </c>
      <c r="E333" s="102" t="s">
        <v>471</v>
      </c>
      <c r="F333" s="102">
        <v>0</v>
      </c>
      <c r="G333" s="102">
        <v>1</v>
      </c>
      <c r="H333" s="104">
        <v>12055</v>
      </c>
      <c r="I333" s="104">
        <v>12040</v>
      </c>
      <c r="J333" s="102">
        <v>-15</v>
      </c>
      <c r="K333" s="102">
        <v>0.05</v>
      </c>
      <c r="L333" s="102">
        <v>-0.12</v>
      </c>
      <c r="M333" s="102" t="s">
        <v>472</v>
      </c>
      <c r="N333" s="104">
        <v>12055</v>
      </c>
      <c r="O333" s="102">
        <v>0</v>
      </c>
      <c r="P333" s="102">
        <v>0.05</v>
      </c>
    </row>
    <row r="334" spans="2:16" x14ac:dyDescent="0.3">
      <c r="B334" s="102" t="s">
        <v>897</v>
      </c>
      <c r="C334" s="102" t="s">
        <v>898</v>
      </c>
      <c r="D334" s="102" t="s">
        <v>867</v>
      </c>
      <c r="E334" s="102" t="s">
        <v>868</v>
      </c>
      <c r="F334" s="102">
        <v>0</v>
      </c>
      <c r="G334" s="102">
        <v>1</v>
      </c>
      <c r="H334" s="104">
        <v>10075</v>
      </c>
      <c r="I334" s="104">
        <v>10075</v>
      </c>
      <c r="J334" s="102">
        <v>0</v>
      </c>
      <c r="K334" s="102">
        <v>0.04</v>
      </c>
      <c r="L334" s="102">
        <v>0</v>
      </c>
      <c r="M334" s="102" t="s">
        <v>869</v>
      </c>
      <c r="N334" s="104">
        <v>10075</v>
      </c>
      <c r="O334" s="102">
        <v>0</v>
      </c>
      <c r="P334" s="102">
        <v>0.04</v>
      </c>
    </row>
    <row r="335" spans="2:16" x14ac:dyDescent="0.3">
      <c r="B335" s="102" t="s">
        <v>897</v>
      </c>
      <c r="C335" s="102" t="s">
        <v>898</v>
      </c>
      <c r="D335" s="102" t="s">
        <v>230</v>
      </c>
      <c r="E335" s="102" t="s">
        <v>873</v>
      </c>
      <c r="F335" s="102">
        <v>0</v>
      </c>
      <c r="G335" s="102">
        <v>159</v>
      </c>
      <c r="H335" s="104">
        <v>2580545</v>
      </c>
      <c r="I335" s="104">
        <v>2598060</v>
      </c>
      <c r="J335" s="104">
        <v>17515</v>
      </c>
      <c r="K335" s="102">
        <v>10.4</v>
      </c>
      <c r="L335" s="102">
        <v>0.68</v>
      </c>
      <c r="M335" s="102" t="s">
        <v>874</v>
      </c>
      <c r="N335" s="104">
        <v>2580545</v>
      </c>
      <c r="O335" s="102">
        <v>0</v>
      </c>
      <c r="P335" s="102">
        <v>10.4</v>
      </c>
    </row>
    <row r="336" spans="2:16" x14ac:dyDescent="0.3">
      <c r="B336" s="102" t="s">
        <v>897</v>
      </c>
      <c r="C336" s="102" t="s">
        <v>898</v>
      </c>
      <c r="D336" s="102" t="s">
        <v>118</v>
      </c>
      <c r="E336" s="102" t="s">
        <v>119</v>
      </c>
      <c r="F336" s="102">
        <v>0</v>
      </c>
      <c r="G336" s="102">
        <v>69</v>
      </c>
      <c r="H336" s="104">
        <v>3350950</v>
      </c>
      <c r="I336" s="104">
        <v>3325455</v>
      </c>
      <c r="J336" s="104">
        <v>-25495</v>
      </c>
      <c r="K336" s="102">
        <v>13.32</v>
      </c>
      <c r="L336" s="102">
        <v>-0.76</v>
      </c>
      <c r="M336" s="102" t="s">
        <v>875</v>
      </c>
      <c r="N336" s="104">
        <v>3350950</v>
      </c>
      <c r="O336" s="102">
        <v>0</v>
      </c>
      <c r="P336" s="102">
        <v>13.32</v>
      </c>
    </row>
    <row r="337" spans="2:16" x14ac:dyDescent="0.3">
      <c r="B337" s="102" t="s">
        <v>897</v>
      </c>
      <c r="C337" s="102" t="s">
        <v>898</v>
      </c>
      <c r="D337" s="102" t="s">
        <v>876</v>
      </c>
      <c r="E337" s="102" t="s">
        <v>877</v>
      </c>
      <c r="F337" s="102">
        <v>0</v>
      </c>
      <c r="G337" s="102">
        <v>71</v>
      </c>
      <c r="H337" s="104">
        <v>719795</v>
      </c>
      <c r="I337" s="104">
        <v>715325</v>
      </c>
      <c r="J337" s="104">
        <v>-4470</v>
      </c>
      <c r="K337" s="102">
        <v>2.86</v>
      </c>
      <c r="L337" s="102">
        <v>-0.62</v>
      </c>
      <c r="M337" s="102" t="s">
        <v>878</v>
      </c>
      <c r="N337" s="104">
        <v>719795</v>
      </c>
      <c r="O337" s="102">
        <v>0</v>
      </c>
      <c r="P337" s="102">
        <v>2.86</v>
      </c>
    </row>
    <row r="338" spans="2:16" x14ac:dyDescent="0.3">
      <c r="B338" s="102" t="s">
        <v>897</v>
      </c>
      <c r="C338" s="102" t="s">
        <v>898</v>
      </c>
      <c r="D338" s="102" t="s">
        <v>144</v>
      </c>
      <c r="E338" s="102" t="s">
        <v>889</v>
      </c>
      <c r="F338" s="102">
        <v>0</v>
      </c>
      <c r="G338" s="102">
        <v>148</v>
      </c>
      <c r="H338" s="104">
        <v>954880</v>
      </c>
      <c r="I338" s="104">
        <v>930920</v>
      </c>
      <c r="J338" s="104">
        <v>-23960</v>
      </c>
      <c r="K338" s="102">
        <v>3.73</v>
      </c>
      <c r="L338" s="102">
        <v>-2.5099999999999998</v>
      </c>
      <c r="M338" s="102" t="s">
        <v>890</v>
      </c>
      <c r="N338" s="104">
        <v>954880</v>
      </c>
      <c r="O338" s="102">
        <v>0</v>
      </c>
      <c r="P338" s="102">
        <v>3.73</v>
      </c>
    </row>
    <row r="339" spans="2:16" x14ac:dyDescent="0.3">
      <c r="B339" s="102" t="s">
        <v>897</v>
      </c>
      <c r="C339" s="102" t="s">
        <v>898</v>
      </c>
      <c r="D339" s="102" t="s">
        <v>160</v>
      </c>
      <c r="E339" s="102" t="s">
        <v>161</v>
      </c>
      <c r="F339" s="102">
        <v>0</v>
      </c>
      <c r="G339" s="102">
        <v>69</v>
      </c>
      <c r="H339" s="104">
        <v>911415</v>
      </c>
      <c r="I339" s="104">
        <v>917010</v>
      </c>
      <c r="J339" s="104">
        <v>5595</v>
      </c>
      <c r="K339" s="102">
        <v>3.67</v>
      </c>
      <c r="L339" s="102">
        <v>0.61</v>
      </c>
      <c r="M339" s="102" t="s">
        <v>879</v>
      </c>
      <c r="N339" s="104">
        <v>911415</v>
      </c>
      <c r="O339" s="102">
        <v>0</v>
      </c>
      <c r="P339" s="102">
        <v>3.67</v>
      </c>
    </row>
    <row r="340" spans="2:16" x14ac:dyDescent="0.3">
      <c r="B340" s="102" t="s">
        <v>897</v>
      </c>
      <c r="C340" s="102" t="s">
        <v>898</v>
      </c>
      <c r="D340" s="102" t="s">
        <v>880</v>
      </c>
      <c r="E340" s="102" t="s">
        <v>881</v>
      </c>
      <c r="F340" s="102">
        <v>0</v>
      </c>
      <c r="G340" s="102">
        <v>230</v>
      </c>
      <c r="H340" s="104">
        <v>2562960</v>
      </c>
      <c r="I340" s="104">
        <v>2587500</v>
      </c>
      <c r="J340" s="104">
        <v>24540</v>
      </c>
      <c r="K340" s="102">
        <v>10.36</v>
      </c>
      <c r="L340" s="102">
        <v>0.96</v>
      </c>
      <c r="M340" s="102" t="s">
        <v>882</v>
      </c>
      <c r="N340" s="104">
        <v>2562960</v>
      </c>
      <c r="O340" s="102">
        <v>0</v>
      </c>
      <c r="P340" s="102">
        <v>10.36</v>
      </c>
    </row>
    <row r="341" spans="2:16" x14ac:dyDescent="0.3">
      <c r="B341" s="102" t="s">
        <v>897</v>
      </c>
      <c r="C341" s="102" t="s">
        <v>898</v>
      </c>
      <c r="D341" s="102" t="s">
        <v>418</v>
      </c>
      <c r="E341" s="102" t="s">
        <v>419</v>
      </c>
      <c r="F341" s="104">
        <v>-11396215</v>
      </c>
      <c r="G341" s="104">
        <v>13603785</v>
      </c>
      <c r="H341" s="104">
        <v>13603785</v>
      </c>
      <c r="I341" s="104">
        <v>13603785</v>
      </c>
      <c r="J341" s="102">
        <v>0</v>
      </c>
      <c r="K341" s="102">
        <v>54.48</v>
      </c>
      <c r="L341" s="102">
        <v>0</v>
      </c>
      <c r="M341" s="102"/>
      <c r="N341" s="102">
        <v>0</v>
      </c>
      <c r="O341" s="102"/>
      <c r="P341" s="102"/>
    </row>
    <row r="342" spans="2:16" x14ac:dyDescent="0.3">
      <c r="B342" s="102" t="s">
        <v>897</v>
      </c>
      <c r="C342" s="102" t="s">
        <v>898</v>
      </c>
      <c r="D342" s="102" t="s">
        <v>420</v>
      </c>
      <c r="E342" s="102"/>
      <c r="F342" s="104">
        <v>-11396215</v>
      </c>
      <c r="G342" s="104">
        <v>13604665</v>
      </c>
      <c r="H342" s="104">
        <v>38347200</v>
      </c>
      <c r="I342" s="104">
        <v>38318490</v>
      </c>
      <c r="J342" s="104">
        <v>-28710</v>
      </c>
      <c r="K342" s="102">
        <v>153.44999999999999</v>
      </c>
      <c r="L342" s="102">
        <v>-7.0000000000000007E-2</v>
      </c>
      <c r="M342" s="102"/>
      <c r="N342" s="104">
        <v>24743415</v>
      </c>
      <c r="O342" s="102"/>
      <c r="P342" s="102"/>
    </row>
    <row r="343" spans="2:16" x14ac:dyDescent="0.3">
      <c r="B343" s="102" t="s">
        <v>899</v>
      </c>
      <c r="C343" s="102" t="s">
        <v>900</v>
      </c>
      <c r="D343" s="102" t="s">
        <v>116</v>
      </c>
      <c r="E343" s="102" t="s">
        <v>117</v>
      </c>
      <c r="F343" s="102">
        <v>0</v>
      </c>
      <c r="G343" s="102">
        <v>106</v>
      </c>
      <c r="H343" s="104">
        <v>11257390</v>
      </c>
      <c r="I343" s="104">
        <v>11225930</v>
      </c>
      <c r="J343" s="104">
        <v>-31460</v>
      </c>
      <c r="K343" s="102">
        <v>34.58</v>
      </c>
      <c r="L343" s="102">
        <v>-0.28000000000000003</v>
      </c>
      <c r="M343" s="102" t="s">
        <v>513</v>
      </c>
      <c r="N343" s="104">
        <v>11257390</v>
      </c>
      <c r="O343" s="102">
        <v>0</v>
      </c>
      <c r="P343" s="102">
        <v>34.58</v>
      </c>
    </row>
    <row r="344" spans="2:16" x14ac:dyDescent="0.3">
      <c r="B344" s="102" t="s">
        <v>899</v>
      </c>
      <c r="C344" s="102" t="s">
        <v>900</v>
      </c>
      <c r="D344" s="102" t="s">
        <v>156</v>
      </c>
      <c r="E344" s="102" t="s">
        <v>157</v>
      </c>
      <c r="F344" s="102">
        <v>0</v>
      </c>
      <c r="G344" s="102">
        <v>5</v>
      </c>
      <c r="H344" s="104">
        <v>366935</v>
      </c>
      <c r="I344" s="104">
        <v>371350</v>
      </c>
      <c r="J344" s="104">
        <v>4415</v>
      </c>
      <c r="K344" s="102">
        <v>1.1399999999999999</v>
      </c>
      <c r="L344" s="102">
        <v>1.2</v>
      </c>
      <c r="M344" s="102" t="s">
        <v>866</v>
      </c>
      <c r="N344" s="104">
        <v>366935</v>
      </c>
      <c r="O344" s="102">
        <v>0</v>
      </c>
      <c r="P344" s="102">
        <v>1.1399999999999999</v>
      </c>
    </row>
    <row r="345" spans="2:16" x14ac:dyDescent="0.3">
      <c r="B345" s="102" t="s">
        <v>899</v>
      </c>
      <c r="C345" s="102" t="s">
        <v>900</v>
      </c>
      <c r="D345" s="102" t="s">
        <v>107</v>
      </c>
      <c r="E345" s="102" t="s">
        <v>108</v>
      </c>
      <c r="F345" s="102">
        <v>0</v>
      </c>
      <c r="G345" s="102">
        <v>60</v>
      </c>
      <c r="H345" s="104">
        <v>6050410</v>
      </c>
      <c r="I345" s="104">
        <v>6048300</v>
      </c>
      <c r="J345" s="104">
        <v>-2110</v>
      </c>
      <c r="K345" s="102">
        <v>18.63</v>
      </c>
      <c r="L345" s="102">
        <v>-0.03</v>
      </c>
      <c r="M345" s="102" t="s">
        <v>470</v>
      </c>
      <c r="N345" s="104">
        <v>6050410</v>
      </c>
      <c r="O345" s="102">
        <v>0</v>
      </c>
      <c r="P345" s="102">
        <v>18.63</v>
      </c>
    </row>
    <row r="346" spans="2:16" x14ac:dyDescent="0.3">
      <c r="B346" s="102" t="s">
        <v>899</v>
      </c>
      <c r="C346" s="102" t="s">
        <v>900</v>
      </c>
      <c r="D346" s="102" t="s">
        <v>122</v>
      </c>
      <c r="E346" s="102" t="s">
        <v>471</v>
      </c>
      <c r="F346" s="102">
        <v>0</v>
      </c>
      <c r="G346" s="102">
        <v>2</v>
      </c>
      <c r="H346" s="104">
        <v>24110</v>
      </c>
      <c r="I346" s="104">
        <v>24080</v>
      </c>
      <c r="J346" s="102">
        <v>-30</v>
      </c>
      <c r="K346" s="102">
        <v>7.0000000000000007E-2</v>
      </c>
      <c r="L346" s="102">
        <v>-0.12</v>
      </c>
      <c r="M346" s="102" t="s">
        <v>472</v>
      </c>
      <c r="N346" s="104">
        <v>24110</v>
      </c>
      <c r="O346" s="102">
        <v>0</v>
      </c>
      <c r="P346" s="102">
        <v>7.0000000000000007E-2</v>
      </c>
    </row>
    <row r="347" spans="2:16" x14ac:dyDescent="0.3">
      <c r="B347" s="102" t="s">
        <v>899</v>
      </c>
      <c r="C347" s="102" t="s">
        <v>900</v>
      </c>
      <c r="D347" s="102" t="s">
        <v>867</v>
      </c>
      <c r="E347" s="102" t="s">
        <v>868</v>
      </c>
      <c r="F347" s="102">
        <v>0</v>
      </c>
      <c r="G347" s="102">
        <v>1</v>
      </c>
      <c r="H347" s="104">
        <v>10075</v>
      </c>
      <c r="I347" s="104">
        <v>10075</v>
      </c>
      <c r="J347" s="102">
        <v>0</v>
      </c>
      <c r="K347" s="102">
        <v>0.03</v>
      </c>
      <c r="L347" s="102">
        <v>0</v>
      </c>
      <c r="M347" s="102" t="s">
        <v>869</v>
      </c>
      <c r="N347" s="104">
        <v>10075</v>
      </c>
      <c r="O347" s="102">
        <v>0</v>
      </c>
      <c r="P347" s="102">
        <v>0.03</v>
      </c>
    </row>
    <row r="348" spans="2:16" x14ac:dyDescent="0.3">
      <c r="B348" s="102" t="s">
        <v>899</v>
      </c>
      <c r="C348" s="102" t="s">
        <v>900</v>
      </c>
      <c r="D348" s="102" t="s">
        <v>230</v>
      </c>
      <c r="E348" s="102" t="s">
        <v>873</v>
      </c>
      <c r="F348" s="102">
        <v>0</v>
      </c>
      <c r="G348" s="102">
        <v>207</v>
      </c>
      <c r="H348" s="104">
        <v>3359575</v>
      </c>
      <c r="I348" s="104">
        <v>3382380</v>
      </c>
      <c r="J348" s="104">
        <v>22805</v>
      </c>
      <c r="K348" s="102">
        <v>10.42</v>
      </c>
      <c r="L348" s="102">
        <v>0.68</v>
      </c>
      <c r="M348" s="102" t="s">
        <v>874</v>
      </c>
      <c r="N348" s="104">
        <v>3359575</v>
      </c>
      <c r="O348" s="102">
        <v>0</v>
      </c>
      <c r="P348" s="102">
        <v>10.42</v>
      </c>
    </row>
    <row r="349" spans="2:16" x14ac:dyDescent="0.3">
      <c r="B349" s="102" t="s">
        <v>899</v>
      </c>
      <c r="C349" s="102" t="s">
        <v>900</v>
      </c>
      <c r="D349" s="102" t="s">
        <v>118</v>
      </c>
      <c r="E349" s="102" t="s">
        <v>119</v>
      </c>
      <c r="F349" s="102">
        <v>0</v>
      </c>
      <c r="G349" s="102">
        <v>89</v>
      </c>
      <c r="H349" s="104">
        <v>4322240</v>
      </c>
      <c r="I349" s="104">
        <v>4289355</v>
      </c>
      <c r="J349" s="104">
        <v>-32885</v>
      </c>
      <c r="K349" s="102">
        <v>13.21</v>
      </c>
      <c r="L349" s="102">
        <v>-0.76</v>
      </c>
      <c r="M349" s="102" t="s">
        <v>875</v>
      </c>
      <c r="N349" s="104">
        <v>4322240</v>
      </c>
      <c r="O349" s="102">
        <v>0</v>
      </c>
      <c r="P349" s="102">
        <v>13.21</v>
      </c>
    </row>
    <row r="350" spans="2:16" x14ac:dyDescent="0.3">
      <c r="B350" s="102" t="s">
        <v>899</v>
      </c>
      <c r="C350" s="102" t="s">
        <v>900</v>
      </c>
      <c r="D350" s="102" t="s">
        <v>876</v>
      </c>
      <c r="E350" s="102" t="s">
        <v>877</v>
      </c>
      <c r="F350" s="102">
        <v>0</v>
      </c>
      <c r="G350" s="102">
        <v>92</v>
      </c>
      <c r="H350" s="104">
        <v>932690</v>
      </c>
      <c r="I350" s="104">
        <v>926900</v>
      </c>
      <c r="J350" s="104">
        <v>-5790</v>
      </c>
      <c r="K350" s="102">
        <v>2.86</v>
      </c>
      <c r="L350" s="102">
        <v>-0.62</v>
      </c>
      <c r="M350" s="102" t="s">
        <v>878</v>
      </c>
      <c r="N350" s="104">
        <v>932690</v>
      </c>
      <c r="O350" s="102">
        <v>0</v>
      </c>
      <c r="P350" s="102">
        <v>2.86</v>
      </c>
    </row>
    <row r="351" spans="2:16" x14ac:dyDescent="0.3">
      <c r="B351" s="102" t="s">
        <v>899</v>
      </c>
      <c r="C351" s="102" t="s">
        <v>900</v>
      </c>
      <c r="D351" s="102" t="s">
        <v>144</v>
      </c>
      <c r="E351" s="102" t="s">
        <v>889</v>
      </c>
      <c r="F351" s="102">
        <v>0</v>
      </c>
      <c r="G351" s="102">
        <v>193</v>
      </c>
      <c r="H351" s="104">
        <v>1245220</v>
      </c>
      <c r="I351" s="104">
        <v>1213970</v>
      </c>
      <c r="J351" s="104">
        <v>-31250</v>
      </c>
      <c r="K351" s="102">
        <v>3.74</v>
      </c>
      <c r="L351" s="102">
        <v>-2.5099999999999998</v>
      </c>
      <c r="M351" s="102" t="s">
        <v>890</v>
      </c>
      <c r="N351" s="104">
        <v>1245220</v>
      </c>
      <c r="O351" s="102">
        <v>0</v>
      </c>
      <c r="P351" s="102">
        <v>3.74</v>
      </c>
    </row>
    <row r="352" spans="2:16" x14ac:dyDescent="0.3">
      <c r="B352" s="102" t="s">
        <v>899</v>
      </c>
      <c r="C352" s="102" t="s">
        <v>900</v>
      </c>
      <c r="D352" s="102" t="s">
        <v>160</v>
      </c>
      <c r="E352" s="102" t="s">
        <v>161</v>
      </c>
      <c r="F352" s="102">
        <v>0</v>
      </c>
      <c r="G352" s="102">
        <v>90</v>
      </c>
      <c r="H352" s="104">
        <v>1188800</v>
      </c>
      <c r="I352" s="104">
        <v>1196100</v>
      </c>
      <c r="J352" s="104">
        <v>7300</v>
      </c>
      <c r="K352" s="102">
        <v>3.68</v>
      </c>
      <c r="L352" s="102">
        <v>0.61</v>
      </c>
      <c r="M352" s="102" t="s">
        <v>879</v>
      </c>
      <c r="N352" s="104">
        <v>1188800</v>
      </c>
      <c r="O352" s="102">
        <v>0</v>
      </c>
      <c r="P352" s="102">
        <v>3.68</v>
      </c>
    </row>
    <row r="353" spans="2:16" x14ac:dyDescent="0.3">
      <c r="B353" s="102" t="s">
        <v>899</v>
      </c>
      <c r="C353" s="102" t="s">
        <v>900</v>
      </c>
      <c r="D353" s="102" t="s">
        <v>880</v>
      </c>
      <c r="E353" s="102" t="s">
        <v>881</v>
      </c>
      <c r="F353" s="102">
        <v>0</v>
      </c>
      <c r="G353" s="102">
        <v>299</v>
      </c>
      <c r="H353" s="104">
        <v>3331850</v>
      </c>
      <c r="I353" s="104">
        <v>3363750</v>
      </c>
      <c r="J353" s="104">
        <v>31900</v>
      </c>
      <c r="K353" s="102">
        <v>10.36</v>
      </c>
      <c r="L353" s="102">
        <v>0.96</v>
      </c>
      <c r="M353" s="102" t="s">
        <v>882</v>
      </c>
      <c r="N353" s="104">
        <v>3331850</v>
      </c>
      <c r="O353" s="102">
        <v>0</v>
      </c>
      <c r="P353" s="102">
        <v>10.36</v>
      </c>
    </row>
    <row r="354" spans="2:16" x14ac:dyDescent="0.3">
      <c r="B354" s="102" t="s">
        <v>899</v>
      </c>
      <c r="C354" s="102" t="s">
        <v>900</v>
      </c>
      <c r="D354" s="102" t="s">
        <v>418</v>
      </c>
      <c r="E354" s="102" t="s">
        <v>419</v>
      </c>
      <c r="F354" s="104">
        <v>-14781495</v>
      </c>
      <c r="G354" s="104">
        <v>17718505</v>
      </c>
      <c r="H354" s="104">
        <v>17718505</v>
      </c>
      <c r="I354" s="104">
        <v>17718505</v>
      </c>
      <c r="J354" s="102">
        <v>0</v>
      </c>
      <c r="K354" s="102">
        <v>54.58</v>
      </c>
      <c r="L354" s="102">
        <v>0</v>
      </c>
      <c r="M354" s="102"/>
      <c r="N354" s="102">
        <v>0</v>
      </c>
      <c r="O354" s="102"/>
      <c r="P354" s="102"/>
    </row>
    <row r="355" spans="2:16" x14ac:dyDescent="0.3">
      <c r="B355" s="102" t="s">
        <v>899</v>
      </c>
      <c r="C355" s="102" t="s">
        <v>900</v>
      </c>
      <c r="D355" s="102" t="s">
        <v>420</v>
      </c>
      <c r="E355" s="102"/>
      <c r="F355" s="104">
        <v>-14781495</v>
      </c>
      <c r="G355" s="104">
        <v>17719649</v>
      </c>
      <c r="H355" s="104">
        <v>49807800</v>
      </c>
      <c r="I355" s="104">
        <v>49770695</v>
      </c>
      <c r="J355" s="104">
        <v>-37105</v>
      </c>
      <c r="K355" s="102">
        <v>153.30000000000001</v>
      </c>
      <c r="L355" s="102">
        <v>-7.0000000000000007E-2</v>
      </c>
      <c r="M355" s="102"/>
      <c r="N355" s="104">
        <v>32089295</v>
      </c>
      <c r="O355" s="102"/>
      <c r="P355" s="102"/>
    </row>
    <row r="356" spans="2:16" x14ac:dyDescent="0.3">
      <c r="B356" s="102" t="s">
        <v>901</v>
      </c>
      <c r="C356" s="102" t="s">
        <v>902</v>
      </c>
      <c r="D356" s="102" t="s">
        <v>420</v>
      </c>
      <c r="E356" s="102"/>
      <c r="F356" s="102">
        <v>0</v>
      </c>
      <c r="G356" s="102">
        <v>0</v>
      </c>
      <c r="H356" s="102">
        <v>0</v>
      </c>
      <c r="I356" s="102">
        <v>0</v>
      </c>
      <c r="J356" s="102">
        <v>0</v>
      </c>
      <c r="K356" s="102">
        <v>0</v>
      </c>
      <c r="L356" s="102">
        <v>0</v>
      </c>
      <c r="M356" s="102"/>
      <c r="N356" s="102">
        <v>0</v>
      </c>
      <c r="O356" s="102"/>
      <c r="P356" s="102"/>
    </row>
    <row r="357" spans="2:16" x14ac:dyDescent="0.3">
      <c r="B357" s="102" t="s">
        <v>903</v>
      </c>
      <c r="C357" s="102" t="s">
        <v>904</v>
      </c>
      <c r="D357" s="102" t="s">
        <v>420</v>
      </c>
      <c r="E357" s="102"/>
      <c r="F357" s="102">
        <v>0</v>
      </c>
      <c r="G357" s="102">
        <v>0</v>
      </c>
      <c r="H357" s="102">
        <v>0</v>
      </c>
      <c r="I357" s="102">
        <v>0</v>
      </c>
      <c r="J357" s="102">
        <v>0</v>
      </c>
      <c r="K357" s="102">
        <v>0</v>
      </c>
      <c r="L357" s="102">
        <v>0</v>
      </c>
      <c r="M357" s="102"/>
      <c r="N357" s="102">
        <v>0</v>
      </c>
      <c r="O357" s="102"/>
      <c r="P357" s="102"/>
    </row>
    <row r="358" spans="2:16" x14ac:dyDescent="0.3">
      <c r="B358" s="102" t="s">
        <v>905</v>
      </c>
      <c r="C358" s="102" t="s">
        <v>906</v>
      </c>
      <c r="D358" s="102" t="s">
        <v>420</v>
      </c>
      <c r="E358" s="102"/>
      <c r="F358" s="102">
        <v>0</v>
      </c>
      <c r="G358" s="102">
        <v>0</v>
      </c>
      <c r="H358" s="102">
        <v>0</v>
      </c>
      <c r="I358" s="102">
        <v>0</v>
      </c>
      <c r="J358" s="102">
        <v>0</v>
      </c>
      <c r="K358" s="102">
        <v>0</v>
      </c>
      <c r="L358" s="102">
        <v>0</v>
      </c>
      <c r="M358" s="102"/>
      <c r="N358" s="102">
        <v>0</v>
      </c>
      <c r="O358" s="102"/>
      <c r="P358" s="102"/>
    </row>
    <row r="359" spans="2:16" x14ac:dyDescent="0.3">
      <c r="B359" s="102" t="s">
        <v>907</v>
      </c>
      <c r="C359" s="102" t="s">
        <v>908</v>
      </c>
      <c r="D359" s="102" t="s">
        <v>420</v>
      </c>
      <c r="E359" s="102"/>
      <c r="F359" s="102">
        <v>0</v>
      </c>
      <c r="G359" s="102">
        <v>0</v>
      </c>
      <c r="H359" s="102">
        <v>0</v>
      </c>
      <c r="I359" s="102">
        <v>0</v>
      </c>
      <c r="J359" s="102">
        <v>0</v>
      </c>
      <c r="K359" s="102">
        <v>0</v>
      </c>
      <c r="L359" s="102">
        <v>0</v>
      </c>
      <c r="M359" s="102"/>
      <c r="N359" s="102">
        <v>0</v>
      </c>
      <c r="O359" s="102"/>
      <c r="P359" s="102"/>
    </row>
    <row r="360" spans="2:16" x14ac:dyDescent="0.3">
      <c r="B360" s="102" t="s">
        <v>909</v>
      </c>
      <c r="C360" s="102" t="s">
        <v>910</v>
      </c>
      <c r="D360" s="102" t="s">
        <v>420</v>
      </c>
      <c r="E360" s="102"/>
      <c r="F360" s="102">
        <v>0</v>
      </c>
      <c r="G360" s="102">
        <v>0</v>
      </c>
      <c r="H360" s="102">
        <v>0</v>
      </c>
      <c r="I360" s="102">
        <v>0</v>
      </c>
      <c r="J360" s="102">
        <v>0</v>
      </c>
      <c r="K360" s="102">
        <v>0</v>
      </c>
      <c r="L360" s="102">
        <v>0</v>
      </c>
      <c r="M360" s="102"/>
      <c r="N360" s="102">
        <v>0</v>
      </c>
      <c r="O360" s="102"/>
      <c r="P360" s="102"/>
    </row>
    <row r="361" spans="2:16" x14ac:dyDescent="0.3">
      <c r="B361" s="102" t="s">
        <v>911</v>
      </c>
      <c r="C361" s="102" t="s">
        <v>912</v>
      </c>
      <c r="D361" s="102" t="s">
        <v>420</v>
      </c>
      <c r="E361" s="102"/>
      <c r="F361" s="102">
        <v>0</v>
      </c>
      <c r="G361" s="102">
        <v>0</v>
      </c>
      <c r="H361" s="102">
        <v>0</v>
      </c>
      <c r="I361" s="102">
        <v>0</v>
      </c>
      <c r="J361" s="102">
        <v>0</v>
      </c>
      <c r="K361" s="102">
        <v>0</v>
      </c>
      <c r="L361" s="102">
        <v>0</v>
      </c>
      <c r="M361" s="102"/>
      <c r="N361" s="102">
        <v>0</v>
      </c>
      <c r="O361" s="102"/>
      <c r="P361" s="102"/>
    </row>
    <row r="362" spans="2:16" x14ac:dyDescent="0.3">
      <c r="B362" s="102" t="s">
        <v>913</v>
      </c>
      <c r="C362" s="102" t="s">
        <v>914</v>
      </c>
      <c r="D362" s="102" t="s">
        <v>420</v>
      </c>
      <c r="E362" s="102"/>
      <c r="F362" s="102">
        <v>0</v>
      </c>
      <c r="G362" s="102">
        <v>0</v>
      </c>
      <c r="H362" s="102">
        <v>0</v>
      </c>
      <c r="I362" s="102">
        <v>0</v>
      </c>
      <c r="J362" s="102">
        <v>0</v>
      </c>
      <c r="K362" s="102">
        <v>0</v>
      </c>
      <c r="L362" s="102">
        <v>0</v>
      </c>
      <c r="M362" s="102"/>
      <c r="N362" s="102">
        <v>0</v>
      </c>
      <c r="O362" s="102"/>
      <c r="P362" s="102"/>
    </row>
    <row r="363" spans="2:16" x14ac:dyDescent="0.3">
      <c r="B363" s="102" t="s">
        <v>915</v>
      </c>
      <c r="C363" s="102" t="s">
        <v>916</v>
      </c>
      <c r="D363" s="102" t="s">
        <v>420</v>
      </c>
      <c r="E363" s="102"/>
      <c r="F363" s="102">
        <v>0</v>
      </c>
      <c r="G363" s="102">
        <v>0</v>
      </c>
      <c r="H363" s="102">
        <v>0</v>
      </c>
      <c r="I363" s="102">
        <v>0</v>
      </c>
      <c r="J363" s="102">
        <v>0</v>
      </c>
      <c r="K363" s="102">
        <v>0</v>
      </c>
      <c r="L363" s="102">
        <v>0</v>
      </c>
      <c r="M363" s="102"/>
      <c r="N363" s="102">
        <v>0</v>
      </c>
      <c r="O363" s="102"/>
      <c r="P363" s="102"/>
    </row>
    <row r="364" spans="2:16" x14ac:dyDescent="0.3">
      <c r="B364" s="102" t="s">
        <v>917</v>
      </c>
      <c r="C364" s="102" t="s">
        <v>918</v>
      </c>
      <c r="D364" s="102" t="s">
        <v>420</v>
      </c>
      <c r="E364" s="102"/>
      <c r="F364" s="102">
        <v>0</v>
      </c>
      <c r="G364" s="102">
        <v>0</v>
      </c>
      <c r="H364" s="102">
        <v>0</v>
      </c>
      <c r="I364" s="102">
        <v>0</v>
      </c>
      <c r="J364" s="102">
        <v>0</v>
      </c>
      <c r="K364" s="102">
        <v>0</v>
      </c>
      <c r="L364" s="102">
        <v>0</v>
      </c>
      <c r="M364" s="102"/>
      <c r="N364" s="102">
        <v>0</v>
      </c>
      <c r="O364" s="102"/>
      <c r="P364" s="102"/>
    </row>
    <row r="365" spans="2:16" x14ac:dyDescent="0.3">
      <c r="B365" s="102" t="s">
        <v>465</v>
      </c>
      <c r="C365" s="102" t="s">
        <v>466</v>
      </c>
      <c r="D365" s="102" t="s">
        <v>116</v>
      </c>
      <c r="E365" s="102" t="s">
        <v>117</v>
      </c>
      <c r="F365" s="102">
        <v>0</v>
      </c>
      <c r="G365" s="102">
        <v>4</v>
      </c>
      <c r="H365" s="104">
        <v>429862</v>
      </c>
      <c r="I365" s="104">
        <v>423620</v>
      </c>
      <c r="J365" s="104">
        <v>-6242</v>
      </c>
      <c r="K365" s="102">
        <v>8.09</v>
      </c>
      <c r="L365" s="102">
        <v>-1.45</v>
      </c>
      <c r="M365" s="102" t="s">
        <v>513</v>
      </c>
      <c r="N365" s="104">
        <v>429862</v>
      </c>
      <c r="O365" s="102">
        <v>0</v>
      </c>
      <c r="P365" s="102">
        <v>8.09</v>
      </c>
    </row>
    <row r="366" spans="2:16" x14ac:dyDescent="0.3">
      <c r="B366" s="102" t="s">
        <v>465</v>
      </c>
      <c r="C366" s="102" t="s">
        <v>466</v>
      </c>
      <c r="D366" s="102" t="s">
        <v>467</v>
      </c>
      <c r="E366" s="102" t="s">
        <v>468</v>
      </c>
      <c r="F366" s="102">
        <v>0</v>
      </c>
      <c r="G366" s="102">
        <v>5</v>
      </c>
      <c r="H366" s="104">
        <v>515619</v>
      </c>
      <c r="I366" s="104">
        <v>510050</v>
      </c>
      <c r="J366" s="104">
        <v>-5569</v>
      </c>
      <c r="K366" s="102">
        <v>9.74</v>
      </c>
      <c r="L366" s="102">
        <v>-1.08</v>
      </c>
      <c r="M366" s="102" t="s">
        <v>469</v>
      </c>
      <c r="N366" s="104">
        <v>515619</v>
      </c>
      <c r="O366" s="102">
        <v>0</v>
      </c>
      <c r="P366" s="102">
        <v>9.74</v>
      </c>
    </row>
    <row r="367" spans="2:16" x14ac:dyDescent="0.3">
      <c r="B367" s="102" t="s">
        <v>465</v>
      </c>
      <c r="C367" s="102" t="s">
        <v>466</v>
      </c>
      <c r="D367" s="102" t="s">
        <v>107</v>
      </c>
      <c r="E367" s="102" t="s">
        <v>108</v>
      </c>
      <c r="F367" s="102">
        <v>0</v>
      </c>
      <c r="G367" s="102">
        <v>20</v>
      </c>
      <c r="H367" s="104">
        <v>2011436</v>
      </c>
      <c r="I367" s="104">
        <v>2016100</v>
      </c>
      <c r="J367" s="104">
        <v>4664</v>
      </c>
      <c r="K367" s="102">
        <v>38.51</v>
      </c>
      <c r="L367" s="102">
        <v>0.23</v>
      </c>
      <c r="M367" s="102" t="s">
        <v>470</v>
      </c>
      <c r="N367" s="104">
        <v>2011436</v>
      </c>
      <c r="O367" s="102">
        <v>0</v>
      </c>
      <c r="P367" s="102">
        <v>38.51</v>
      </c>
    </row>
    <row r="368" spans="2:16" x14ac:dyDescent="0.3">
      <c r="B368" s="102" t="s">
        <v>465</v>
      </c>
      <c r="C368" s="102" t="s">
        <v>466</v>
      </c>
      <c r="D368" s="102" t="s">
        <v>122</v>
      </c>
      <c r="E368" s="102" t="s">
        <v>471</v>
      </c>
      <c r="F368" s="102">
        <v>0</v>
      </c>
      <c r="G368" s="102">
        <v>46</v>
      </c>
      <c r="H368" s="104">
        <v>541224</v>
      </c>
      <c r="I368" s="104">
        <v>553840</v>
      </c>
      <c r="J368" s="104">
        <v>12616</v>
      </c>
      <c r="K368" s="102">
        <v>10.58</v>
      </c>
      <c r="L368" s="102">
        <v>2.33</v>
      </c>
      <c r="M368" s="102" t="s">
        <v>472</v>
      </c>
      <c r="N368" s="104">
        <v>541224</v>
      </c>
      <c r="O368" s="102">
        <v>0</v>
      </c>
      <c r="P368" s="102">
        <v>10.58</v>
      </c>
    </row>
    <row r="369" spans="2:16" x14ac:dyDescent="0.3">
      <c r="B369" s="102" t="s">
        <v>465</v>
      </c>
      <c r="C369" s="102" t="s">
        <v>466</v>
      </c>
      <c r="D369" s="102" t="s">
        <v>216</v>
      </c>
      <c r="E369" s="102" t="s">
        <v>217</v>
      </c>
      <c r="F369" s="102">
        <v>0</v>
      </c>
      <c r="G369" s="102">
        <v>97</v>
      </c>
      <c r="H369" s="104">
        <v>1505288</v>
      </c>
      <c r="I369" s="104">
        <v>1507865</v>
      </c>
      <c r="J369" s="104">
        <v>2577</v>
      </c>
      <c r="K369" s="102">
        <v>28.8</v>
      </c>
      <c r="L369" s="102">
        <v>0.17</v>
      </c>
      <c r="M369" s="102" t="s">
        <v>473</v>
      </c>
      <c r="N369" s="104">
        <v>1479098</v>
      </c>
      <c r="O369" s="102">
        <v>0</v>
      </c>
      <c r="P369" s="102">
        <v>28.8</v>
      </c>
    </row>
    <row r="370" spans="2:16" x14ac:dyDescent="0.3">
      <c r="B370" s="102" t="s">
        <v>465</v>
      </c>
      <c r="C370" s="102" t="s">
        <v>466</v>
      </c>
      <c r="D370" s="102" t="s">
        <v>418</v>
      </c>
      <c r="E370" s="102" t="s">
        <v>419</v>
      </c>
      <c r="F370" s="102">
        <v>0</v>
      </c>
      <c r="G370" s="104">
        <v>224106</v>
      </c>
      <c r="H370" s="104">
        <v>224106</v>
      </c>
      <c r="I370" s="104">
        <v>224106</v>
      </c>
      <c r="J370" s="102">
        <v>0</v>
      </c>
      <c r="K370" s="102">
        <v>4.28</v>
      </c>
      <c r="L370" s="102">
        <v>0</v>
      </c>
      <c r="M370" s="102"/>
      <c r="N370" s="102">
        <v>0</v>
      </c>
      <c r="O370" s="102"/>
      <c r="P370" s="102"/>
    </row>
    <row r="371" spans="2:16" x14ac:dyDescent="0.3">
      <c r="B371" s="102" t="s">
        <v>465</v>
      </c>
      <c r="C371" s="102" t="s">
        <v>466</v>
      </c>
      <c r="D371" s="102" t="s">
        <v>420</v>
      </c>
      <c r="E371" s="102"/>
      <c r="F371" s="102">
        <v>0</v>
      </c>
      <c r="G371" s="104">
        <v>224278</v>
      </c>
      <c r="H371" s="104">
        <v>5227535</v>
      </c>
      <c r="I371" s="104">
        <v>5235581</v>
      </c>
      <c r="J371" s="104">
        <v>8046</v>
      </c>
      <c r="K371" s="102">
        <v>100</v>
      </c>
      <c r="L371" s="102">
        <v>0.15</v>
      </c>
      <c r="M371" s="102"/>
      <c r="N371" s="104">
        <v>4977239</v>
      </c>
      <c r="O371" s="102"/>
      <c r="P371" s="102"/>
    </row>
    <row r="372" spans="2:16" x14ac:dyDescent="0.3">
      <c r="B372" s="102" t="s">
        <v>474</v>
      </c>
      <c r="C372" s="102" t="s">
        <v>475</v>
      </c>
      <c r="D372" s="102" t="s">
        <v>467</v>
      </c>
      <c r="E372" s="102" t="s">
        <v>468</v>
      </c>
      <c r="F372" s="102">
        <v>0</v>
      </c>
      <c r="G372" s="102">
        <v>1</v>
      </c>
      <c r="H372" s="104">
        <v>102585</v>
      </c>
      <c r="I372" s="104">
        <v>102010</v>
      </c>
      <c r="J372" s="102">
        <v>-575</v>
      </c>
      <c r="K372" s="102">
        <v>1.83</v>
      </c>
      <c r="L372" s="102">
        <v>-0.56000000000000005</v>
      </c>
      <c r="M372" s="102" t="s">
        <v>469</v>
      </c>
      <c r="N372" s="104">
        <v>102585</v>
      </c>
      <c r="O372" s="102">
        <v>0</v>
      </c>
      <c r="P372" s="102">
        <v>1.83</v>
      </c>
    </row>
    <row r="373" spans="2:16" x14ac:dyDescent="0.3">
      <c r="B373" s="102" t="s">
        <v>474</v>
      </c>
      <c r="C373" s="102" t="s">
        <v>475</v>
      </c>
      <c r="D373" s="102" t="s">
        <v>162</v>
      </c>
      <c r="E373" s="102" t="s">
        <v>476</v>
      </c>
      <c r="F373" s="102">
        <v>0</v>
      </c>
      <c r="G373" s="102">
        <v>4</v>
      </c>
      <c r="H373" s="104">
        <v>215344</v>
      </c>
      <c r="I373" s="104">
        <v>196480</v>
      </c>
      <c r="J373" s="104">
        <v>-18864</v>
      </c>
      <c r="K373" s="102">
        <v>3.52</v>
      </c>
      <c r="L373" s="102">
        <v>-8.76</v>
      </c>
      <c r="M373" s="102" t="s">
        <v>477</v>
      </c>
      <c r="N373" s="104">
        <v>215344</v>
      </c>
      <c r="O373" s="102">
        <v>0</v>
      </c>
      <c r="P373" s="102">
        <v>3.52</v>
      </c>
    </row>
    <row r="374" spans="2:16" x14ac:dyDescent="0.3">
      <c r="B374" s="102" t="s">
        <v>474</v>
      </c>
      <c r="C374" s="102" t="s">
        <v>475</v>
      </c>
      <c r="D374" s="102" t="s">
        <v>212</v>
      </c>
      <c r="E374" s="102" t="s">
        <v>213</v>
      </c>
      <c r="F374" s="102">
        <v>0</v>
      </c>
      <c r="G374" s="102">
        <v>1</v>
      </c>
      <c r="H374" s="104">
        <v>25877</v>
      </c>
      <c r="I374" s="104">
        <v>24800</v>
      </c>
      <c r="J374" s="104">
        <v>-1077</v>
      </c>
      <c r="K374" s="102">
        <v>0.44</v>
      </c>
      <c r="L374" s="102">
        <v>-4.16</v>
      </c>
      <c r="M374" s="102" t="s">
        <v>693</v>
      </c>
      <c r="N374" s="104">
        <v>25877</v>
      </c>
      <c r="O374" s="102">
        <v>0</v>
      </c>
      <c r="P374" s="102">
        <v>0.44</v>
      </c>
    </row>
    <row r="375" spans="2:16" x14ac:dyDescent="0.3">
      <c r="B375" s="102" t="s">
        <v>474</v>
      </c>
      <c r="C375" s="102" t="s">
        <v>475</v>
      </c>
      <c r="D375" s="102" t="s">
        <v>107</v>
      </c>
      <c r="E375" s="102" t="s">
        <v>108</v>
      </c>
      <c r="F375" s="102">
        <v>0</v>
      </c>
      <c r="G375" s="102">
        <v>21</v>
      </c>
      <c r="H375" s="104">
        <v>2114704</v>
      </c>
      <c r="I375" s="104">
        <v>2116905</v>
      </c>
      <c r="J375" s="104">
        <v>2201</v>
      </c>
      <c r="K375" s="102">
        <v>37.94</v>
      </c>
      <c r="L375" s="102">
        <v>0.1</v>
      </c>
      <c r="M375" s="102" t="s">
        <v>470</v>
      </c>
      <c r="N375" s="104">
        <v>2114704</v>
      </c>
      <c r="O375" s="102">
        <v>0</v>
      </c>
      <c r="P375" s="102">
        <v>37.94</v>
      </c>
    </row>
    <row r="376" spans="2:16" x14ac:dyDescent="0.3">
      <c r="B376" s="102" t="s">
        <v>474</v>
      </c>
      <c r="C376" s="102" t="s">
        <v>475</v>
      </c>
      <c r="D376" s="102" t="s">
        <v>214</v>
      </c>
      <c r="E376" s="102" t="s">
        <v>215</v>
      </c>
      <c r="F376" s="102">
        <v>0</v>
      </c>
      <c r="G376" s="102">
        <v>30</v>
      </c>
      <c r="H376" s="104">
        <v>376475</v>
      </c>
      <c r="I376" s="104">
        <v>365400</v>
      </c>
      <c r="J376" s="104">
        <v>-11075</v>
      </c>
      <c r="K376" s="102">
        <v>6.55</v>
      </c>
      <c r="L376" s="102">
        <v>-2.94</v>
      </c>
      <c r="M376" s="102" t="s">
        <v>694</v>
      </c>
      <c r="N376" s="104">
        <v>376475</v>
      </c>
      <c r="O376" s="102">
        <v>0</v>
      </c>
      <c r="P376" s="102">
        <v>6.55</v>
      </c>
    </row>
    <row r="377" spans="2:16" x14ac:dyDescent="0.3">
      <c r="B377" s="102" t="s">
        <v>474</v>
      </c>
      <c r="C377" s="102" t="s">
        <v>475</v>
      </c>
      <c r="D377" s="102" t="s">
        <v>122</v>
      </c>
      <c r="E377" s="102" t="s">
        <v>471</v>
      </c>
      <c r="F377" s="102">
        <v>0</v>
      </c>
      <c r="G377" s="102">
        <v>29</v>
      </c>
      <c r="H377" s="104">
        <v>348109</v>
      </c>
      <c r="I377" s="104">
        <v>349160</v>
      </c>
      <c r="J377" s="104">
        <v>1051</v>
      </c>
      <c r="K377" s="102">
        <v>6.26</v>
      </c>
      <c r="L377" s="102">
        <v>0.3</v>
      </c>
      <c r="M377" s="102" t="s">
        <v>472</v>
      </c>
      <c r="N377" s="104">
        <v>348109</v>
      </c>
      <c r="O377" s="102">
        <v>0</v>
      </c>
      <c r="P377" s="102">
        <v>6.26</v>
      </c>
    </row>
    <row r="378" spans="2:16" x14ac:dyDescent="0.3">
      <c r="B378" s="102" t="s">
        <v>474</v>
      </c>
      <c r="C378" s="102" t="s">
        <v>475</v>
      </c>
      <c r="D378" s="102" t="s">
        <v>216</v>
      </c>
      <c r="E378" s="102" t="s">
        <v>217</v>
      </c>
      <c r="F378" s="102">
        <v>0</v>
      </c>
      <c r="G378" s="102">
        <v>138</v>
      </c>
      <c r="H378" s="104">
        <v>2148512</v>
      </c>
      <c r="I378" s="104">
        <v>2145210</v>
      </c>
      <c r="J378" s="104">
        <v>-3302</v>
      </c>
      <c r="K378" s="102">
        <v>38.450000000000003</v>
      </c>
      <c r="L378" s="102">
        <v>-0.15</v>
      </c>
      <c r="M378" s="102" t="s">
        <v>473</v>
      </c>
      <c r="N378" s="104">
        <v>2082829</v>
      </c>
      <c r="O378" s="102">
        <v>0</v>
      </c>
      <c r="P378" s="102">
        <v>38.450000000000003</v>
      </c>
    </row>
    <row r="379" spans="2:16" x14ac:dyDescent="0.3">
      <c r="B379" s="102" t="s">
        <v>474</v>
      </c>
      <c r="C379" s="102" t="s">
        <v>475</v>
      </c>
      <c r="D379" s="102" t="s">
        <v>418</v>
      </c>
      <c r="E379" s="102" t="s">
        <v>419</v>
      </c>
      <c r="F379" s="102">
        <v>0</v>
      </c>
      <c r="G379" s="104">
        <v>279123</v>
      </c>
      <c r="H379" s="104">
        <v>279123</v>
      </c>
      <c r="I379" s="104">
        <v>279123</v>
      </c>
      <c r="J379" s="102">
        <v>0</v>
      </c>
      <c r="K379" s="102">
        <v>5</v>
      </c>
      <c r="L379" s="102">
        <v>0</v>
      </c>
      <c r="M379" s="102"/>
      <c r="N379" s="102">
        <v>0</v>
      </c>
      <c r="O379" s="102"/>
      <c r="P379" s="102"/>
    </row>
    <row r="380" spans="2:16" x14ac:dyDescent="0.3">
      <c r="B380" s="102" t="s">
        <v>474</v>
      </c>
      <c r="C380" s="102" t="s">
        <v>475</v>
      </c>
      <c r="D380" s="102" t="s">
        <v>420</v>
      </c>
      <c r="E380" s="102"/>
      <c r="F380" s="102">
        <v>0</v>
      </c>
      <c r="G380" s="104">
        <v>279347</v>
      </c>
      <c r="H380" s="104">
        <v>5610729</v>
      </c>
      <c r="I380" s="104">
        <v>5579088</v>
      </c>
      <c r="J380" s="104">
        <v>-31641</v>
      </c>
      <c r="K380" s="102">
        <v>99.99</v>
      </c>
      <c r="L380" s="102">
        <v>-0.56000000000000005</v>
      </c>
      <c r="M380" s="102"/>
      <c r="N380" s="104">
        <v>5265923</v>
      </c>
      <c r="O380" s="102"/>
      <c r="P380" s="102"/>
    </row>
    <row r="381" spans="2:16" x14ac:dyDescent="0.3">
      <c r="B381" s="102" t="s">
        <v>478</v>
      </c>
      <c r="C381" s="102" t="s">
        <v>479</v>
      </c>
      <c r="D381" s="102" t="s">
        <v>162</v>
      </c>
      <c r="E381" s="102" t="s">
        <v>476</v>
      </c>
      <c r="F381" s="102">
        <v>0</v>
      </c>
      <c r="G381" s="102">
        <v>10</v>
      </c>
      <c r="H381" s="104">
        <v>532515</v>
      </c>
      <c r="I381" s="104">
        <v>491200</v>
      </c>
      <c r="J381" s="104">
        <v>-41315</v>
      </c>
      <c r="K381" s="102">
        <v>8.17</v>
      </c>
      <c r="L381" s="102">
        <v>-7.76</v>
      </c>
      <c r="M381" s="102" t="s">
        <v>477</v>
      </c>
      <c r="N381" s="104">
        <v>532515</v>
      </c>
      <c r="O381" s="102">
        <v>0</v>
      </c>
      <c r="P381" s="102">
        <v>8.17</v>
      </c>
    </row>
    <row r="382" spans="2:16" x14ac:dyDescent="0.3">
      <c r="B382" s="102" t="s">
        <v>478</v>
      </c>
      <c r="C382" s="102" t="s">
        <v>479</v>
      </c>
      <c r="D382" s="102" t="s">
        <v>212</v>
      </c>
      <c r="E382" s="102" t="s">
        <v>213</v>
      </c>
      <c r="F382" s="102">
        <v>0</v>
      </c>
      <c r="G382" s="102">
        <v>9</v>
      </c>
      <c r="H382" s="104">
        <v>232959</v>
      </c>
      <c r="I382" s="104">
        <v>223200</v>
      </c>
      <c r="J382" s="104">
        <v>-9759</v>
      </c>
      <c r="K382" s="102">
        <v>3.71</v>
      </c>
      <c r="L382" s="102">
        <v>-4.1900000000000004</v>
      </c>
      <c r="M382" s="102" t="s">
        <v>693</v>
      </c>
      <c r="N382" s="104">
        <v>232959</v>
      </c>
      <c r="O382" s="102">
        <v>0</v>
      </c>
      <c r="P382" s="102">
        <v>3.71</v>
      </c>
    </row>
    <row r="383" spans="2:16" x14ac:dyDescent="0.3">
      <c r="B383" s="102" t="s">
        <v>478</v>
      </c>
      <c r="C383" s="102" t="s">
        <v>479</v>
      </c>
      <c r="D383" s="102" t="s">
        <v>107</v>
      </c>
      <c r="E383" s="102" t="s">
        <v>108</v>
      </c>
      <c r="F383" s="102">
        <v>0</v>
      </c>
      <c r="G383" s="102">
        <v>11</v>
      </c>
      <c r="H383" s="104">
        <v>1108248</v>
      </c>
      <c r="I383" s="104">
        <v>1108855</v>
      </c>
      <c r="J383" s="102">
        <v>607</v>
      </c>
      <c r="K383" s="102">
        <v>18.43</v>
      </c>
      <c r="L383" s="102">
        <v>0.05</v>
      </c>
      <c r="M383" s="102" t="s">
        <v>470</v>
      </c>
      <c r="N383" s="104">
        <v>1108248</v>
      </c>
      <c r="O383" s="102">
        <v>0</v>
      </c>
      <c r="P383" s="102">
        <v>18.43</v>
      </c>
    </row>
    <row r="384" spans="2:16" x14ac:dyDescent="0.3">
      <c r="B384" s="102" t="s">
        <v>478</v>
      </c>
      <c r="C384" s="102" t="s">
        <v>479</v>
      </c>
      <c r="D384" s="102" t="s">
        <v>214</v>
      </c>
      <c r="E384" s="102" t="s">
        <v>215</v>
      </c>
      <c r="F384" s="102">
        <v>0</v>
      </c>
      <c r="G384" s="102">
        <v>128</v>
      </c>
      <c r="H384" s="104">
        <v>1611185</v>
      </c>
      <c r="I384" s="104">
        <v>1559040</v>
      </c>
      <c r="J384" s="104">
        <v>-52145</v>
      </c>
      <c r="K384" s="102">
        <v>25.92</v>
      </c>
      <c r="L384" s="102">
        <v>-3.24</v>
      </c>
      <c r="M384" s="102" t="s">
        <v>694</v>
      </c>
      <c r="N384" s="104">
        <v>1611185</v>
      </c>
      <c r="O384" s="102">
        <v>0</v>
      </c>
      <c r="P384" s="102">
        <v>25.92</v>
      </c>
    </row>
    <row r="385" spans="2:16" x14ac:dyDescent="0.3">
      <c r="B385" s="102" t="s">
        <v>478</v>
      </c>
      <c r="C385" s="102" t="s">
        <v>479</v>
      </c>
      <c r="D385" s="102" t="s">
        <v>216</v>
      </c>
      <c r="E385" s="102" t="s">
        <v>217</v>
      </c>
      <c r="F385" s="102">
        <v>0</v>
      </c>
      <c r="G385" s="102">
        <v>147</v>
      </c>
      <c r="H385" s="104">
        <v>2308660</v>
      </c>
      <c r="I385" s="104">
        <v>2285115</v>
      </c>
      <c r="J385" s="104">
        <v>-23545</v>
      </c>
      <c r="K385" s="102">
        <v>37.99</v>
      </c>
      <c r="L385" s="102">
        <v>-1.02</v>
      </c>
      <c r="M385" s="102" t="s">
        <v>473</v>
      </c>
      <c r="N385" s="104">
        <v>2113530</v>
      </c>
      <c r="O385" s="102">
        <v>0</v>
      </c>
      <c r="P385" s="102">
        <v>37.99</v>
      </c>
    </row>
    <row r="386" spans="2:16" x14ac:dyDescent="0.3">
      <c r="B386" s="102" t="s">
        <v>478</v>
      </c>
      <c r="C386" s="102" t="s">
        <v>479</v>
      </c>
      <c r="D386" s="102" t="s">
        <v>418</v>
      </c>
      <c r="E386" s="102" t="s">
        <v>419</v>
      </c>
      <c r="F386" s="102">
        <v>0</v>
      </c>
      <c r="G386" s="104">
        <v>348150</v>
      </c>
      <c r="H386" s="104">
        <v>348150</v>
      </c>
      <c r="I386" s="104">
        <v>348150</v>
      </c>
      <c r="J386" s="102">
        <v>0</v>
      </c>
      <c r="K386" s="102">
        <v>5.79</v>
      </c>
      <c r="L386" s="102">
        <v>0</v>
      </c>
      <c r="M386" s="102"/>
      <c r="N386" s="102">
        <v>0</v>
      </c>
      <c r="O386" s="102"/>
      <c r="P386" s="102"/>
    </row>
    <row r="387" spans="2:16" x14ac:dyDescent="0.3">
      <c r="B387" s="102" t="s">
        <v>478</v>
      </c>
      <c r="C387" s="102" t="s">
        <v>479</v>
      </c>
      <c r="D387" s="102" t="s">
        <v>420</v>
      </c>
      <c r="E387" s="102"/>
      <c r="F387" s="102">
        <v>0</v>
      </c>
      <c r="G387" s="104">
        <v>348455</v>
      </c>
      <c r="H387" s="104">
        <v>6141717</v>
      </c>
      <c r="I387" s="104">
        <v>6015560</v>
      </c>
      <c r="J387" s="104">
        <v>-126157</v>
      </c>
      <c r="K387" s="102">
        <v>100.01</v>
      </c>
      <c r="L387" s="102">
        <v>-2.0499999999999998</v>
      </c>
      <c r="M387" s="102"/>
      <c r="N387" s="104">
        <v>5598437</v>
      </c>
      <c r="O387" s="102"/>
      <c r="P387" s="10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B1" workbookViewId="0">
      <pane ySplit="4" topLeftCell="A5" activePane="bottomLeft" state="frozen"/>
      <selection activeCell="H38" sqref="H31:H38"/>
      <selection pane="bottomLeft" activeCell="C5" sqref="C5"/>
    </sheetView>
  </sheetViews>
  <sheetFormatPr defaultColWidth="9" defaultRowHeight="16.5" x14ac:dyDescent="0.3"/>
  <cols>
    <col min="1" max="1" width="14" style="3" customWidth="1"/>
    <col min="2" max="2" width="18" style="3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0" width="12.25" style="24" customWidth="1"/>
    <col min="11" max="11" width="14.875" style="24" customWidth="1"/>
    <col min="12" max="12" width="12.25" style="24" customWidth="1"/>
    <col min="13" max="13" width="49.625" style="6" customWidth="1"/>
    <col min="14" max="14" width="10.875" style="3" bestFit="1" customWidth="1"/>
    <col min="15" max="16384" width="9" style="3"/>
  </cols>
  <sheetData>
    <row r="1" spans="1:15" x14ac:dyDescent="0.3">
      <c r="A1" s="47" t="s">
        <v>9</v>
      </c>
      <c r="B1" s="48" t="s">
        <v>392</v>
      </c>
      <c r="C1" s="61" t="s">
        <v>12</v>
      </c>
      <c r="D1" s="47" t="s">
        <v>17</v>
      </c>
      <c r="M1" s="24"/>
    </row>
    <row r="2" spans="1:15" x14ac:dyDescent="0.3">
      <c r="A2" s="7" t="s">
        <v>294</v>
      </c>
      <c r="B2" s="34" t="s">
        <v>296</v>
      </c>
      <c r="C2" s="34" t="s">
        <v>291</v>
      </c>
      <c r="D2" s="22">
        <v>7000000</v>
      </c>
    </row>
    <row r="3" spans="1:15" ht="6" customHeight="1" x14ac:dyDescent="0.4"/>
    <row r="4" spans="1:15" s="6" customFormat="1" x14ac:dyDescent="0.3">
      <c r="A4" s="45" t="s">
        <v>19</v>
      </c>
      <c r="B4" s="46" t="s">
        <v>20</v>
      </c>
      <c r="C4" s="63" t="s">
        <v>21</v>
      </c>
      <c r="D4" s="46" t="s">
        <v>10</v>
      </c>
      <c r="E4" s="58" t="s">
        <v>67</v>
      </c>
      <c r="F4" s="59" t="s">
        <v>71</v>
      </c>
      <c r="G4" s="72" t="s">
        <v>4</v>
      </c>
      <c r="H4" s="72" t="s">
        <v>5</v>
      </c>
      <c r="I4" s="70" t="s">
        <v>72</v>
      </c>
      <c r="J4" s="59" t="s">
        <v>73</v>
      </c>
      <c r="K4" s="59" t="s">
        <v>74</v>
      </c>
      <c r="L4" s="59" t="s">
        <v>96</v>
      </c>
      <c r="M4" s="46" t="s">
        <v>55</v>
      </c>
    </row>
    <row r="5" spans="1:15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안정1)'!E5,전체매매내역!K:K,"미래변동성안정1")&gt;0,"추가매수",IF(SUMIFS(전체매매내역!H:H,전체매매내역!G:G,'잔고변경현황(안정1)'!E5,전체매매내역!K:K,"미래변동성안정1")&lt;0,"일부매도","전량매도"))="전량매도","",IF(SUMIFS(전체매매내역!H:H,전체매매내역!G:G,'잔고변경현황(안정1)'!E5,전체매매내역!K:K,"미래변동성안정1")&gt;0,"추가매수",IF(SUMIFS(전체매매내역!H:H,전체매매내역!G:G,'잔고변경현황(안정1)'!E5,전체매매내역!K:K,"미래변동성안정1")&lt;0,"일부매도","전량매도")))</f>
        <v/>
      </c>
      <c r="D5" s="16" t="s">
        <v>202</v>
      </c>
      <c r="E5" s="35" t="str">
        <f>VLOOKUP($D5,투자유니버스!$A:$H,2,0)</f>
        <v>TIGER 200</v>
      </c>
      <c r="F5" s="69" t="str">
        <f>VLOOKUP($D5,투자유니버스!$A:$H,5,0)</f>
        <v>한국주식</v>
      </c>
      <c r="G5" s="16">
        <f>SUMIFS(전체매매내역!J:J,전체매매내역!B:B,'잔고변경현황(안정1)'!$A$2,전체매매내역!D:D,'잔고변경현황(안정1)'!$C$2,전체매매내역!G:G,'잔고변경현황(안정1)'!E5,전체매매내역!A:A,'잔고변경현황(안정1)'!A5)</f>
        <v>32</v>
      </c>
      <c r="H5" s="73">
        <f>SUMIFS('50578'!I:I,'50578'!E:E,'잔고변경현황(안정1)'!E5,'50578'!C:C,"미래변동성안정1")</f>
        <v>1133440</v>
      </c>
      <c r="I5" s="71">
        <f>SUMIFS('50578'!K:K,'50578'!C:C,"미래변동성안정1",'50578'!E:E,'잔고변경현황(안정1)'!E5)/100</f>
        <v>0.16739999999999999</v>
      </c>
      <c r="J5" s="38">
        <f>SUMIFS('MP내역(안정)'!G:G,'MP내역(안정)'!A:A,A5,'MP내역(안정)'!B:B,D5)</f>
        <v>0.17284224201208317</v>
      </c>
      <c r="K5" s="38">
        <f t="shared" ref="K5:K11" si="0">J5-I5</f>
        <v>5.4422420120831816E-3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  <c r="N5" s="21"/>
    </row>
    <row r="6" spans="1:15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안정1)'!E6,전체매매내역!K:K,"미래변동성안정1")&gt;0,"추가매수",IF(SUMIFS(전체매매내역!H:H,전체매매내역!G:G,'잔고변경현황(안정1)'!E6,전체매매내역!K:K,"미래변동성안정1")&lt;0,"일부매도","전량매도"))="전량매도","",IF(SUMIFS(전체매매내역!H:H,전체매매내역!G:G,'잔고변경현황(안정1)'!E6,전체매매내역!K:K,"미래변동성안정1")&gt;0,"추가매수",IF(SUMIFS(전체매매내역!H:H,전체매매내역!G:G,'잔고변경현황(안정1)'!E6,전체매매내역!K:K,"미래변동성안정1")&lt;0,"일부매도","전량매도")))</f>
        <v/>
      </c>
      <c r="D6" s="16" t="s">
        <v>387</v>
      </c>
      <c r="E6" s="35" t="str">
        <f>VLOOKUP($D6,투자유니버스!$A:$H,2,0)</f>
        <v>KODEX 200</v>
      </c>
      <c r="F6" s="69" t="str">
        <f>VLOOKUP($D6,투자유니버스!$A:$H,5,0)</f>
        <v>한국주식</v>
      </c>
      <c r="G6" s="16">
        <f>SUMIFS(전체매매내역!J:J,전체매매내역!B:B,'잔고변경현황(안정1)'!$A$2,전체매매내역!D:D,'잔고변경현황(안정1)'!$C$2,전체매매내역!G:G,'잔고변경현황(안정1)'!E6,전체매매내역!A:A,'잔고변경현황(안정1)'!A6)</f>
        <v>33</v>
      </c>
      <c r="H6" s="73">
        <f>SUMIFS('50578'!I:I,'50578'!E:E,'잔고변경현황(안정1)'!E6,'50578'!C:C,"미래변동성안정1")</f>
        <v>1167375</v>
      </c>
      <c r="I6" s="71">
        <f>SUMIFS('50578'!K:K,'50578'!C:C,"미래변동성안정1",'50578'!E:E,'잔고변경현황(안정1)'!E6)/100</f>
        <v>0.1724</v>
      </c>
      <c r="J6" s="38">
        <f>SUMIFS('MP내역(안정)'!G:G,'MP내역(안정)'!A:A,A6,'MP내역(안정)'!B:B,D6)</f>
        <v>0.17284224201208317</v>
      </c>
      <c r="K6" s="38">
        <f t="shared" si="0"/>
        <v>4.4224201208317715E-4</v>
      </c>
      <c r="L6" s="78">
        <f t="shared" ref="L6:L10" si="1">ROUND(G6*K6/I6,0)</f>
        <v>0</v>
      </c>
      <c r="M6" s="35" t="str">
        <f t="shared" ref="M6:M10" si="2">IF(F6="한국주식",IF(L6=0,"","자산가치변동"),IF(L6=0,"","일정금액의유동성확보"))</f>
        <v/>
      </c>
      <c r="N6" s="21"/>
    </row>
    <row r="7" spans="1:15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안정1)'!E7,전체매매내역!K:K,"미래변동성안정1")&gt;0,"추가매수",IF(SUMIFS(전체매매내역!H:H,전체매매내역!G:G,'잔고변경현황(안정1)'!E7,전체매매내역!K:K,"미래변동성안정1")&lt;0,"일부매도","전량매도"))="전량매도","",IF(SUMIFS(전체매매내역!H:H,전체매매내역!G:G,'잔고변경현황(안정1)'!E7,전체매매내역!K:K,"미래변동성안정1")&gt;0,"추가매수",IF(SUMIFS(전체매매내역!H:H,전체매매내역!G:G,'잔고변경현황(안정1)'!E7,전체매매내역!K:K,"미래변동성안정1")&lt;0,"일부매도","전량매도")))</f>
        <v/>
      </c>
      <c r="D7" s="16" t="s">
        <v>388</v>
      </c>
      <c r="E7" s="35" t="str">
        <f>VLOOKUP($D7,투자유니버스!$A:$H,2,0)</f>
        <v>KBSTAR 200</v>
      </c>
      <c r="F7" s="69" t="str">
        <f>VLOOKUP($D7,투자유니버스!$A:$H,5,0)</f>
        <v>한국주식</v>
      </c>
      <c r="G7" s="16">
        <f>SUMIFS(전체매매내역!J:J,전체매매내역!B:B,'잔고변경현황(안정1)'!$A$2,전체매매내역!D:D,'잔고변경현황(안정1)'!$C$2,전체매매내역!G:G,'잔고변경현황(안정1)'!E7,전체매매내역!A:A,'잔고변경현황(안정1)'!A7)</f>
        <v>32</v>
      </c>
      <c r="H7" s="73">
        <f>SUMIFS('50578'!I:I,'50578'!E:E,'잔고변경현황(안정1)'!E7,'50578'!C:C,"미래변동성안정1")</f>
        <v>1138880</v>
      </c>
      <c r="I7" s="71">
        <f>SUMIFS('50578'!K:K,'50578'!C:C,"미래변동성안정1",'50578'!E:E,'잔고변경현황(안정1)'!E7)/100</f>
        <v>0.16820000000000002</v>
      </c>
      <c r="J7" s="38">
        <f>SUMIFS('MP내역(안정)'!G:G,'MP내역(안정)'!A:A,A7,'MP내역(안정)'!B:B,D7)</f>
        <v>0.17284224201208317</v>
      </c>
      <c r="K7" s="38">
        <f t="shared" si="0"/>
        <v>4.6422420120831587E-3</v>
      </c>
      <c r="L7" s="78">
        <f t="shared" si="1"/>
        <v>1</v>
      </c>
      <c r="M7" s="35" t="str">
        <f t="shared" si="2"/>
        <v>자산가치변동</v>
      </c>
      <c r="N7" s="21"/>
    </row>
    <row r="8" spans="1:15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안정1)'!E8,전체매매내역!K:K,"미래변동성안정1")&gt;0,"추가매수",IF(SUMIFS(전체매매내역!H:H,전체매매내역!G:G,'잔고변경현황(안정1)'!E8,전체매매내역!K:K,"미래변동성안정1")&lt;0,"일부매도","전량매도"))="전량매도","",IF(SUMIFS(전체매매내역!H:H,전체매매내역!G:G,'잔고변경현황(안정1)'!E8,전체매매내역!K:K,"미래변동성안정1")&gt;0,"추가매수",IF(SUMIFS(전체매매내역!H:H,전체매매내역!G:G,'잔고변경현황(안정1)'!E8,전체매매내역!K:K,"미래변동성안정1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69" t="str">
        <f>VLOOKUP($D8,투자유니버스!$A:$H,5,0)</f>
        <v>한국국공채권</v>
      </c>
      <c r="G8" s="16">
        <f>SUMIFS(전체매매내역!J:J,전체매매내역!B:B,'잔고변경현황(안정1)'!$A$2,전체매매내역!D:D,'잔고변경현황(안정1)'!$C$2,전체매매내역!G:G,'잔고변경현황(안정1)'!E8,전체매매내역!A:A,'잔고변경현황(안정1)'!A8)</f>
        <v>20</v>
      </c>
      <c r="H8" s="73">
        <f>SUMIFS('50578'!I:I,'50578'!E:E,'잔고변경현황(안정1)'!E8,'50578'!C:C,"미래변동성안정1")</f>
        <v>1009800</v>
      </c>
      <c r="I8" s="71">
        <f>SUMIFS('50578'!K:K,'50578'!C:C,"미래변동성안정1",'50578'!E:E,'잔고변경현황(안정1)'!E8)/100</f>
        <v>0.14910000000000001</v>
      </c>
      <c r="J8" s="38">
        <f>SUMIFS('MP내역(안정)'!G:G,'MP내역(안정)'!A:A,A8,'MP내역(안정)'!B:B,D8)</f>
        <v>0.16049109132125017</v>
      </c>
      <c r="K8" s="38">
        <f t="shared" si="0"/>
        <v>1.1391091321250157E-2</v>
      </c>
      <c r="L8" s="78">
        <f t="shared" si="1"/>
        <v>2</v>
      </c>
      <c r="M8" s="35" t="str">
        <f t="shared" si="2"/>
        <v>일정금액의유동성확보</v>
      </c>
      <c r="N8" s="21"/>
    </row>
    <row r="9" spans="1:15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안정1)'!E9,전체매매내역!K:K,"미래변동성안정1")&gt;0,"추가매수",IF(SUMIFS(전체매매내역!H:H,전체매매내역!G:G,'잔고변경현황(안정1)'!E9,전체매매내역!K:K,"미래변동성안정1")&lt;0,"일부매도","전량매도"))="전량매도","",IF(SUMIFS(전체매매내역!H:H,전체매매내역!G:G,'잔고변경현황(안정1)'!E9,전체매매내역!K:K,"미래변동성안정1")&gt;0,"추가매수",IF(SUMIFS(전체매매내역!H:H,전체매매내역!G:G,'잔고변경현황(안정1)'!E9,전체매매내역!K:K,"미래변동성안정1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69" t="str">
        <f>VLOOKUP($D9,투자유니버스!$A:$H,5,0)</f>
        <v>한국국공채권</v>
      </c>
      <c r="G9" s="16">
        <f>SUMIFS(전체매매내역!J:J,전체매매내역!B:B,'잔고변경현황(안정1)'!$A$2,전체매매내역!D:D,'잔고변경현황(안정1)'!$C$2,전체매매내역!G:G,'잔고변경현황(안정1)'!E9,전체매매내역!A:A,'잔고변경현황(안정1)'!A9)</f>
        <v>10</v>
      </c>
      <c r="H9" s="73">
        <f>SUMIFS('50578'!I:I,'50578'!E:E,'잔고변경현황(안정1)'!E9,'50578'!C:C,"미래변동성안정1")</f>
        <v>1051200</v>
      </c>
      <c r="I9" s="71">
        <f>SUMIFS('50578'!K:K,'50578'!C:C,"미래변동성안정1",'50578'!E:E,'잔고변경현황(안정1)'!E9)/100</f>
        <v>0.1552</v>
      </c>
      <c r="J9" s="38">
        <f>SUMIFS('MP내역(안정)'!G:G,'MP내역(안정)'!A:A,A9,'MP내역(안정)'!B:B,D9)</f>
        <v>0.16049109132125017</v>
      </c>
      <c r="K9" s="38">
        <f t="shared" si="0"/>
        <v>5.2910913212501631E-3</v>
      </c>
      <c r="L9" s="78">
        <f t="shared" si="1"/>
        <v>0</v>
      </c>
      <c r="M9" s="35" t="str">
        <f t="shared" si="2"/>
        <v/>
      </c>
      <c r="N9" s="21"/>
    </row>
    <row r="10" spans="1:15" s="2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안정1)'!E10,전체매매내역!K:K,"미래변동성안정1")&gt;0,"추가매수",IF(SUMIFS(전체매매내역!H:H,전체매매내역!G:G,'잔고변경현황(안정1)'!E10,전체매매내역!K:K,"미래변동성안정1")&lt;0,"일부매도","전량매도"))="전량매도","",IF(SUMIFS(전체매매내역!H:H,전체매매내역!G:G,'잔고변경현황(안정1)'!E10,전체매매내역!K:K,"미래변동성안정1")&gt;0,"추가매수",IF(SUMIFS(전체매매내역!H:H,전체매매내역!G:G,'잔고변경현황(안정1)'!E10,전체매매내역!K:K,"미래변동성안정1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69" t="str">
        <f>VLOOKUP($D10,투자유니버스!$A:$H,5,0)</f>
        <v>한국국공채권</v>
      </c>
      <c r="G10" s="16">
        <f>SUMIFS(전체매매내역!J:J,전체매매내역!B:B,'잔고변경현황(안정1)'!$A$2,전체매매내역!D:D,'잔고변경현황(안정1)'!$C$2,전체매매내역!G:G,'잔고변경현황(안정1)'!E10,전체매매내역!A:A,'잔고변경현황(안정1)'!A10)</f>
        <v>10</v>
      </c>
      <c r="H10" s="73">
        <f>SUMIFS('50578'!I:I,'50578'!E:E,'잔고변경현황(안정1)'!E10,'50578'!C:C,"미래변동성안정1")</f>
        <v>1013250</v>
      </c>
      <c r="I10" s="71">
        <f>SUMIFS('50578'!K:K,'50578'!C:C,"미래변동성안정1",'50578'!E:E,'잔고변경현황(안정1)'!E10)/100</f>
        <v>0.14960000000000001</v>
      </c>
      <c r="J10" s="38">
        <f>SUMIFS('MP내역(안정)'!G:G,'MP내역(안정)'!A:A,A10,'MP내역(안정)'!B:B,D10)</f>
        <v>0.16049109132125017</v>
      </c>
      <c r="K10" s="38">
        <f t="shared" si="0"/>
        <v>1.0891091321250157E-2</v>
      </c>
      <c r="L10" s="78">
        <f t="shared" si="1"/>
        <v>1</v>
      </c>
      <c r="M10" s="35" t="str">
        <f t="shared" si="2"/>
        <v>일정금액의유동성확보</v>
      </c>
      <c r="O10" s="1"/>
    </row>
    <row r="11" spans="1:15" s="21" customFormat="1" x14ac:dyDescent="0.3">
      <c r="A11" s="2">
        <f>'50578'!$R$1</f>
        <v>44694</v>
      </c>
      <c r="B11" s="2">
        <f>'50578'!$R$1</f>
        <v>44694</v>
      </c>
      <c r="C11" s="60" t="str">
        <f>IF(IF(SUMIFS(전체매매내역!H:H,전체매매내역!G:G,'잔고변경현황(안정1)'!E11,전체매매내역!K:K,"미래변동성안정1")&gt;0,"추가매수",IF(SUMIFS(전체매매내역!H:H,전체매매내역!G:G,'잔고변경현황(안정1)'!E11,전체매매내역!K:K,"미래변동성안정1")&lt;0,"일부매도","전량매도"))="전량매도","",IF(SUMIFS(전체매매내역!H:H,전체매매내역!G:G,'잔고변경현황(안정1)'!E11,전체매매내역!K:K,"미래변동성안정1")&gt;0,"추가매수",IF(SUMIFS(전체매매내역!H:H,전체매매내역!G:G,'잔고변경현황(안정1)'!E11,전체매매내역!K:K,"미래변동성안정1")&lt;0,"일부매도","전량매도")))</f>
        <v/>
      </c>
      <c r="D11" s="16" t="s">
        <v>52</v>
      </c>
      <c r="E11" s="35" t="s">
        <v>301</v>
      </c>
      <c r="F11" s="69" t="str">
        <f>VLOOKUP($D11,투자유니버스!$A:$H,5,0)</f>
        <v>현금</v>
      </c>
      <c r="G11" s="16"/>
      <c r="H11" s="73">
        <f>SUMIFS('22012'!I:I,'22012'!C:C,"미래변동성안정1")</f>
        <v>0</v>
      </c>
      <c r="I11" s="71">
        <f>1-SUM(I5:I10)</f>
        <v>3.8100000000000023E-2</v>
      </c>
      <c r="J11" s="38">
        <f>SUMIFS('MP내역(안정)'!G:G,'MP내역(안정)'!A:A,A11,'MP내역(안정)'!B:B,D11)</f>
        <v>0</v>
      </c>
      <c r="K11" s="38">
        <f t="shared" si="0"/>
        <v>-3.8100000000000023E-2</v>
      </c>
      <c r="L11" s="78"/>
      <c r="M11" s="35"/>
    </row>
    <row r="12" spans="1:15" s="21" customFormat="1" x14ac:dyDescent="0.3">
      <c r="C12" s="64"/>
      <c r="E12" s="19"/>
      <c r="F12" s="19"/>
      <c r="H12" s="19"/>
      <c r="I12" s="23"/>
      <c r="J12" s="23"/>
      <c r="K12" s="23"/>
      <c r="L12" s="23"/>
      <c r="M12" s="19"/>
    </row>
    <row r="13" spans="1:15" s="21" customFormat="1" x14ac:dyDescent="0.3">
      <c r="C13" s="64"/>
      <c r="E13" s="19"/>
      <c r="F13" s="19"/>
      <c r="H13" s="19"/>
      <c r="I13" s="23"/>
      <c r="J13" s="23"/>
      <c r="K13" s="23"/>
      <c r="L13" s="23"/>
      <c r="M13" s="19"/>
    </row>
    <row r="14" spans="1:15" s="21" customFormat="1" x14ac:dyDescent="0.3">
      <c r="C14" s="64"/>
      <c r="E14" s="19"/>
      <c r="F14" s="19"/>
      <c r="H14" s="19"/>
      <c r="I14" s="23"/>
      <c r="J14" s="23"/>
      <c r="K14" s="23"/>
      <c r="L14" s="23"/>
      <c r="M14" s="19"/>
    </row>
    <row r="15" spans="1:15" s="21" customFormat="1" x14ac:dyDescent="0.3">
      <c r="C15" s="64"/>
      <c r="E15" s="19"/>
      <c r="F15" s="19"/>
      <c r="H15" s="19"/>
      <c r="I15" s="23"/>
      <c r="J15" s="23"/>
      <c r="K15" s="23"/>
      <c r="L15" s="23"/>
      <c r="M15" s="19"/>
    </row>
    <row r="16" spans="1:15" s="21" customFormat="1" x14ac:dyDescent="0.3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x14ac:dyDescent="0.3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x14ac:dyDescent="0.3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x14ac:dyDescent="0.3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B1" workbookViewId="0">
      <pane ySplit="4" topLeftCell="A5" activePane="bottomLeft" state="frozen"/>
      <selection activeCell="H38" sqref="H31:H38"/>
      <selection pane="bottomLeft" activeCell="E30" sqref="E30"/>
    </sheetView>
  </sheetViews>
  <sheetFormatPr defaultColWidth="9" defaultRowHeight="16.5" x14ac:dyDescent="0.3"/>
  <cols>
    <col min="1" max="1" width="14" style="3" customWidth="1"/>
    <col min="2" max="2" width="19.5" style="3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35.5" style="6" bestFit="1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294</v>
      </c>
      <c r="B2" s="34" t="s">
        <v>296</v>
      </c>
      <c r="C2" s="34" t="s">
        <v>292</v>
      </c>
      <c r="D2" s="22">
        <v>10000000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안정2)'!E5,전체매매내역!K:K,"미래변동성안정2")&gt;0,"추가매수",IF(SUMIFS(전체매매내역!H:H,전체매매내역!G:G,'잔고변경현황(안정2)'!E5,전체매매내역!K:K,"미래변동성안정2")&lt;0,"일부매도","전량매도"))="전량매도","",IF(SUMIFS(전체매매내역!H:H,전체매매내역!G:G,'잔고변경현황(안정2)'!E5,전체매매내역!K:K,"미래변동성안정2")&gt;0,"추가매수",IF(SUMIFS(전체매매내역!H:H,전체매매내역!G:G,'잔고변경현황(안정2)'!E5,전체매매내역!K:K,"미래변동성안정2")&lt;0,"일부매도","전량매도")))</f>
        <v/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16">
        <f>SUMIFS(전체매매내역!J:J,전체매매내역!B:B,'잔고변경현황(안정2)'!$A$2,전체매매내역!D:D,'잔고변경현황(안정2)'!$C$2,전체매매내역!G:G,'잔고변경현황(안정2)'!E5,전체매매내역!A:A,'잔고변경현황(안정2)'!A5)</f>
        <v>46</v>
      </c>
      <c r="H5" s="40">
        <f>SUMIFS('50578'!I:I,'50578'!E:E,'잔고변경현황(안정2)'!E5,'50578'!C:C,"미래변동성안정2")</f>
        <v>1629320</v>
      </c>
      <c r="I5" s="38">
        <f>SUMIFS('50578'!K:K,'50578'!C:C,"미래변동성안정2",'50578'!E:E,'잔고변경현황(안정2)'!E5)/100</f>
        <v>0.16839999999999999</v>
      </c>
      <c r="J5" s="38">
        <f>SUMIFS('MP내역(안정)'!G:G,'MP내역(안정)'!A:A,A5,'MP내역(안정)'!B:B,D5)</f>
        <v>0.17284224201208317</v>
      </c>
      <c r="K5" s="38">
        <f t="shared" ref="K5:K11" si="0">J5-I5</f>
        <v>4.4422420120831807E-3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안정2)'!E6,전체매매내역!K:K,"미래변동성안정2")&gt;0,"추가매수",IF(SUMIFS(전체매매내역!H:H,전체매매내역!G:G,'잔고변경현황(안정2)'!E6,전체매매내역!K:K,"미래변동성안정2")&lt;0,"일부매도","전량매도"))="전량매도","",IF(SUMIFS(전체매매내역!H:H,전체매매내역!G:G,'잔고변경현황(안정2)'!E6,전체매매내역!K:K,"미래변동성안정2")&gt;0,"추가매수",IF(SUMIFS(전체매매내역!H:H,전체매매내역!G:G,'잔고변경현황(안정2)'!E6,전체매매내역!K:K,"미래변동성안정2")&lt;0,"일부매도","전량매도")))</f>
        <v/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16">
        <f>SUMIFS(전체매매내역!J:J,전체매매내역!B:B,'잔고변경현황(안정2)'!$A$2,전체매매내역!D:D,'잔고변경현황(안정2)'!$C$2,전체매매내역!G:G,'잔고변경현황(안정2)'!E6,전체매매내역!A:A,'잔고변경현황(안정2)'!A6)</f>
        <v>46</v>
      </c>
      <c r="H6" s="40">
        <f>SUMIFS('50578'!I:I,'50578'!E:E,'잔고변경현황(안정2)'!E6,'50578'!C:C,"미래변동성안정2")</f>
        <v>1627250</v>
      </c>
      <c r="I6" s="38">
        <f>SUMIFS('50578'!K:K,'50578'!C:C,"미래변동성안정2",'50578'!E:E,'잔고변경현황(안정2)'!E6)/100</f>
        <v>0.16820000000000002</v>
      </c>
      <c r="J6" s="38">
        <f>SUMIFS('MP내역(안정)'!G:G,'MP내역(안정)'!A:A,A6,'MP내역(안정)'!B:B,D6)</f>
        <v>0.17284224201208317</v>
      </c>
      <c r="K6" s="38">
        <f t="shared" si="0"/>
        <v>4.6422420120831587E-3</v>
      </c>
      <c r="L6" s="78">
        <f t="shared" ref="L6:L10" si="1">ROUND(G6*K6/I6,0)</f>
        <v>1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안정2)'!E7,전체매매내역!K:K,"미래변동성안정2")&gt;0,"추가매수",IF(SUMIFS(전체매매내역!H:H,전체매매내역!G:G,'잔고변경현황(안정2)'!E7,전체매매내역!K:K,"미래변동성안정2")&lt;0,"일부매도","전량매도"))="전량매도","",IF(SUMIFS(전체매매내역!H:H,전체매매내역!G:G,'잔고변경현황(안정2)'!E7,전체매매내역!K:K,"미래변동성안정2")&gt;0,"추가매수",IF(SUMIFS(전체매매내역!H:H,전체매매내역!G:G,'잔고변경현황(안정2)'!E7,전체매매내역!K:K,"미래변동성안정2")&lt;0,"일부매도","전량매도")))</f>
        <v/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16">
        <f>SUMIFS(전체매매내역!J:J,전체매매내역!B:B,'잔고변경현황(안정2)'!$A$2,전체매매내역!D:D,'잔고변경현황(안정2)'!$C$2,전체매매내역!G:G,'잔고변경현황(안정2)'!E7,전체매매내역!A:A,'잔고변경현황(안정2)'!A7)</f>
        <v>46</v>
      </c>
      <c r="H7" s="40">
        <f>SUMIFS('50578'!I:I,'50578'!E:E,'잔고변경현황(안정2)'!E7,'50578'!C:C,"미래변동성안정2")</f>
        <v>1637140</v>
      </c>
      <c r="I7" s="38">
        <f>SUMIFS('50578'!K:K,'50578'!C:C,"미래변동성안정2",'50578'!E:E,'잔고변경현황(안정2)'!E7)/100</f>
        <v>0.16920000000000002</v>
      </c>
      <c r="J7" s="38">
        <f>SUMIFS('MP내역(안정)'!G:G,'MP내역(안정)'!A:A,A7,'MP내역(안정)'!B:B,D7)</f>
        <v>0.17284224201208317</v>
      </c>
      <c r="K7" s="38">
        <f t="shared" si="0"/>
        <v>3.6422420120831578E-3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안정2)'!E8,전체매매내역!K:K,"미래변동성안정2")&gt;0,"추가매수",IF(SUMIFS(전체매매내역!H:H,전체매매내역!G:G,'잔고변경현황(안정2)'!E8,전체매매내역!K:K,"미래변동성안정2")&lt;0,"일부매도","전량매도"))="전량매도","",IF(SUMIFS(전체매매내역!H:H,전체매매내역!G:G,'잔고변경현황(안정2)'!E8,전체매매내역!K:K,"미래변동성안정2")&gt;0,"추가매수",IF(SUMIFS(전체매매내역!H:H,전체매매내역!G:G,'잔고변경현황(안정2)'!E8,전체매매내역!K:K,"미래변동성안정2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16">
        <f>SUMIFS(전체매매내역!J:J,전체매매내역!B:B,'잔고변경현황(안정2)'!$A$2,전체매매내역!D:D,'잔고변경현황(안정2)'!$C$2,전체매매내역!G:G,'잔고변경현황(안정2)'!E8,전체매매내역!A:A,'잔고변경현황(안정2)'!A8)</f>
        <v>29</v>
      </c>
      <c r="H8" s="40">
        <f>SUMIFS('50578'!I:I,'50578'!E:E,'잔고변경현황(안정2)'!E8,'50578'!C:C,"미래변동성안정2")</f>
        <v>1464210</v>
      </c>
      <c r="I8" s="38">
        <f>SUMIFS('50578'!K:K,'50578'!C:C,"미래변동성안정2",'50578'!E:E,'잔고변경현황(안정2)'!E8)/100</f>
        <v>0.15130000000000002</v>
      </c>
      <c r="J8" s="38">
        <f>SUMIFS('MP내역(안정)'!G:G,'MP내역(안정)'!A:A,A8,'MP내역(안정)'!B:B,D8)</f>
        <v>0.16049109132125017</v>
      </c>
      <c r="K8" s="38">
        <f t="shared" si="0"/>
        <v>9.1910913212501499E-3</v>
      </c>
      <c r="L8" s="78">
        <f t="shared" si="1"/>
        <v>2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안정2)'!E9,전체매매내역!K:K,"미래변동성안정2")&gt;0,"추가매수",IF(SUMIFS(전체매매내역!H:H,전체매매내역!G:G,'잔고변경현황(안정2)'!E9,전체매매내역!K:K,"미래변동성안정2")&lt;0,"일부매도","전량매도"))="전량매도","",IF(SUMIFS(전체매매내역!H:H,전체매매내역!G:G,'잔고변경현황(안정2)'!E9,전체매매내역!K:K,"미래변동성안정2")&gt;0,"추가매수",IF(SUMIFS(전체매매내역!H:H,전체매매내역!G:G,'잔고변경현황(안정2)'!E9,전체매매내역!K:K,"미래변동성안정2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16">
        <f>SUMIFS(전체매매내역!J:J,전체매매내역!B:B,'잔고변경현황(안정2)'!$A$2,전체매매내역!D:D,'잔고변경현황(안정2)'!$C$2,전체매매내역!G:G,'잔고변경현황(안정2)'!E9,전체매매내역!A:A,'잔고변경현황(안정2)'!A9)</f>
        <v>14</v>
      </c>
      <c r="H9" s="40">
        <f>SUMIFS('50578'!I:I,'50578'!E:E,'잔고변경현황(안정2)'!E9,'50578'!C:C,"미래변동성안정2")</f>
        <v>1471680</v>
      </c>
      <c r="I9" s="38">
        <f>SUMIFS('50578'!K:K,'50578'!C:C,"미래변동성안정2",'50578'!E:E,'잔고변경현황(안정2)'!E9)/100</f>
        <v>0.15210000000000001</v>
      </c>
      <c r="J9" s="38">
        <f>SUMIFS('MP내역(안정)'!G:G,'MP내역(안정)'!A:A,A9,'MP내역(안정)'!B:B,D9)</f>
        <v>0.16049109132125017</v>
      </c>
      <c r="K9" s="38">
        <f t="shared" si="0"/>
        <v>8.3910913212501548E-3</v>
      </c>
      <c r="L9" s="78">
        <f t="shared" si="1"/>
        <v>1</v>
      </c>
      <c r="M9" s="35" t="str">
        <f t="shared" si="2"/>
        <v>일정금액의유동성확보</v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안정2)'!E10,전체매매내역!K:K,"미래변동성안정2")&gt;0,"추가매수",IF(SUMIFS(전체매매내역!H:H,전체매매내역!G:G,'잔고변경현황(안정2)'!E10,전체매매내역!K:K,"미래변동성안정2")&lt;0,"일부매도","전량매도"))="전량매도","",IF(SUMIFS(전체매매내역!H:H,전체매매내역!G:G,'잔고변경현황(안정2)'!E10,전체매매내역!K:K,"미래변동성안정2")&gt;0,"추가매수",IF(SUMIFS(전체매매내역!H:H,전체매매내역!G:G,'잔고변경현황(안정2)'!E10,전체매매내역!K:K,"미래변동성안정2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16">
        <f>SUMIFS(전체매매내역!J:J,전체매매내역!B:B,'잔고변경현황(안정2)'!$A$2,전체매매내역!D:D,'잔고변경현황(안정2)'!$C$2,전체매매내역!G:G,'잔고변경현황(안정2)'!E10,전체매매내역!A:A,'잔고변경현황(안정2)'!A10)</f>
        <v>14</v>
      </c>
      <c r="H10" s="40">
        <f>SUMIFS('50578'!I:I,'50578'!E:E,'잔고변경현황(안정2)'!E10,'50578'!C:C,"미래변동성안정2")</f>
        <v>1418550</v>
      </c>
      <c r="I10" s="38">
        <f>SUMIFS('50578'!K:K,'50578'!C:C,"미래변동성안정2",'50578'!E:E,'잔고변경현황(안정2)'!E10)/100</f>
        <v>0.14660000000000001</v>
      </c>
      <c r="J10" s="38">
        <f>SUMIFS('MP내역(안정)'!G:G,'MP내역(안정)'!A:A,A10,'MP내역(안정)'!B:B,D10)</f>
        <v>0.16049109132125017</v>
      </c>
      <c r="K10" s="38">
        <f t="shared" si="0"/>
        <v>1.389109132125016E-2</v>
      </c>
      <c r="L10" s="78">
        <f t="shared" si="1"/>
        <v>1</v>
      </c>
      <c r="M10" s="35" t="str">
        <f t="shared" si="2"/>
        <v>일정금액의유동성확보</v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 t="str">
        <f>IF(IF(SUMIFS(전체매매내역!H:H,전체매매내역!G:G,'잔고변경현황(안정2)'!E11,전체매매내역!K:K,"미래변동성안정2")&gt;0,"추가매수",IF(SUMIFS(전체매매내역!H:H,전체매매내역!G:G,'잔고변경현황(안정2)'!E11,전체매매내역!K:K,"미래변동성안정2")&lt;0,"일부매도","전량매도"))="전량매도","",IF(SUMIFS(전체매매내역!H:H,전체매매내역!G:G,'잔고변경현황(안정2)'!E11,전체매매내역!K:K,"미래변동성안정2")&gt;0,"추가매수",IF(SUMIFS(전체매매내역!H:H,전체매매내역!G:G,'잔고변경현황(안정2)'!E11,전체매매내역!K:K,"미래변동성안정2")&lt;0,"일부매도","전량매도")))</f>
        <v/>
      </c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16"/>
      <c r="H11" s="73">
        <f>SUMIFS('22012'!I:I,'22012'!C:C,"미래변동성안정2")</f>
        <v>272099</v>
      </c>
      <c r="I11" s="71">
        <f>1-SUM(I5:I10)</f>
        <v>4.4200000000000017E-2</v>
      </c>
      <c r="J11" s="38">
        <f>SUMIFS('MP내역(안정)'!G:G,'MP내역(안정)'!A:A,A11,'MP내역(안정)'!B:B,D11)</f>
        <v>0</v>
      </c>
      <c r="K11" s="38">
        <f t="shared" si="0"/>
        <v>-4.4200000000000017E-2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s="21" customFormat="1" x14ac:dyDescent="0.3">
      <c r="C39" s="64"/>
      <c r="E39" s="19"/>
      <c r="F39" s="19"/>
      <c r="H39" s="19"/>
      <c r="I39" s="23"/>
      <c r="J39" s="23"/>
      <c r="K39" s="23"/>
      <c r="L39" s="23"/>
      <c r="M39" s="19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H38" sqref="H31:H38"/>
      <selection pane="bottomLeft" activeCell="C5" sqref="C5"/>
    </sheetView>
  </sheetViews>
  <sheetFormatPr defaultColWidth="9" defaultRowHeight="16.5" x14ac:dyDescent="0.3"/>
  <cols>
    <col min="1" max="1" width="14" style="3" customWidth="1"/>
    <col min="2" max="2" width="19.5" style="3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294</v>
      </c>
      <c r="B2" s="34" t="s">
        <v>296</v>
      </c>
      <c r="C2" s="34" t="s">
        <v>293</v>
      </c>
      <c r="D2" s="22">
        <v>13000000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안정3)'!E5,전체매매내역!K:K,"미래변동성안정3")&gt;0,"추가매수",IF(SUMIFS(전체매매내역!H:H,전체매매내역!G:G,'잔고변경현황(안정3)'!E5,전체매매내역!K:K,"미래변동성안정3")&lt;0,"일부매도","전량매도"))="전량매도","",IF(SUMIFS(전체매매내역!H:H,전체매매내역!G:G,'잔고변경현황(안정3)'!E5,전체매매내역!K:K,"미래변동성안정3")&gt;0,"추가매수",IF(SUMIFS(전체매매내역!H:H,전체매매내역!G:G,'잔고변경현황(안정3)'!E5,전체매매내역!K:K,"미래변동성안정3")&lt;0,"일부매도","전량매도")))</f>
        <v/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SUMIFS(전체매매내역!J:J,전체매매내역!B:B,'잔고변경현황(안정3)'!$A$2,전체매매내역!D:D,'잔고변경현황(안정3)'!$C$2,전체매매내역!G:G,'잔고변경현황(안정3)'!E5,전체매매내역!A:A,'잔고변경현황(안정3)'!A5)</f>
        <v>60</v>
      </c>
      <c r="H5" s="41">
        <f>SUMIFS('50578'!I:I,'50578'!E:E,'잔고변경현황(안정3)'!E5,'50578'!C:C,"미래변동성안정3")</f>
        <v>2125200</v>
      </c>
      <c r="I5" s="38">
        <f>SUMIFS('50578'!K:K,'50578'!C:C,"미래변동성안정3",'50578'!E:E,'잔고변경현황(안정3)'!E5)/100</f>
        <v>0.16889999999999999</v>
      </c>
      <c r="J5" s="38">
        <f>SUMIFS('MP내역(안정)'!G:G,'MP내역(안정)'!A:A,A5,'MP내역(안정)'!B:B,D5)</f>
        <v>0.17284224201208317</v>
      </c>
      <c r="K5" s="38">
        <f>J5-I5</f>
        <v>3.9422420120831803E-3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안정3)'!E6,전체매매내역!K:K,"미래변동성안정3")&gt;0,"추가매수",IF(SUMIFS(전체매매내역!H:H,전체매매내역!G:G,'잔고변경현황(안정3)'!E6,전체매매내역!K:K,"미래변동성안정3")&lt;0,"일부매도","전량매도"))="전량매도","",IF(SUMIFS(전체매매내역!H:H,전체매매내역!G:G,'잔고변경현황(안정3)'!E6,전체매매내역!K:K,"미래변동성안정3")&gt;0,"추가매수",IF(SUMIFS(전체매매내역!H:H,전체매매내역!G:G,'잔고변경현황(안정3)'!E6,전체매매내역!K:K,"미래변동성안정3")&lt;0,"일부매도","전량매도")))</f>
        <v/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SUMIFS(전체매매내역!J:J,전체매매내역!B:B,'잔고변경현황(안정3)'!$A$2,전체매매내역!D:D,'잔고변경현황(안정3)'!$C$2,전체매매내역!G:G,'잔고변경현황(안정3)'!E6,전체매매내역!A:A,'잔고변경현황(안정3)'!A6)</f>
        <v>60</v>
      </c>
      <c r="H6" s="41">
        <f>SUMIFS('50578'!I:I,'50578'!E:E,'잔고변경현황(안정3)'!E6,'50578'!C:C,"미래변동성안정3")</f>
        <v>2122500</v>
      </c>
      <c r="I6" s="38">
        <f>SUMIFS('50578'!K:K,'50578'!C:C,"미래변동성안정3",'50578'!E:E,'잔고변경현황(안정3)'!E6)/100</f>
        <v>0.16870000000000002</v>
      </c>
      <c r="J6" s="38">
        <f>SUMIFS('MP내역(안정)'!G:G,'MP내역(안정)'!A:A,A6,'MP내역(안정)'!B:B,D6)</f>
        <v>0.17284224201208317</v>
      </c>
      <c r="K6" s="38">
        <f t="shared" ref="K6:K10" si="0">J6-I6</f>
        <v>4.1422420120831582E-3</v>
      </c>
      <c r="L6" s="78">
        <f t="shared" ref="L6:L10" si="1">ROUND(G6*K6/I6,0)</f>
        <v>1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안정3)'!E7,전체매매내역!K:K,"미래변동성안정3")&gt;0,"추가매수",IF(SUMIFS(전체매매내역!H:H,전체매매내역!G:G,'잔고변경현황(안정3)'!E7,전체매매내역!K:K,"미래변동성안정3")&lt;0,"일부매도","전량매도"))="전량매도","",IF(SUMIFS(전체매매내역!H:H,전체매매내역!G:G,'잔고변경현황(안정3)'!E7,전체매매내역!K:K,"미래변동성안정3")&gt;0,"추가매수",IF(SUMIFS(전체매매내역!H:H,전체매매내역!G:G,'잔고변경현황(안정3)'!E7,전체매매내역!K:K,"미래변동성안정3")&lt;0,"일부매도","전량매도")))</f>
        <v/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SUMIFS(전체매매내역!J:J,전체매매내역!B:B,'잔고변경현황(안정3)'!$A$2,전체매매내역!D:D,'잔고변경현황(안정3)'!$C$2,전체매매내역!G:G,'잔고변경현황(안정3)'!E7,전체매매내역!A:A,'잔고변경현황(안정3)'!A7)</f>
        <v>60</v>
      </c>
      <c r="H7" s="41">
        <f>SUMIFS('50578'!I:I,'50578'!E:E,'잔고변경현황(안정3)'!E7,'50578'!C:C,"미래변동성안정3")</f>
        <v>2135400</v>
      </c>
      <c r="I7" s="38">
        <f>SUMIFS('50578'!K:K,'50578'!C:C,"미래변동성안정3",'50578'!E:E,'잔고변경현황(안정3)'!E7)/100</f>
        <v>0.16980000000000001</v>
      </c>
      <c r="J7" s="38">
        <f>SUMIFS('MP내역(안정)'!G:G,'MP내역(안정)'!A:A,A7,'MP내역(안정)'!B:B,D7)</f>
        <v>0.17284224201208317</v>
      </c>
      <c r="K7" s="38">
        <f t="shared" si="0"/>
        <v>3.0422420120831684E-3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안정3)'!E8,전체매매내역!K:K,"미래변동성안정3")&gt;0,"추가매수",IF(SUMIFS(전체매매내역!H:H,전체매매내역!G:G,'잔고변경현황(안정3)'!E8,전체매매내역!K:K,"미래변동성안정3")&lt;0,"일부매도","전량매도"))="전량매도","",IF(SUMIFS(전체매매내역!H:H,전체매매내역!G:G,'잔고변경현황(안정3)'!E8,전체매매내역!K:K,"미래변동성안정3")&gt;0,"추가매수",IF(SUMIFS(전체매매내역!H:H,전체매매내역!G:G,'잔고변경현황(안정3)'!E8,전체매매내역!K:K,"미래변동성안정3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SUMIFS(전체매매내역!J:J,전체매매내역!B:B,'잔고변경현황(안정3)'!$A$2,전체매매내역!D:D,'잔고변경현황(안정3)'!$C$2,전체매매내역!G:G,'잔고변경현황(안정3)'!E8,전체매매내역!A:A,'잔고변경현황(안정3)'!A8)</f>
        <v>38</v>
      </c>
      <c r="H8" s="41">
        <f>SUMIFS('50578'!I:I,'50578'!E:E,'잔고변경현황(안정3)'!E8,'50578'!C:C,"미래변동성안정3")</f>
        <v>1918620</v>
      </c>
      <c r="I8" s="38">
        <f>SUMIFS('50578'!K:K,'50578'!C:C,"미래변동성안정3",'50578'!E:E,'잔고변경현황(안정3)'!E8)/100</f>
        <v>0.1525</v>
      </c>
      <c r="J8" s="38">
        <f>SUMIFS('MP내역(안정)'!G:G,'MP내역(안정)'!A:A,A8,'MP내역(안정)'!B:B,D8)</f>
        <v>0.16049109132125017</v>
      </c>
      <c r="K8" s="38">
        <f t="shared" si="0"/>
        <v>7.9910913212501711E-3</v>
      </c>
      <c r="L8" s="78">
        <f t="shared" si="1"/>
        <v>2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안정3)'!E9,전체매매내역!K:K,"미래변동성안정3")&gt;0,"추가매수",IF(SUMIFS(전체매매내역!H:H,전체매매내역!G:G,'잔고변경현황(안정3)'!E9,전체매매내역!K:K,"미래변동성안정3")&lt;0,"일부매도","전량매도"))="전량매도","",IF(SUMIFS(전체매매내역!H:H,전체매매내역!G:G,'잔고변경현황(안정3)'!E9,전체매매내역!K:K,"미래변동성안정3")&gt;0,"추가매수",IF(SUMIFS(전체매매내역!H:H,전체매매내역!G:G,'잔고변경현황(안정3)'!E9,전체매매내역!K:K,"미래변동성안정3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SUMIFS(전체매매내역!J:J,전체매매내역!B:B,'잔고변경현황(안정3)'!$A$2,전체매매내역!D:D,'잔고변경현황(안정3)'!$C$2,전체매매내역!G:G,'잔고변경현황(안정3)'!E9,전체매매내역!A:A,'잔고변경현황(안정3)'!A9)</f>
        <v>18</v>
      </c>
      <c r="H9" s="41">
        <f>SUMIFS('50578'!I:I,'50578'!E:E,'잔고변경현황(안정3)'!E9,'50578'!C:C,"미래변동성안정3")</f>
        <v>1892160</v>
      </c>
      <c r="I9" s="38">
        <f>SUMIFS('50578'!K:K,'50578'!C:C,"미래변동성안정3",'50578'!E:E,'잔고변경현황(안정3)'!E9)/100</f>
        <v>0.15039999999999998</v>
      </c>
      <c r="J9" s="38">
        <f>SUMIFS('MP내역(안정)'!G:G,'MP내역(안정)'!A:A,A9,'MP내역(안정)'!B:B,D9)</f>
        <v>0.16049109132125017</v>
      </c>
      <c r="K9" s="38">
        <f t="shared" si="0"/>
        <v>1.009109132125019E-2</v>
      </c>
      <c r="L9" s="78">
        <f t="shared" si="1"/>
        <v>1</v>
      </c>
      <c r="M9" s="35" t="str">
        <f t="shared" si="2"/>
        <v>일정금액의유동성확보</v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안정3)'!E10,전체매매내역!K:K,"미래변동성안정3")&gt;0,"추가매수",IF(SUMIFS(전체매매내역!H:H,전체매매내역!G:G,'잔고변경현황(안정3)'!E10,전체매매내역!K:K,"미래변동성안정3")&lt;0,"일부매도","전량매도"))="전량매도","",IF(SUMIFS(전체매매내역!H:H,전체매매내역!G:G,'잔고변경현황(안정3)'!E10,전체매매내역!K:K,"미래변동성안정3")&gt;0,"추가매수",IF(SUMIFS(전체매매내역!H:H,전체매매내역!G:G,'잔고변경현황(안정3)'!E10,전체매매내역!K:K,"미래변동성안정3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SUMIFS(전체매매내역!J:J,전체매매내역!B:B,'잔고변경현황(안정3)'!$A$2,전체매매내역!D:D,'잔고변경현황(안정3)'!$C$2,전체매매내역!G:G,'잔고변경현황(안정3)'!E10,전체매매내역!A:A,'잔고변경현황(안정3)'!A10)</f>
        <v>19</v>
      </c>
      <c r="H10" s="41">
        <f>SUMIFS('50578'!I:I,'50578'!E:E,'잔고변경현황(안정3)'!E10,'50578'!C:C,"미래변동성안정3")</f>
        <v>1925175</v>
      </c>
      <c r="I10" s="38">
        <f>SUMIFS('50578'!K:K,'50578'!C:C,"미래변동성안정3",'50578'!E:E,'잔고변경현황(안정3)'!E10)/100</f>
        <v>0.153</v>
      </c>
      <c r="J10" s="38">
        <f>SUMIFS('MP내역(안정)'!G:G,'MP내역(안정)'!A:A,A10,'MP내역(안정)'!B:B,D10)</f>
        <v>0.16049109132125017</v>
      </c>
      <c r="K10" s="38">
        <f t="shared" si="0"/>
        <v>7.4910913212501706E-3</v>
      </c>
      <c r="L10" s="78">
        <f t="shared" si="1"/>
        <v>1</v>
      </c>
      <c r="M10" s="35" t="str">
        <f t="shared" si="2"/>
        <v>일정금액의유동성확보</v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 t="str">
        <f>IF(IF(SUMIFS(전체매매내역!H:H,전체매매내역!G:G,'잔고변경현황(안정3)'!E11,전체매매내역!K:K,"미래변동성안정3")&gt;0,"추가매수",IF(SUMIFS(전체매매내역!H:H,전체매매내역!G:G,'잔고변경현황(안정3)'!E11,전체매매내역!K:K,"미래변동성안정3")&lt;0,"일부매도","전량매도"))="전량매도","",IF(SUMIFS(전체매매내역!H:H,전체매매내역!G:G,'잔고변경현황(안정3)'!E11,전체매매내역!K:K,"미래변동성안정3")&gt;0,"추가매수",IF(SUMIFS(전체매매내역!H:H,전체매매내역!G:G,'잔고변경현황(안정3)'!E11,전체매매내역!K:K,"미래변동성안정3")&lt;0,"일부매도","전량매도")))</f>
        <v/>
      </c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SUMIFS('22012'!I:I,'22012'!C:C,"미래변동성안정3")</f>
        <v>0</v>
      </c>
      <c r="I11" s="71">
        <f>1-SUM(I5:I10)</f>
        <v>3.6699999999999955E-2</v>
      </c>
      <c r="J11" s="38">
        <f>SUMIFS('MP내역(안정)'!G:G,'MP내역(안정)'!A:A,A11,'MP내역(안정)'!B:B,D11)</f>
        <v>0</v>
      </c>
      <c r="K11" s="38">
        <f>J11-I11</f>
        <v>-3.6699999999999955E-2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x14ac:dyDescent="0.3">
      <c r="L39" s="23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5"/>
  <sheetViews>
    <sheetView zoomScale="90" zoomScaleNormal="90" workbookViewId="0">
      <pane xSplit="1" ySplit="5" topLeftCell="B6" activePane="bottomRight" state="frozen"/>
      <selection activeCell="K18" sqref="K18"/>
      <selection pane="topRight" activeCell="K18" sqref="K18"/>
      <selection pane="bottomLeft" activeCell="K18" sqref="K18"/>
      <selection pane="bottomRight" activeCell="J7" sqref="J7"/>
    </sheetView>
  </sheetViews>
  <sheetFormatPr defaultColWidth="9" defaultRowHeight="16.5" x14ac:dyDescent="0.3"/>
  <cols>
    <col min="1" max="1" width="14.875" style="1" customWidth="1"/>
    <col min="2" max="2" width="22.25" style="1" bestFit="1" customWidth="1"/>
    <col min="3" max="3" width="16.375" style="1" customWidth="1"/>
    <col min="4" max="4" width="9.375" style="1" customWidth="1"/>
    <col min="5" max="5" width="14.5" style="14" customWidth="1"/>
    <col min="6" max="6" width="11.875" style="15" bestFit="1" customWidth="1"/>
    <col min="7" max="7" width="10.125" style="15" customWidth="1"/>
    <col min="8" max="8" width="11.25" style="15" bestFit="1" customWidth="1"/>
    <col min="9" max="9" width="14.875" style="15" customWidth="1"/>
    <col min="10" max="10" width="14.375" style="15" customWidth="1"/>
    <col min="11" max="11" width="12.875" style="15" customWidth="1"/>
    <col min="12" max="12" width="13.25" style="15" customWidth="1"/>
    <col min="13" max="13" width="12.5" style="14" customWidth="1"/>
    <col min="14" max="14" width="9" style="14"/>
    <col min="15" max="15" width="11.875" style="14" customWidth="1"/>
    <col min="16" max="16384" width="9" style="14"/>
  </cols>
  <sheetData>
    <row r="1" spans="1:15" s="36" customFormat="1" ht="33" x14ac:dyDescent="0.3">
      <c r="A1" s="47" t="s">
        <v>9</v>
      </c>
      <c r="B1" s="48" t="s">
        <v>392</v>
      </c>
      <c r="C1" s="47" t="s">
        <v>78</v>
      </c>
      <c r="D1" s="47" t="s">
        <v>14</v>
      </c>
      <c r="E1" s="52" t="s">
        <v>2</v>
      </c>
      <c r="F1" s="53" t="s">
        <v>18</v>
      </c>
      <c r="G1" s="54" t="s">
        <v>3</v>
      </c>
      <c r="H1" s="55" t="s">
        <v>39</v>
      </c>
      <c r="I1" s="55" t="s">
        <v>40</v>
      </c>
      <c r="J1" s="37"/>
      <c r="K1" s="37"/>
    </row>
    <row r="2" spans="1:15" s="1" customFormat="1" x14ac:dyDescent="0.3">
      <c r="A2" s="7" t="s">
        <v>295</v>
      </c>
      <c r="B2" s="7" t="s">
        <v>393</v>
      </c>
      <c r="C2" s="9">
        <v>0.8</v>
      </c>
      <c r="D2" s="18">
        <v>1</v>
      </c>
      <c r="E2" s="18">
        <v>4.2</v>
      </c>
      <c r="F2" s="8"/>
      <c r="G2" s="13"/>
      <c r="H2" s="13"/>
      <c r="I2" s="13"/>
      <c r="J2" s="17"/>
      <c r="K2" s="17"/>
    </row>
    <row r="3" spans="1:15" s="1" customFormat="1" x14ac:dyDescent="0.3">
      <c r="F3" s="17"/>
      <c r="G3" s="17"/>
      <c r="H3" s="17"/>
      <c r="I3" s="17"/>
      <c r="J3" s="17"/>
      <c r="K3" s="17"/>
      <c r="L3" s="17"/>
    </row>
    <row r="4" spans="1:15" s="1" customFormat="1" x14ac:dyDescent="0.3">
      <c r="A4" s="56" t="s">
        <v>23</v>
      </c>
      <c r="B4" s="68" t="s">
        <v>390</v>
      </c>
      <c r="C4" s="68" t="s">
        <v>391</v>
      </c>
      <c r="D4" s="118" t="s">
        <v>43</v>
      </c>
      <c r="E4" s="118" t="s">
        <v>79</v>
      </c>
      <c r="F4" s="118" t="s">
        <v>44</v>
      </c>
      <c r="G4" s="120" t="s">
        <v>0</v>
      </c>
      <c r="H4" s="115" t="s">
        <v>80</v>
      </c>
      <c r="I4" s="115"/>
      <c r="J4" s="115"/>
      <c r="K4" s="115" t="s">
        <v>29</v>
      </c>
      <c r="L4" s="115"/>
      <c r="M4" s="115"/>
      <c r="N4" s="115"/>
      <c r="O4" s="116" t="s">
        <v>11</v>
      </c>
    </row>
    <row r="5" spans="1:15" s="1" customFormat="1" ht="49.5" x14ac:dyDescent="0.3">
      <c r="A5" s="57" t="s">
        <v>81</v>
      </c>
      <c r="B5" s="68">
        <v>4</v>
      </c>
      <c r="C5" s="68">
        <v>1</v>
      </c>
      <c r="D5" s="119"/>
      <c r="E5" s="119"/>
      <c r="F5" s="119"/>
      <c r="G5" s="121"/>
      <c r="H5" s="28" t="s">
        <v>15</v>
      </c>
      <c r="I5" s="28" t="s">
        <v>82</v>
      </c>
      <c r="J5" s="28" t="s">
        <v>83</v>
      </c>
      <c r="K5" s="28" t="s">
        <v>84</v>
      </c>
      <c r="L5" s="29" t="s">
        <v>85</v>
      </c>
      <c r="M5" s="29" t="s">
        <v>32</v>
      </c>
      <c r="N5" s="29" t="s">
        <v>25</v>
      </c>
      <c r="O5" s="117"/>
    </row>
    <row r="6" spans="1:15" s="1" customFormat="1" x14ac:dyDescent="0.3">
      <c r="A6" s="2">
        <f>'50578'!$R$1</f>
        <v>44694</v>
      </c>
      <c r="B6" s="25">
        <f>IF(ISBLANK($A6),"",SUMIFS('MP내역(중립)'!$G:$G,'MP내역(중립)'!$A:$A,$A6,'MP내역(중립)'!$D:$D,B$4,'MP내역(중립)'!$E:$E,B$5))</f>
        <v>0.6913689680483327</v>
      </c>
      <c r="C6" s="25">
        <f>IF(ISBLANK($A6),"",SUMIFS('MP내역(중립)'!$G:$G,'MP내역(중립)'!$A:$A,$A6,'MP내역(중립)'!$D:$D,C$4,'MP내역(중립)'!$E:$E,C$5))</f>
        <v>0.3086310319516673</v>
      </c>
      <c r="D6" s="25">
        <f>IF(ISBLANK(A6),"",SUM(B6:C6))</f>
        <v>1</v>
      </c>
      <c r="E6" s="25">
        <f>IF(ISBLANK(A6),"",SUMIFS('MP내역(중립)'!G:G,'MP내역(중립)'!A:A,'포트변경내역(중립)'!A6,'MP내역(중립)'!F:F,"Y"))</f>
        <v>0.6913689680483327</v>
      </c>
      <c r="F6" s="32">
        <f>IF(ISBLANK(A6),"",SUMPRODUCT($B$5:$C$5,B6:C6))</f>
        <v>3.074106904144998</v>
      </c>
      <c r="G6" s="12"/>
      <c r="H6" s="10" t="str">
        <f>IF(ISBLANK(E6),"",IF($C$2&gt;=E6,"O","X"))</f>
        <v>O</v>
      </c>
      <c r="I6" s="10" t="str">
        <f>IF(ISBLANK(F6),"",IF(AND($D$2&lt;=F6,F6&lt;=$E$2),"O","X"))</f>
        <v>O</v>
      </c>
      <c r="J6" s="10" t="str">
        <f>IF(ISBLANK(A6),"",IFERROR(IF(F6&lt;VLOOKUP(A6,'포트변경내역(적극)'!A:F,6,0),"O","X"),""))</f>
        <v>O</v>
      </c>
      <c r="K6" s="10">
        <f>IF(ISBLANK(A6),"",COUNTIFS('MP내역(중립)'!$A:$A,A6)-COUNTIFS('MP내역(중립)'!$A:$A,A6,'MP내역(중립)'!$B:$B,"현금")-COUNTIFS('MP내역(중립)'!$A:$A,A6,'MP내역(중립)'!$B:$B,"예수금")-COUNTIFS('MP내역(중립)'!$A:$A,A6,'MP내역(중립)'!$B:$B,"예탁금")-COUNTIFS('MP내역(중립)'!$A:$A,A6,'MP내역(중립)'!$B:$B,"합계"))</f>
        <v>6</v>
      </c>
      <c r="L6" s="10" t="str">
        <f>IF(ISBLANK(A6),"",IF(COUNTIFS('MP내역(중립)'!A:A,A6,'MP내역(중립)'!G:G,"&gt;"&amp;#REF!,'MP내역(중립)'!D:D,"&lt;&gt;"&amp;#REF!,'MP내역(중립)'!D:D,"&lt;&gt;"&amp;#REF!,'MP내역(중립)'!B:B,"&lt;&gt;현금",'MP내역(중립)'!B:B,"&lt;&gt;합계")=0,"O","X"))</f>
        <v>O</v>
      </c>
      <c r="M6" s="10" t="str">
        <f>IF(ISBLANK(A6),"",IF(AND(ABS(E6-SUMIFS('MP내역(중립)'!G:G,'MP내역(중립)'!A:A,A6,'MP내역(중립)'!F:F,"Y"))&lt;0.001,ABS(D6-SUMIFS('MP내역(중립)'!G:G,'MP내역(중립)'!A:A,A6,'MP내역(중립)'!B:B,"&lt;&gt;합계"))&lt;0.001),"O","X"))</f>
        <v>O</v>
      </c>
      <c r="N6" s="10" t="str">
        <f>IF(ISBLANK(A6),"",IF(COUNTIFS('MP내역(중립)'!A:A,A6,'MP내역(중립)'!H:H,"X")=0,"O","X"))</f>
        <v>O</v>
      </c>
      <c r="O6" s="30"/>
    </row>
    <row r="7" spans="1:15" x14ac:dyDescent="0.3">
      <c r="A7" s="14"/>
      <c r="B7" s="14"/>
      <c r="C7" s="14"/>
      <c r="D7" s="14"/>
      <c r="F7" s="14"/>
      <c r="G7" s="14"/>
      <c r="M7" s="15"/>
      <c r="N7" s="15"/>
    </row>
    <row r="8" spans="1:15" x14ac:dyDescent="0.3">
      <c r="A8" s="14"/>
      <c r="B8" s="14"/>
      <c r="C8" s="14"/>
      <c r="D8" s="14"/>
      <c r="F8" s="14"/>
      <c r="G8" s="14"/>
      <c r="M8" s="15"/>
      <c r="N8" s="15"/>
    </row>
    <row r="9" spans="1:15" x14ac:dyDescent="0.3">
      <c r="A9" s="14"/>
      <c r="B9" s="14"/>
      <c r="C9" s="14"/>
      <c r="D9" s="14"/>
      <c r="F9" s="14"/>
      <c r="G9" s="14"/>
      <c r="M9" s="15"/>
      <c r="N9" s="15"/>
    </row>
    <row r="10" spans="1:15" x14ac:dyDescent="0.3">
      <c r="A10" s="14"/>
      <c r="B10" s="14"/>
      <c r="C10" s="14"/>
      <c r="D10" s="14"/>
      <c r="F10" s="14"/>
      <c r="G10" s="14"/>
      <c r="M10" s="15"/>
      <c r="N10" s="15"/>
    </row>
    <row r="11" spans="1:15" x14ac:dyDescent="0.3">
      <c r="A11" s="14"/>
      <c r="B11" s="14"/>
      <c r="C11" s="14"/>
      <c r="D11" s="14"/>
      <c r="F11" s="14"/>
      <c r="G11" s="14"/>
      <c r="M11" s="15"/>
      <c r="N11" s="15"/>
    </row>
    <row r="12" spans="1:15" x14ac:dyDescent="0.3">
      <c r="A12" s="14"/>
      <c r="B12" s="14"/>
      <c r="C12" s="14"/>
      <c r="D12" s="14"/>
      <c r="F12" s="14"/>
      <c r="G12" s="14"/>
      <c r="M12" s="15"/>
      <c r="N12" s="15"/>
    </row>
    <row r="13" spans="1:15" x14ac:dyDescent="0.3">
      <c r="A13" s="14"/>
      <c r="B13" s="14"/>
      <c r="C13" s="14"/>
      <c r="D13" s="14"/>
      <c r="F13" s="14"/>
      <c r="G13" s="14"/>
      <c r="M13" s="15"/>
      <c r="N13" s="15"/>
    </row>
    <row r="14" spans="1:15" x14ac:dyDescent="0.3">
      <c r="A14" s="14"/>
      <c r="B14" s="14"/>
      <c r="C14" s="14"/>
      <c r="D14" s="14"/>
      <c r="E14" s="15"/>
      <c r="L14" s="14"/>
    </row>
    <row r="15" spans="1:15" x14ac:dyDescent="0.3">
      <c r="A15" s="14"/>
      <c r="B15" s="14"/>
      <c r="C15" s="14"/>
      <c r="D15" s="14"/>
      <c r="E15" s="15"/>
      <c r="L15" s="14"/>
    </row>
    <row r="16" spans="1:15" x14ac:dyDescent="0.3">
      <c r="A16" s="14"/>
      <c r="B16" s="14"/>
      <c r="C16" s="14"/>
      <c r="D16" s="14"/>
      <c r="E16" s="15"/>
      <c r="L16" s="14"/>
    </row>
    <row r="17" spans="5:11" s="14" customFormat="1" x14ac:dyDescent="0.3">
      <c r="E17" s="15"/>
      <c r="F17" s="15"/>
      <c r="G17" s="15"/>
      <c r="H17" s="15"/>
      <c r="I17" s="15"/>
      <c r="J17" s="15"/>
      <c r="K17" s="15"/>
    </row>
    <row r="18" spans="5:11" s="14" customFormat="1" x14ac:dyDescent="0.3">
      <c r="E18" s="15"/>
      <c r="F18" s="15"/>
      <c r="G18" s="15"/>
      <c r="H18" s="15"/>
      <c r="I18" s="15"/>
      <c r="J18" s="15"/>
      <c r="K18" s="15"/>
    </row>
    <row r="19" spans="5:11" s="14" customFormat="1" x14ac:dyDescent="0.3">
      <c r="E19" s="15"/>
      <c r="F19" s="15"/>
      <c r="G19" s="15"/>
      <c r="H19" s="15"/>
      <c r="I19" s="15"/>
      <c r="J19" s="15"/>
      <c r="K19" s="15"/>
    </row>
    <row r="20" spans="5:11" s="14" customFormat="1" x14ac:dyDescent="0.3">
      <c r="E20" s="15"/>
      <c r="F20" s="15"/>
      <c r="G20" s="15"/>
      <c r="H20" s="15"/>
      <c r="I20" s="15"/>
      <c r="J20" s="15"/>
      <c r="K20" s="15"/>
    </row>
    <row r="21" spans="5:11" s="14" customFormat="1" x14ac:dyDescent="0.3">
      <c r="E21" s="15"/>
      <c r="F21" s="15"/>
      <c r="G21" s="15"/>
      <c r="H21" s="15"/>
      <c r="I21" s="15"/>
      <c r="J21" s="15"/>
      <c r="K21" s="15"/>
    </row>
    <row r="22" spans="5:11" s="14" customFormat="1" x14ac:dyDescent="0.3">
      <c r="E22" s="15"/>
      <c r="F22" s="15"/>
      <c r="G22" s="15"/>
      <c r="H22" s="15"/>
      <c r="I22" s="15"/>
      <c r="J22" s="15"/>
      <c r="K22" s="15"/>
    </row>
    <row r="23" spans="5:11" s="14" customFormat="1" x14ac:dyDescent="0.3">
      <c r="E23" s="15"/>
      <c r="F23" s="15"/>
      <c r="G23" s="15"/>
      <c r="H23" s="15"/>
      <c r="I23" s="15"/>
      <c r="J23" s="15"/>
      <c r="K23" s="15"/>
    </row>
    <row r="24" spans="5:11" s="14" customFormat="1" x14ac:dyDescent="0.3">
      <c r="E24" s="15"/>
      <c r="F24" s="15"/>
      <c r="G24" s="15" t="str">
        <f>IF(A24="","",IFERROR(IF(#REF!&lt;VLOOKUP(A24,'포트변경내역(적극)'!A:C,10,0),"O","X"),""))</f>
        <v/>
      </c>
      <c r="H24" s="15" t="str">
        <f>IF(A24="","",COUNTIFS('MP내역(중립)'!$A:$A,A24)-COUNTIFS('MP내역(중립)'!$A:$A,A24,'MP내역(중립)'!$B:$B,"현금")-COUNTIFS('MP내역(중립)'!$A:$A,A24,'MP내역(중립)'!$B:$B,"예수금")-COUNTIFS('MP내역(중립)'!$A:$A,A24,'MP내역(중립)'!$B:$B,"예탁금")-COUNTIFS('MP내역(중립)'!$A:$A,A24,'MP내역(중립)'!$B:$B,"합계"))</f>
        <v/>
      </c>
      <c r="I24" s="15" t="str">
        <f>IF(A24="","",IF(COUNTIFS('MP내역(중립)'!A:A,A24,'MP내역(중립)'!G:G,"&gt;"&amp;#REF!,'MP내역(중립)'!D:D,"&lt;&gt;"&amp;#REF!,'MP내역(중립)'!D:D,"&lt;&gt;"&amp;#REF!,'MP내역(중립)'!B:B,"&lt;&gt;현금",'MP내역(중립)'!B:B,"&lt;&gt;합계")=0,"O","X"))</f>
        <v/>
      </c>
      <c r="J24" s="15" t="str">
        <f>IF(A24="","",IF(AND(ABS(#REF!-SUMIFS('MP내역(중립)'!G:G,'MP내역(중립)'!A:A,A24,'MP내역(중립)'!F:F,"Y"))&lt;0.001,ABS(#REF!-SUMIFS('MP내역(중립)'!G:G,'MP내역(중립)'!A:A,A24,'MP내역(중립)'!B:B,"&lt;&gt;합계"))&lt;0.001),"O","X"))</f>
        <v/>
      </c>
      <c r="K24" s="15" t="str">
        <f>IF(A24="","",IF(COUNTIFS('MP내역(중립)'!A:A,A24,'MP내역(중립)'!H:H,"X")=0,"O","X"))</f>
        <v/>
      </c>
    </row>
    <row r="25" spans="5:11" s="14" customFormat="1" x14ac:dyDescent="0.3">
      <c r="E25" s="15"/>
      <c r="F25" s="15"/>
      <c r="G25" s="15" t="str">
        <f>IF(A25="","",IFERROR(IF(#REF!&lt;VLOOKUP(A25,'포트변경내역(적극)'!A:C,10,0),"O","X"),""))</f>
        <v/>
      </c>
      <c r="H25" s="15" t="str">
        <f>IF(A25="","",COUNTIFS('MP내역(중립)'!$A:$A,A25)-COUNTIFS('MP내역(중립)'!$A:$A,A25,'MP내역(중립)'!$B:$B,"현금")-COUNTIFS('MP내역(중립)'!$A:$A,A25,'MP내역(중립)'!$B:$B,"예수금")-COUNTIFS('MP내역(중립)'!$A:$A,A25,'MP내역(중립)'!$B:$B,"예탁금")-COUNTIFS('MP내역(중립)'!$A:$A,A25,'MP내역(중립)'!$B:$B,"합계"))</f>
        <v/>
      </c>
      <c r="I25" s="15" t="str">
        <f>IF(A25="","",IF(COUNTIFS('MP내역(중립)'!A:A,A25,'MP내역(중립)'!G:G,"&gt;"&amp;#REF!,'MP내역(중립)'!D:D,"&lt;&gt;"&amp;#REF!,'MP내역(중립)'!D:D,"&lt;&gt;"&amp;#REF!,'MP내역(중립)'!B:B,"&lt;&gt;현금",'MP내역(중립)'!B:B,"&lt;&gt;합계")=0,"O","X"))</f>
        <v/>
      </c>
      <c r="J25" s="15" t="str">
        <f>IF(A25="","",IF(AND(ABS(#REF!-SUMIFS('MP내역(중립)'!G:G,'MP내역(중립)'!A:A,A25,'MP내역(중립)'!F:F,"Y"))&lt;0.001,ABS(#REF!-SUMIFS('MP내역(중립)'!G:G,'MP내역(중립)'!A:A,A25,'MP내역(중립)'!B:B,"&lt;&gt;합계"))&lt;0.001),"O","X"))</f>
        <v/>
      </c>
      <c r="K25" s="15" t="str">
        <f>IF(A25="","",IF(COUNTIFS('MP내역(중립)'!A:A,A25,'MP내역(중립)'!H:H,"X")=0,"O","X"))</f>
        <v/>
      </c>
    </row>
    <row r="26" spans="5:11" s="14" customFormat="1" x14ac:dyDescent="0.3">
      <c r="E26" s="15"/>
      <c r="F26" s="15"/>
      <c r="G26" s="15" t="str">
        <f>IF(A26="","",IFERROR(IF(#REF!&lt;VLOOKUP(A26,'포트변경내역(적극)'!A:C,10,0),"O","X"),""))</f>
        <v/>
      </c>
      <c r="H26" s="15" t="str">
        <f>IF(A26="","",COUNTIFS('MP내역(중립)'!$A:$A,A26)-COUNTIFS('MP내역(중립)'!$A:$A,A26,'MP내역(중립)'!$B:$B,"현금")-COUNTIFS('MP내역(중립)'!$A:$A,A26,'MP내역(중립)'!$B:$B,"예수금")-COUNTIFS('MP내역(중립)'!$A:$A,A26,'MP내역(중립)'!$B:$B,"예탁금")-COUNTIFS('MP내역(중립)'!$A:$A,A26,'MP내역(중립)'!$B:$B,"합계"))</f>
        <v/>
      </c>
      <c r="I26" s="15" t="str">
        <f>IF(A26="","",IF(COUNTIFS('MP내역(중립)'!A:A,A26,'MP내역(중립)'!G:G,"&gt;"&amp;#REF!,'MP내역(중립)'!D:D,"&lt;&gt;"&amp;#REF!,'MP내역(중립)'!D:D,"&lt;&gt;"&amp;#REF!,'MP내역(중립)'!B:B,"&lt;&gt;현금",'MP내역(중립)'!B:B,"&lt;&gt;합계")=0,"O","X"))</f>
        <v/>
      </c>
      <c r="J26" s="15" t="str">
        <f>IF(A26="","",IF(AND(ABS(#REF!-SUMIFS('MP내역(중립)'!G:G,'MP내역(중립)'!A:A,A26,'MP내역(중립)'!F:F,"Y"))&lt;0.001,ABS(#REF!-SUMIFS('MP내역(중립)'!G:G,'MP내역(중립)'!A:A,A26,'MP내역(중립)'!B:B,"&lt;&gt;합계"))&lt;0.001),"O","X"))</f>
        <v/>
      </c>
      <c r="K26" s="15" t="str">
        <f>IF(A26="","",IF(COUNTIFS('MP내역(중립)'!A:A,A26,'MP내역(중립)'!H:H,"X")=0,"O","X"))</f>
        <v/>
      </c>
    </row>
    <row r="27" spans="5:11" s="14" customFormat="1" x14ac:dyDescent="0.3">
      <c r="E27" s="15"/>
      <c r="F27" s="15"/>
      <c r="G27" s="15" t="str">
        <f>IF(A27="","",IFERROR(IF(#REF!&lt;VLOOKUP(A27,'포트변경내역(적극)'!A:C,10,0),"O","X"),""))</f>
        <v/>
      </c>
      <c r="H27" s="15" t="str">
        <f>IF(A27="","",COUNTIFS('MP내역(중립)'!$A:$A,A27)-COUNTIFS('MP내역(중립)'!$A:$A,A27,'MP내역(중립)'!$B:$B,"현금")-COUNTIFS('MP내역(중립)'!$A:$A,A27,'MP내역(중립)'!$B:$B,"예수금")-COUNTIFS('MP내역(중립)'!$A:$A,A27,'MP내역(중립)'!$B:$B,"예탁금")-COUNTIFS('MP내역(중립)'!$A:$A,A27,'MP내역(중립)'!$B:$B,"합계"))</f>
        <v/>
      </c>
      <c r="I27" s="15" t="str">
        <f>IF(A27="","",IF(COUNTIFS('MP내역(중립)'!A:A,A27,'MP내역(중립)'!G:G,"&gt;"&amp;#REF!,'MP내역(중립)'!D:D,"&lt;&gt;"&amp;#REF!,'MP내역(중립)'!D:D,"&lt;&gt;"&amp;#REF!,'MP내역(중립)'!B:B,"&lt;&gt;현금",'MP내역(중립)'!B:B,"&lt;&gt;합계")=0,"O","X"))</f>
        <v/>
      </c>
      <c r="J27" s="15" t="str">
        <f>IF(A27="","",IF(AND(ABS(#REF!-SUMIFS('MP내역(중립)'!G:G,'MP내역(중립)'!A:A,A27,'MP내역(중립)'!F:F,"Y"))&lt;0.001,ABS(#REF!-SUMIFS('MP내역(중립)'!G:G,'MP내역(중립)'!A:A,A27,'MP내역(중립)'!B:B,"&lt;&gt;합계"))&lt;0.001),"O","X"))</f>
        <v/>
      </c>
      <c r="K27" s="15" t="str">
        <f>IF(A27="","",IF(COUNTIFS('MP내역(중립)'!A:A,A27,'MP내역(중립)'!H:H,"X")=0,"O","X"))</f>
        <v/>
      </c>
    </row>
    <row r="28" spans="5:11" s="14" customFormat="1" x14ac:dyDescent="0.3">
      <c r="E28" s="15"/>
      <c r="F28" s="15"/>
      <c r="G28" s="15" t="str">
        <f>IF(A28="","",IFERROR(IF(#REF!&lt;VLOOKUP(A28,'포트변경내역(적극)'!A:C,10,0),"O","X"),""))</f>
        <v/>
      </c>
      <c r="H28" s="15" t="str">
        <f>IF(A28="","",COUNTIFS('MP내역(중립)'!$A:$A,A28)-COUNTIFS('MP내역(중립)'!$A:$A,A28,'MP내역(중립)'!$B:$B,"현금")-COUNTIFS('MP내역(중립)'!$A:$A,A28,'MP내역(중립)'!$B:$B,"예수금")-COUNTIFS('MP내역(중립)'!$A:$A,A28,'MP내역(중립)'!$B:$B,"예탁금")-COUNTIFS('MP내역(중립)'!$A:$A,A28,'MP내역(중립)'!$B:$B,"합계"))</f>
        <v/>
      </c>
      <c r="I28" s="15" t="str">
        <f>IF(A28="","",IF(COUNTIFS('MP내역(중립)'!A:A,A28,'MP내역(중립)'!G:G,"&gt;"&amp;#REF!,'MP내역(중립)'!D:D,"&lt;&gt;"&amp;#REF!,'MP내역(중립)'!D:D,"&lt;&gt;"&amp;#REF!,'MP내역(중립)'!B:B,"&lt;&gt;현금",'MP내역(중립)'!B:B,"&lt;&gt;합계")=0,"O","X"))</f>
        <v/>
      </c>
      <c r="J28" s="15" t="str">
        <f>IF(A28="","",IF(AND(ABS(#REF!-SUMIFS('MP내역(중립)'!G:G,'MP내역(중립)'!A:A,A28,'MP내역(중립)'!F:F,"Y"))&lt;0.001,ABS(#REF!-SUMIFS('MP내역(중립)'!G:G,'MP내역(중립)'!A:A,A28,'MP내역(중립)'!B:B,"&lt;&gt;합계"))&lt;0.001),"O","X"))</f>
        <v/>
      </c>
      <c r="K28" s="15" t="str">
        <f>IF(A28="","",IF(COUNTIFS('MP내역(중립)'!A:A,A28,'MP내역(중립)'!H:H,"X")=0,"O","X"))</f>
        <v/>
      </c>
    </row>
    <row r="29" spans="5:11" s="14" customFormat="1" x14ac:dyDescent="0.3">
      <c r="E29" s="15"/>
      <c r="F29" s="15"/>
      <c r="G29" s="15" t="str">
        <f>IF(A29="","",IFERROR(IF(#REF!&lt;VLOOKUP(A29,'포트변경내역(적극)'!A:C,10,0),"O","X"),""))</f>
        <v/>
      </c>
      <c r="H29" s="15" t="str">
        <f>IF(A29="","",COUNTIFS('MP내역(중립)'!$A:$A,A29)-COUNTIFS('MP내역(중립)'!$A:$A,A29,'MP내역(중립)'!$B:$B,"현금")-COUNTIFS('MP내역(중립)'!$A:$A,A29,'MP내역(중립)'!$B:$B,"예수금")-COUNTIFS('MP내역(중립)'!$A:$A,A29,'MP내역(중립)'!$B:$B,"예탁금")-COUNTIFS('MP내역(중립)'!$A:$A,A29,'MP내역(중립)'!$B:$B,"합계"))</f>
        <v/>
      </c>
      <c r="I29" s="15" t="str">
        <f>IF(A29="","",IF(COUNTIFS('MP내역(중립)'!A:A,A29,'MP내역(중립)'!G:G,"&gt;"&amp;#REF!,'MP내역(중립)'!D:D,"&lt;&gt;"&amp;#REF!,'MP내역(중립)'!D:D,"&lt;&gt;"&amp;#REF!,'MP내역(중립)'!B:B,"&lt;&gt;현금",'MP내역(중립)'!B:B,"&lt;&gt;합계")=0,"O","X"))</f>
        <v/>
      </c>
      <c r="J29" s="15" t="str">
        <f>IF(A29="","",IF(AND(ABS(#REF!-SUMIFS('MP내역(중립)'!G:G,'MP내역(중립)'!A:A,A29,'MP내역(중립)'!F:F,"Y"))&lt;0.001,ABS(#REF!-SUMIFS('MP내역(중립)'!G:G,'MP내역(중립)'!A:A,A29,'MP내역(중립)'!B:B,"&lt;&gt;합계"))&lt;0.001),"O","X"))</f>
        <v/>
      </c>
      <c r="K29" s="15" t="str">
        <f>IF(A29="","",IF(COUNTIFS('MP내역(중립)'!A:A,A29,'MP내역(중립)'!H:H,"X")=0,"O","X"))</f>
        <v/>
      </c>
    </row>
    <row r="30" spans="5:11" s="14" customFormat="1" x14ac:dyDescent="0.3">
      <c r="E30" s="15"/>
      <c r="F30" s="15"/>
      <c r="G30" s="15" t="str">
        <f>IF(A30="","",IFERROR(IF(#REF!&lt;VLOOKUP(A30,'포트변경내역(적극)'!A:C,10,0),"O","X"),""))</f>
        <v/>
      </c>
      <c r="H30" s="15" t="str">
        <f>IF(A30="","",COUNTIFS('MP내역(중립)'!$A:$A,A30)-COUNTIFS('MP내역(중립)'!$A:$A,A30,'MP내역(중립)'!$B:$B,"현금")-COUNTIFS('MP내역(중립)'!$A:$A,A30,'MP내역(중립)'!$B:$B,"예수금")-COUNTIFS('MP내역(중립)'!$A:$A,A30,'MP내역(중립)'!$B:$B,"예탁금")-COUNTIFS('MP내역(중립)'!$A:$A,A30,'MP내역(중립)'!$B:$B,"합계"))</f>
        <v/>
      </c>
      <c r="I30" s="15" t="str">
        <f>IF(A30="","",IF(COUNTIFS('MP내역(중립)'!A:A,A30,'MP내역(중립)'!G:G,"&gt;"&amp;#REF!,'MP내역(중립)'!D:D,"&lt;&gt;"&amp;#REF!,'MP내역(중립)'!D:D,"&lt;&gt;"&amp;#REF!,'MP내역(중립)'!B:B,"&lt;&gt;현금",'MP내역(중립)'!B:B,"&lt;&gt;합계")=0,"O","X"))</f>
        <v/>
      </c>
      <c r="J30" s="15" t="str">
        <f>IF(A30="","",IF(AND(ABS(#REF!-SUMIFS('MP내역(중립)'!G:G,'MP내역(중립)'!A:A,A30,'MP내역(중립)'!F:F,"Y"))&lt;0.001,ABS(#REF!-SUMIFS('MP내역(중립)'!G:G,'MP내역(중립)'!A:A,A30,'MP내역(중립)'!B:B,"&lt;&gt;합계"))&lt;0.001),"O","X"))</f>
        <v/>
      </c>
      <c r="K30" s="15" t="str">
        <f>IF(A30="","",IF(COUNTIFS('MP내역(중립)'!A:A,A30,'MP내역(중립)'!H:H,"X")=0,"O","X"))</f>
        <v/>
      </c>
    </row>
    <row r="31" spans="5:11" s="14" customFormat="1" x14ac:dyDescent="0.3">
      <c r="E31" s="15"/>
      <c r="F31" s="15"/>
      <c r="G31" s="15" t="str">
        <f>IF(A31="","",IFERROR(IF(#REF!&lt;VLOOKUP(A31,'포트변경내역(적극)'!A:C,10,0),"O","X"),""))</f>
        <v/>
      </c>
      <c r="H31" s="15" t="str">
        <f>IF(A31="","",COUNTIFS('MP내역(중립)'!$A:$A,A31)-COUNTIFS('MP내역(중립)'!$A:$A,A31,'MP내역(중립)'!$B:$B,"현금")-COUNTIFS('MP내역(중립)'!$A:$A,A31,'MP내역(중립)'!$B:$B,"예수금")-COUNTIFS('MP내역(중립)'!$A:$A,A31,'MP내역(중립)'!$B:$B,"예탁금")-COUNTIFS('MP내역(중립)'!$A:$A,A31,'MP내역(중립)'!$B:$B,"합계"))</f>
        <v/>
      </c>
      <c r="I31" s="15" t="str">
        <f>IF(A31="","",IF(COUNTIFS('MP내역(중립)'!A:A,A31,'MP내역(중립)'!G:G,"&gt;"&amp;#REF!,'MP내역(중립)'!D:D,"&lt;&gt;"&amp;#REF!,'MP내역(중립)'!D:D,"&lt;&gt;"&amp;#REF!,'MP내역(중립)'!B:B,"&lt;&gt;현금",'MP내역(중립)'!B:B,"&lt;&gt;합계")=0,"O","X"))</f>
        <v/>
      </c>
      <c r="J31" s="15" t="str">
        <f>IF(A31="","",IF(AND(ABS(#REF!-SUMIFS('MP내역(중립)'!G:G,'MP내역(중립)'!A:A,A31,'MP내역(중립)'!F:F,"Y"))&lt;0.001,ABS(#REF!-SUMIFS('MP내역(중립)'!G:G,'MP내역(중립)'!A:A,A31,'MP내역(중립)'!B:B,"&lt;&gt;합계"))&lt;0.001),"O","X"))</f>
        <v/>
      </c>
      <c r="K31" s="15" t="str">
        <f>IF(A31="","",IF(COUNTIFS('MP내역(중립)'!A:A,A31,'MP내역(중립)'!H:H,"X")=0,"O","X"))</f>
        <v/>
      </c>
    </row>
    <row r="32" spans="5:11" s="14" customFormat="1" x14ac:dyDescent="0.3">
      <c r="E32" s="15"/>
      <c r="F32" s="15"/>
      <c r="G32" s="15" t="str">
        <f>IF(A32="","",IFERROR(IF(#REF!&lt;VLOOKUP(A32,'포트변경내역(적극)'!A:C,10,0),"O","X"),""))</f>
        <v/>
      </c>
      <c r="H32" s="15" t="str">
        <f>IF(A32="","",COUNTIFS('MP내역(중립)'!$A:$A,A32)-COUNTIFS('MP내역(중립)'!$A:$A,A32,'MP내역(중립)'!$B:$B,"현금")-COUNTIFS('MP내역(중립)'!$A:$A,A32,'MP내역(중립)'!$B:$B,"예수금")-COUNTIFS('MP내역(중립)'!$A:$A,A32,'MP내역(중립)'!$B:$B,"예탁금")-COUNTIFS('MP내역(중립)'!$A:$A,A32,'MP내역(중립)'!$B:$B,"합계"))</f>
        <v/>
      </c>
      <c r="I32" s="15" t="str">
        <f>IF(A32="","",IF(COUNTIFS('MP내역(중립)'!A:A,A32,'MP내역(중립)'!G:G,"&gt;"&amp;#REF!,'MP내역(중립)'!D:D,"&lt;&gt;"&amp;#REF!,'MP내역(중립)'!D:D,"&lt;&gt;"&amp;#REF!,'MP내역(중립)'!B:B,"&lt;&gt;현금",'MP내역(중립)'!B:B,"&lt;&gt;합계")=0,"O","X"))</f>
        <v/>
      </c>
      <c r="J32" s="15" t="str">
        <f>IF(A32="","",IF(AND(ABS(#REF!-SUMIFS('MP내역(중립)'!G:G,'MP내역(중립)'!A:A,A32,'MP내역(중립)'!F:F,"Y"))&lt;0.001,ABS(#REF!-SUMIFS('MP내역(중립)'!G:G,'MP내역(중립)'!A:A,A32,'MP내역(중립)'!B:B,"&lt;&gt;합계"))&lt;0.001),"O","X"))</f>
        <v/>
      </c>
      <c r="K32" s="15" t="str">
        <f>IF(A32="","",IF(COUNTIFS('MP내역(중립)'!A:A,A32,'MP내역(중립)'!H:H,"X")=0,"O","X"))</f>
        <v/>
      </c>
    </row>
    <row r="33" spans="5:11" s="14" customFormat="1" x14ac:dyDescent="0.3">
      <c r="E33" s="15"/>
      <c r="F33" s="15"/>
      <c r="G33" s="15" t="str">
        <f>IF(A33="","",IFERROR(IF(#REF!&lt;VLOOKUP(A33,'포트변경내역(적극)'!A:C,10,0),"O","X"),""))</f>
        <v/>
      </c>
      <c r="H33" s="15" t="str">
        <f>IF(A33="","",COUNTIFS('MP내역(중립)'!$A:$A,A33)-COUNTIFS('MP내역(중립)'!$A:$A,A33,'MP내역(중립)'!$B:$B,"현금")-COUNTIFS('MP내역(중립)'!$A:$A,A33,'MP내역(중립)'!$B:$B,"예수금")-COUNTIFS('MP내역(중립)'!$A:$A,A33,'MP내역(중립)'!$B:$B,"예탁금")-COUNTIFS('MP내역(중립)'!$A:$A,A33,'MP내역(중립)'!$B:$B,"합계"))</f>
        <v/>
      </c>
      <c r="I33" s="15" t="str">
        <f>IF(A33="","",IF(COUNTIFS('MP내역(중립)'!A:A,A33,'MP내역(중립)'!G:G,"&gt;"&amp;#REF!,'MP내역(중립)'!D:D,"&lt;&gt;"&amp;#REF!,'MP내역(중립)'!D:D,"&lt;&gt;"&amp;#REF!,'MP내역(중립)'!B:B,"&lt;&gt;현금",'MP내역(중립)'!B:B,"&lt;&gt;합계")=0,"O","X"))</f>
        <v/>
      </c>
      <c r="J33" s="15" t="str">
        <f>IF(A33="","",IF(AND(ABS(#REF!-SUMIFS('MP내역(중립)'!G:G,'MP내역(중립)'!A:A,A33,'MP내역(중립)'!F:F,"Y"))&lt;0.001,ABS(#REF!-SUMIFS('MP내역(중립)'!G:G,'MP내역(중립)'!A:A,A33,'MP내역(중립)'!B:B,"&lt;&gt;합계"))&lt;0.001),"O","X"))</f>
        <v/>
      </c>
      <c r="K33" s="15" t="str">
        <f>IF(A33="","",IF(COUNTIFS('MP내역(중립)'!A:A,A33,'MP내역(중립)'!H:H,"X")=0,"O","X"))</f>
        <v/>
      </c>
    </row>
    <row r="34" spans="5:11" s="14" customFormat="1" x14ac:dyDescent="0.3">
      <c r="E34" s="15"/>
      <c r="F34" s="15"/>
      <c r="G34" s="15" t="str">
        <f>IF(A34="","",IFERROR(IF(#REF!&lt;VLOOKUP(A34,'포트변경내역(적극)'!A:C,10,0),"O","X"),""))</f>
        <v/>
      </c>
      <c r="H34" s="15" t="str">
        <f>IF(A34="","",COUNTIFS('MP내역(중립)'!$A:$A,A34)-COUNTIFS('MP내역(중립)'!$A:$A,A34,'MP내역(중립)'!$B:$B,"현금")-COUNTIFS('MP내역(중립)'!$A:$A,A34,'MP내역(중립)'!$B:$B,"예수금")-COUNTIFS('MP내역(중립)'!$A:$A,A34,'MP내역(중립)'!$B:$B,"예탁금")-COUNTIFS('MP내역(중립)'!$A:$A,A34,'MP내역(중립)'!$B:$B,"합계"))</f>
        <v/>
      </c>
      <c r="I34" s="15" t="str">
        <f>IF(A34="","",IF(COUNTIFS('MP내역(중립)'!A:A,A34,'MP내역(중립)'!G:G,"&gt;"&amp;#REF!,'MP내역(중립)'!D:D,"&lt;&gt;"&amp;#REF!,'MP내역(중립)'!D:D,"&lt;&gt;"&amp;#REF!,'MP내역(중립)'!B:B,"&lt;&gt;현금",'MP내역(중립)'!B:B,"&lt;&gt;합계")=0,"O","X"))</f>
        <v/>
      </c>
      <c r="J34" s="15" t="str">
        <f>IF(A34="","",IF(AND(ABS(#REF!-SUMIFS('MP내역(중립)'!G:G,'MP내역(중립)'!A:A,A34,'MP내역(중립)'!F:F,"Y"))&lt;0.001,ABS(#REF!-SUMIFS('MP내역(중립)'!G:G,'MP내역(중립)'!A:A,A34,'MP내역(중립)'!B:B,"&lt;&gt;합계"))&lt;0.001),"O","X"))</f>
        <v/>
      </c>
      <c r="K34" s="15" t="str">
        <f>IF(A34="","",IF(COUNTIFS('MP내역(중립)'!A:A,A34,'MP내역(중립)'!H:H,"X")=0,"O","X"))</f>
        <v/>
      </c>
    </row>
    <row r="35" spans="5:11" s="14" customFormat="1" x14ac:dyDescent="0.3">
      <c r="E35" s="15"/>
      <c r="F35" s="15"/>
      <c r="G35" s="15" t="str">
        <f>IF(A35="","",IFERROR(IF(#REF!&lt;VLOOKUP(A35,'포트변경내역(적극)'!A:C,10,0),"O","X"),""))</f>
        <v/>
      </c>
      <c r="H35" s="15" t="str">
        <f>IF(A35="","",COUNTIFS('MP내역(중립)'!$A:$A,A35)-COUNTIFS('MP내역(중립)'!$A:$A,A35,'MP내역(중립)'!$B:$B,"현금")-COUNTIFS('MP내역(중립)'!$A:$A,A35,'MP내역(중립)'!$B:$B,"예수금")-COUNTIFS('MP내역(중립)'!$A:$A,A35,'MP내역(중립)'!$B:$B,"예탁금")-COUNTIFS('MP내역(중립)'!$A:$A,A35,'MP내역(중립)'!$B:$B,"합계"))</f>
        <v/>
      </c>
      <c r="I35" s="15" t="str">
        <f>IF(A35="","",IF(COUNTIFS('MP내역(중립)'!A:A,A35,'MP내역(중립)'!G:G,"&gt;"&amp;#REF!,'MP내역(중립)'!D:D,"&lt;&gt;"&amp;#REF!,'MP내역(중립)'!D:D,"&lt;&gt;"&amp;#REF!,'MP내역(중립)'!B:B,"&lt;&gt;현금",'MP내역(중립)'!B:B,"&lt;&gt;합계")=0,"O","X"))</f>
        <v/>
      </c>
      <c r="J35" s="15" t="str">
        <f>IF(A35="","",IF(AND(ABS(#REF!-SUMIFS('MP내역(중립)'!G:G,'MP내역(중립)'!A:A,A35,'MP내역(중립)'!F:F,"Y"))&lt;0.001,ABS(#REF!-SUMIFS('MP내역(중립)'!G:G,'MP내역(중립)'!A:A,A35,'MP내역(중립)'!B:B,"&lt;&gt;합계"))&lt;0.001),"O","X"))</f>
        <v/>
      </c>
      <c r="K35" s="15" t="str">
        <f>IF(A35="","",IF(COUNTIFS('MP내역(중립)'!A:A,A35,'MP내역(중립)'!H:H,"X")=0,"O","X"))</f>
        <v/>
      </c>
    </row>
    <row r="36" spans="5:11" s="14" customFormat="1" x14ac:dyDescent="0.3">
      <c r="E36" s="15"/>
      <c r="F36" s="15"/>
      <c r="G36" s="15" t="str">
        <f>IF(A36="","",IFERROR(IF(#REF!&lt;VLOOKUP(A36,'포트변경내역(적극)'!A:C,10,0),"O","X"),""))</f>
        <v/>
      </c>
      <c r="H36" s="15" t="str">
        <f>IF(A36="","",COUNTIFS('MP내역(중립)'!$A:$A,A36)-COUNTIFS('MP내역(중립)'!$A:$A,A36,'MP내역(중립)'!$B:$B,"현금")-COUNTIFS('MP내역(중립)'!$A:$A,A36,'MP내역(중립)'!$B:$B,"예수금")-COUNTIFS('MP내역(중립)'!$A:$A,A36,'MP내역(중립)'!$B:$B,"예탁금")-COUNTIFS('MP내역(중립)'!$A:$A,A36,'MP내역(중립)'!$B:$B,"합계"))</f>
        <v/>
      </c>
      <c r="I36" s="15" t="str">
        <f>IF(A36="","",IF(COUNTIFS('MP내역(중립)'!A:A,A36,'MP내역(중립)'!G:G,"&gt;"&amp;#REF!,'MP내역(중립)'!D:D,"&lt;&gt;"&amp;#REF!,'MP내역(중립)'!D:D,"&lt;&gt;"&amp;#REF!,'MP내역(중립)'!B:B,"&lt;&gt;현금",'MP내역(중립)'!B:B,"&lt;&gt;합계")=0,"O","X"))</f>
        <v/>
      </c>
      <c r="J36" s="15" t="str">
        <f>IF(A36="","",IF(AND(ABS(#REF!-SUMIFS('MP내역(중립)'!G:G,'MP내역(중립)'!A:A,A36,'MP내역(중립)'!F:F,"Y"))&lt;0.001,ABS(#REF!-SUMIFS('MP내역(중립)'!G:G,'MP내역(중립)'!A:A,A36,'MP내역(중립)'!B:B,"&lt;&gt;합계"))&lt;0.001),"O","X"))</f>
        <v/>
      </c>
      <c r="K36" s="15" t="str">
        <f>IF(A36="","",IF(COUNTIFS('MP내역(중립)'!A:A,A36,'MP내역(중립)'!H:H,"X")=0,"O","X"))</f>
        <v/>
      </c>
    </row>
    <row r="37" spans="5:11" s="14" customFormat="1" x14ac:dyDescent="0.3">
      <c r="E37" s="15"/>
      <c r="F37" s="15"/>
      <c r="G37" s="15" t="str">
        <f>IF(A37="","",IFERROR(IF(#REF!&lt;VLOOKUP(A37,'포트변경내역(적극)'!A:C,10,0),"O","X"),""))</f>
        <v/>
      </c>
      <c r="H37" s="15" t="str">
        <f>IF(A37="","",COUNTIFS('MP내역(중립)'!$A:$A,A37)-COUNTIFS('MP내역(중립)'!$A:$A,A37,'MP내역(중립)'!$B:$B,"현금")-COUNTIFS('MP내역(중립)'!$A:$A,A37,'MP내역(중립)'!$B:$B,"예수금")-COUNTIFS('MP내역(중립)'!$A:$A,A37,'MP내역(중립)'!$B:$B,"예탁금")-COUNTIFS('MP내역(중립)'!$A:$A,A37,'MP내역(중립)'!$B:$B,"합계"))</f>
        <v/>
      </c>
      <c r="I37" s="15" t="str">
        <f>IF(A37="","",IF(COUNTIFS('MP내역(중립)'!A:A,A37,'MP내역(중립)'!G:G,"&gt;"&amp;#REF!,'MP내역(중립)'!D:D,"&lt;&gt;"&amp;#REF!,'MP내역(중립)'!D:D,"&lt;&gt;"&amp;#REF!,'MP내역(중립)'!B:B,"&lt;&gt;현금",'MP내역(중립)'!B:B,"&lt;&gt;합계")=0,"O","X"))</f>
        <v/>
      </c>
      <c r="J37" s="15" t="str">
        <f>IF(A37="","",IF(AND(ABS(#REF!-SUMIFS('MP내역(중립)'!G:G,'MP내역(중립)'!A:A,A37,'MP내역(중립)'!F:F,"Y"))&lt;0.001,ABS(#REF!-SUMIFS('MP내역(중립)'!G:G,'MP내역(중립)'!A:A,A37,'MP내역(중립)'!B:B,"&lt;&gt;합계"))&lt;0.001),"O","X"))</f>
        <v/>
      </c>
      <c r="K37" s="15" t="str">
        <f>IF(A37="","",IF(COUNTIFS('MP내역(중립)'!A:A,A37,'MP내역(중립)'!H:H,"X")=0,"O","X"))</f>
        <v/>
      </c>
    </row>
    <row r="38" spans="5:11" s="14" customFormat="1" x14ac:dyDescent="0.3">
      <c r="E38" s="15"/>
      <c r="F38" s="15"/>
      <c r="G38" s="15" t="str">
        <f>IF(A38="","",IFERROR(IF(#REF!&lt;VLOOKUP(A38,'포트변경내역(적극)'!A:C,10,0),"O","X"),""))</f>
        <v/>
      </c>
      <c r="H38" s="15" t="str">
        <f>IF(A38="","",COUNTIFS('MP내역(중립)'!$A:$A,A38)-COUNTIFS('MP내역(중립)'!$A:$A,A38,'MP내역(중립)'!$B:$B,"현금")-COUNTIFS('MP내역(중립)'!$A:$A,A38,'MP내역(중립)'!$B:$B,"예수금")-COUNTIFS('MP내역(중립)'!$A:$A,A38,'MP내역(중립)'!$B:$B,"예탁금")-COUNTIFS('MP내역(중립)'!$A:$A,A38,'MP내역(중립)'!$B:$B,"합계"))</f>
        <v/>
      </c>
      <c r="I38" s="15" t="str">
        <f>IF(A38="","",IF(COUNTIFS('MP내역(중립)'!A:A,A38,'MP내역(중립)'!G:G,"&gt;"&amp;#REF!,'MP내역(중립)'!D:D,"&lt;&gt;"&amp;#REF!,'MP내역(중립)'!D:D,"&lt;&gt;"&amp;#REF!,'MP내역(중립)'!B:B,"&lt;&gt;현금",'MP내역(중립)'!B:B,"&lt;&gt;합계")=0,"O","X"))</f>
        <v/>
      </c>
      <c r="J38" s="15" t="str">
        <f>IF(A38="","",IF(AND(ABS(#REF!-SUMIFS('MP내역(중립)'!G:G,'MP내역(중립)'!A:A,A38,'MP내역(중립)'!F:F,"Y"))&lt;0.001,ABS(#REF!-SUMIFS('MP내역(중립)'!G:G,'MP내역(중립)'!A:A,A38,'MP내역(중립)'!B:B,"&lt;&gt;합계"))&lt;0.001),"O","X"))</f>
        <v/>
      </c>
      <c r="K38" s="15" t="str">
        <f>IF(A38="","",IF(COUNTIFS('MP내역(중립)'!A:A,A38,'MP내역(중립)'!H:H,"X")=0,"O","X"))</f>
        <v/>
      </c>
    </row>
    <row r="39" spans="5:11" s="14" customFormat="1" x14ac:dyDescent="0.3">
      <c r="E39" s="15"/>
      <c r="F39" s="15"/>
      <c r="G39" s="15" t="str">
        <f>IF(A39="","",IFERROR(IF(#REF!&lt;VLOOKUP(A39,'포트변경내역(적극)'!A:C,10,0),"O","X"),""))</f>
        <v/>
      </c>
      <c r="H39" s="15" t="str">
        <f>IF(A39="","",COUNTIFS('MP내역(중립)'!$A:$A,A39)-COUNTIFS('MP내역(중립)'!$A:$A,A39,'MP내역(중립)'!$B:$B,"현금")-COUNTIFS('MP내역(중립)'!$A:$A,A39,'MP내역(중립)'!$B:$B,"예수금")-COUNTIFS('MP내역(중립)'!$A:$A,A39,'MP내역(중립)'!$B:$B,"예탁금")-COUNTIFS('MP내역(중립)'!$A:$A,A39,'MP내역(중립)'!$B:$B,"합계"))</f>
        <v/>
      </c>
      <c r="I39" s="15" t="str">
        <f>IF(A39="","",IF(COUNTIFS('MP내역(중립)'!A:A,A39,'MP내역(중립)'!G:G,"&gt;"&amp;#REF!,'MP내역(중립)'!D:D,"&lt;&gt;"&amp;#REF!,'MP내역(중립)'!D:D,"&lt;&gt;"&amp;#REF!,'MP내역(중립)'!B:B,"&lt;&gt;현금",'MP내역(중립)'!B:B,"&lt;&gt;합계")=0,"O","X"))</f>
        <v/>
      </c>
      <c r="J39" s="15" t="str">
        <f>IF(A39="","",IF(AND(ABS(#REF!-SUMIFS('MP내역(중립)'!G:G,'MP내역(중립)'!A:A,A39,'MP내역(중립)'!F:F,"Y"))&lt;0.001,ABS(#REF!-SUMIFS('MP내역(중립)'!G:G,'MP내역(중립)'!A:A,A39,'MP내역(중립)'!B:B,"&lt;&gt;합계"))&lt;0.001),"O","X"))</f>
        <v/>
      </c>
      <c r="K39" s="15" t="str">
        <f>IF(A39="","",IF(COUNTIFS('MP내역(중립)'!A:A,A39,'MP내역(중립)'!H:H,"X")=0,"O","X"))</f>
        <v/>
      </c>
    </row>
    <row r="40" spans="5:11" s="14" customFormat="1" x14ac:dyDescent="0.3">
      <c r="E40" s="15"/>
      <c r="F40" s="15"/>
      <c r="G40" s="15" t="str">
        <f>IF(A40="","",IFERROR(IF(#REF!&lt;VLOOKUP(A40,'포트변경내역(적극)'!A:C,10,0),"O","X"),""))</f>
        <v/>
      </c>
      <c r="H40" s="15" t="str">
        <f>IF(A40="","",COUNTIFS('MP내역(중립)'!$A:$A,A40)-COUNTIFS('MP내역(중립)'!$A:$A,A40,'MP내역(중립)'!$B:$B,"현금")-COUNTIFS('MP내역(중립)'!$A:$A,A40,'MP내역(중립)'!$B:$B,"예수금")-COUNTIFS('MP내역(중립)'!$A:$A,A40,'MP내역(중립)'!$B:$B,"예탁금")-COUNTIFS('MP내역(중립)'!$A:$A,A40,'MP내역(중립)'!$B:$B,"합계"))</f>
        <v/>
      </c>
      <c r="I40" s="15" t="str">
        <f>IF(A40="","",IF(COUNTIFS('MP내역(중립)'!A:A,A40,'MP내역(중립)'!G:G,"&gt;"&amp;#REF!,'MP내역(중립)'!D:D,"&lt;&gt;"&amp;#REF!,'MP내역(중립)'!D:D,"&lt;&gt;"&amp;#REF!,'MP내역(중립)'!B:B,"&lt;&gt;현금",'MP내역(중립)'!B:B,"&lt;&gt;합계")=0,"O","X"))</f>
        <v/>
      </c>
      <c r="J40" s="15" t="str">
        <f>IF(A40="","",IF(AND(ABS(#REF!-SUMIFS('MP내역(중립)'!G:G,'MP내역(중립)'!A:A,A40,'MP내역(중립)'!F:F,"Y"))&lt;0.001,ABS(#REF!-SUMIFS('MP내역(중립)'!G:G,'MP내역(중립)'!A:A,A40,'MP내역(중립)'!B:B,"&lt;&gt;합계"))&lt;0.001),"O","X"))</f>
        <v/>
      </c>
      <c r="K40" s="15" t="str">
        <f>IF(A40="","",IF(COUNTIFS('MP내역(중립)'!A:A,A40,'MP내역(중립)'!H:H,"X")=0,"O","X"))</f>
        <v/>
      </c>
    </row>
    <row r="41" spans="5:11" s="14" customFormat="1" x14ac:dyDescent="0.3">
      <c r="E41" s="15"/>
      <c r="F41" s="15"/>
      <c r="G41" s="15" t="str">
        <f>IF(A41="","",IFERROR(IF(#REF!&lt;VLOOKUP(A41,'포트변경내역(적극)'!A:C,10,0),"O","X"),""))</f>
        <v/>
      </c>
      <c r="H41" s="15" t="str">
        <f>IF(A41="","",COUNTIFS('MP내역(중립)'!$A:$A,A41)-COUNTIFS('MP내역(중립)'!$A:$A,A41,'MP내역(중립)'!$B:$B,"현금")-COUNTIFS('MP내역(중립)'!$A:$A,A41,'MP내역(중립)'!$B:$B,"예수금")-COUNTIFS('MP내역(중립)'!$A:$A,A41,'MP내역(중립)'!$B:$B,"예탁금")-COUNTIFS('MP내역(중립)'!$A:$A,A41,'MP내역(중립)'!$B:$B,"합계"))</f>
        <v/>
      </c>
      <c r="I41" s="15" t="str">
        <f>IF(A41="","",IF(COUNTIFS('MP내역(중립)'!A:A,A41,'MP내역(중립)'!G:G,"&gt;"&amp;#REF!,'MP내역(중립)'!D:D,"&lt;&gt;"&amp;#REF!,'MP내역(중립)'!D:D,"&lt;&gt;"&amp;#REF!,'MP내역(중립)'!B:B,"&lt;&gt;현금",'MP내역(중립)'!B:B,"&lt;&gt;합계")=0,"O","X"))</f>
        <v/>
      </c>
      <c r="J41" s="15" t="str">
        <f>IF(A41="","",IF(AND(ABS(#REF!-SUMIFS('MP내역(중립)'!G:G,'MP내역(중립)'!A:A,A41,'MP내역(중립)'!F:F,"Y"))&lt;0.001,ABS(#REF!-SUMIFS('MP내역(중립)'!G:G,'MP내역(중립)'!A:A,A41,'MP내역(중립)'!B:B,"&lt;&gt;합계"))&lt;0.001),"O","X"))</f>
        <v/>
      </c>
      <c r="K41" s="15" t="str">
        <f>IF(A41="","",IF(COUNTIFS('MP내역(중립)'!A:A,A41,'MP내역(중립)'!H:H,"X")=0,"O","X"))</f>
        <v/>
      </c>
    </row>
    <row r="42" spans="5:11" s="14" customFormat="1" x14ac:dyDescent="0.3">
      <c r="E42" s="15"/>
      <c r="F42" s="15"/>
      <c r="G42" s="15" t="str">
        <f>IF(A42="","",IFERROR(IF(#REF!&lt;VLOOKUP(A42,'포트변경내역(적극)'!A:C,10,0),"O","X"),""))</f>
        <v/>
      </c>
      <c r="H42" s="15" t="str">
        <f>IF(A42="","",COUNTIFS('MP내역(중립)'!$A:$A,A42)-COUNTIFS('MP내역(중립)'!$A:$A,A42,'MP내역(중립)'!$B:$B,"현금")-COUNTIFS('MP내역(중립)'!$A:$A,A42,'MP내역(중립)'!$B:$B,"예수금")-COUNTIFS('MP내역(중립)'!$A:$A,A42,'MP내역(중립)'!$B:$B,"예탁금")-COUNTIFS('MP내역(중립)'!$A:$A,A42,'MP내역(중립)'!$B:$B,"합계"))</f>
        <v/>
      </c>
      <c r="I42" s="15" t="str">
        <f>IF(A42="","",IF(COUNTIFS('MP내역(중립)'!A:A,A42,'MP내역(중립)'!G:G,"&gt;"&amp;#REF!,'MP내역(중립)'!D:D,"&lt;&gt;"&amp;#REF!,'MP내역(중립)'!D:D,"&lt;&gt;"&amp;#REF!,'MP내역(중립)'!B:B,"&lt;&gt;현금",'MP내역(중립)'!B:B,"&lt;&gt;합계")=0,"O","X"))</f>
        <v/>
      </c>
      <c r="J42" s="15" t="str">
        <f>IF(A42="","",IF(AND(ABS(#REF!-SUMIFS('MP내역(중립)'!G:G,'MP내역(중립)'!A:A,A42,'MP내역(중립)'!F:F,"Y"))&lt;0.001,ABS(#REF!-SUMIFS('MP내역(중립)'!G:G,'MP내역(중립)'!A:A,A42,'MP내역(중립)'!B:B,"&lt;&gt;합계"))&lt;0.001),"O","X"))</f>
        <v/>
      </c>
      <c r="K42" s="15" t="str">
        <f>IF(A42="","",IF(COUNTIFS('MP내역(중립)'!A:A,A42,'MP내역(중립)'!H:H,"X")=0,"O","X"))</f>
        <v/>
      </c>
    </row>
    <row r="43" spans="5:11" s="14" customFormat="1" x14ac:dyDescent="0.3">
      <c r="E43" s="15"/>
      <c r="F43" s="15"/>
      <c r="G43" s="15" t="str">
        <f>IF(A43="","",IFERROR(IF(#REF!&lt;VLOOKUP(A43,'포트변경내역(적극)'!A:C,10,0),"O","X"),""))</f>
        <v/>
      </c>
      <c r="H43" s="15" t="str">
        <f>IF(A43="","",COUNTIFS('MP내역(중립)'!$A:$A,A43)-COUNTIFS('MP내역(중립)'!$A:$A,A43,'MP내역(중립)'!$B:$B,"현금")-COUNTIFS('MP내역(중립)'!$A:$A,A43,'MP내역(중립)'!$B:$B,"예수금")-COUNTIFS('MP내역(중립)'!$A:$A,A43,'MP내역(중립)'!$B:$B,"예탁금")-COUNTIFS('MP내역(중립)'!$A:$A,A43,'MP내역(중립)'!$B:$B,"합계"))</f>
        <v/>
      </c>
      <c r="I43" s="15" t="str">
        <f>IF(A43="","",IF(COUNTIFS('MP내역(중립)'!A:A,A43,'MP내역(중립)'!G:G,"&gt;"&amp;#REF!,'MP내역(중립)'!D:D,"&lt;&gt;"&amp;#REF!,'MP내역(중립)'!D:D,"&lt;&gt;"&amp;#REF!,'MP내역(중립)'!B:B,"&lt;&gt;현금",'MP내역(중립)'!B:B,"&lt;&gt;합계")=0,"O","X"))</f>
        <v/>
      </c>
      <c r="J43" s="15" t="str">
        <f>IF(A43="","",IF(AND(ABS(#REF!-SUMIFS('MP내역(중립)'!G:G,'MP내역(중립)'!A:A,A43,'MP내역(중립)'!F:F,"Y"))&lt;0.001,ABS(#REF!-SUMIFS('MP내역(중립)'!G:G,'MP내역(중립)'!A:A,A43,'MP내역(중립)'!B:B,"&lt;&gt;합계"))&lt;0.001),"O","X"))</f>
        <v/>
      </c>
      <c r="K43" s="15" t="str">
        <f>IF(A43="","",IF(COUNTIFS('MP내역(중립)'!A:A,A43,'MP내역(중립)'!H:H,"X")=0,"O","X"))</f>
        <v/>
      </c>
    </row>
    <row r="44" spans="5:11" s="14" customFormat="1" x14ac:dyDescent="0.3">
      <c r="E44" s="15"/>
      <c r="F44" s="15"/>
      <c r="G44" s="15" t="str">
        <f>IF(A44="","",IFERROR(IF(#REF!&lt;VLOOKUP(A44,'포트변경내역(적극)'!A:C,10,0),"O","X"),""))</f>
        <v/>
      </c>
      <c r="H44" s="15" t="str">
        <f>IF(A44="","",COUNTIFS('MP내역(중립)'!$A:$A,A44)-COUNTIFS('MP내역(중립)'!$A:$A,A44,'MP내역(중립)'!$B:$B,"현금")-COUNTIFS('MP내역(중립)'!$A:$A,A44,'MP내역(중립)'!$B:$B,"예수금")-COUNTIFS('MP내역(중립)'!$A:$A,A44,'MP내역(중립)'!$B:$B,"예탁금")-COUNTIFS('MP내역(중립)'!$A:$A,A44,'MP내역(중립)'!$B:$B,"합계"))</f>
        <v/>
      </c>
      <c r="I44" s="15" t="str">
        <f>IF(A44="","",IF(COUNTIFS('MP내역(중립)'!A:A,A44,'MP내역(중립)'!G:G,"&gt;"&amp;#REF!,'MP내역(중립)'!D:D,"&lt;&gt;"&amp;#REF!,'MP내역(중립)'!D:D,"&lt;&gt;"&amp;#REF!,'MP내역(중립)'!B:B,"&lt;&gt;현금",'MP내역(중립)'!B:B,"&lt;&gt;합계")=0,"O","X"))</f>
        <v/>
      </c>
      <c r="J44" s="15" t="str">
        <f>IF(A44="","",IF(AND(ABS(#REF!-SUMIFS('MP내역(중립)'!G:G,'MP내역(중립)'!A:A,A44,'MP내역(중립)'!F:F,"Y"))&lt;0.001,ABS(#REF!-SUMIFS('MP내역(중립)'!G:G,'MP내역(중립)'!A:A,A44,'MP내역(중립)'!B:B,"&lt;&gt;합계"))&lt;0.001),"O","X"))</f>
        <v/>
      </c>
      <c r="K44" s="15" t="str">
        <f>IF(A44="","",IF(COUNTIFS('MP내역(중립)'!A:A,A44,'MP내역(중립)'!H:H,"X")=0,"O","X"))</f>
        <v/>
      </c>
    </row>
    <row r="45" spans="5:11" s="14" customFormat="1" x14ac:dyDescent="0.3">
      <c r="E45" s="15"/>
      <c r="F45" s="15"/>
      <c r="G45" s="15" t="str">
        <f>IF(A45="","",IFERROR(IF(#REF!&lt;VLOOKUP(A45,'포트변경내역(적극)'!A:C,10,0),"O","X"),""))</f>
        <v/>
      </c>
      <c r="H45" s="15" t="str">
        <f>IF(A45="","",COUNTIFS('MP내역(중립)'!$A:$A,A45)-COUNTIFS('MP내역(중립)'!$A:$A,A45,'MP내역(중립)'!$B:$B,"현금")-COUNTIFS('MP내역(중립)'!$A:$A,A45,'MP내역(중립)'!$B:$B,"예수금")-COUNTIFS('MP내역(중립)'!$A:$A,A45,'MP내역(중립)'!$B:$B,"예탁금")-COUNTIFS('MP내역(중립)'!$A:$A,A45,'MP내역(중립)'!$B:$B,"합계"))</f>
        <v/>
      </c>
      <c r="I45" s="15" t="str">
        <f>IF(A45="","",IF(COUNTIFS('MP내역(중립)'!A:A,A45,'MP내역(중립)'!G:G,"&gt;"&amp;#REF!,'MP내역(중립)'!D:D,"&lt;&gt;"&amp;#REF!,'MP내역(중립)'!D:D,"&lt;&gt;"&amp;#REF!,'MP내역(중립)'!B:B,"&lt;&gt;현금",'MP내역(중립)'!B:B,"&lt;&gt;합계")=0,"O","X"))</f>
        <v/>
      </c>
      <c r="J45" s="15" t="str">
        <f>IF(A45="","",IF(AND(ABS(#REF!-SUMIFS('MP내역(중립)'!G:G,'MP내역(중립)'!A:A,A45,'MP내역(중립)'!F:F,"Y"))&lt;0.001,ABS(#REF!-SUMIFS('MP내역(중립)'!G:G,'MP내역(중립)'!A:A,A45,'MP내역(중립)'!B:B,"&lt;&gt;합계"))&lt;0.001),"O","X"))</f>
        <v/>
      </c>
      <c r="K45" s="15" t="str">
        <f>IF(A45="","",IF(COUNTIFS('MP내역(중립)'!A:A,A45,'MP내역(중립)'!H:H,"X")=0,"O","X"))</f>
        <v/>
      </c>
    </row>
    <row r="46" spans="5:11" s="14" customFormat="1" x14ac:dyDescent="0.3">
      <c r="E46" s="15"/>
      <c r="F46" s="15"/>
      <c r="G46" s="15" t="str">
        <f>IF(A46="","",IFERROR(IF(#REF!&lt;VLOOKUP(A46,'포트변경내역(적극)'!A:C,10,0),"O","X"),""))</f>
        <v/>
      </c>
      <c r="H46" s="15" t="str">
        <f>IF(A46="","",COUNTIFS('MP내역(중립)'!$A:$A,A46)-COUNTIFS('MP내역(중립)'!$A:$A,A46,'MP내역(중립)'!$B:$B,"현금")-COUNTIFS('MP내역(중립)'!$A:$A,A46,'MP내역(중립)'!$B:$B,"예수금")-COUNTIFS('MP내역(중립)'!$A:$A,A46,'MP내역(중립)'!$B:$B,"예탁금")-COUNTIFS('MP내역(중립)'!$A:$A,A46,'MP내역(중립)'!$B:$B,"합계"))</f>
        <v/>
      </c>
      <c r="I46" s="15" t="str">
        <f>IF(A46="","",IF(COUNTIFS('MP내역(중립)'!A:A,A46,'MP내역(중립)'!G:G,"&gt;"&amp;#REF!,'MP내역(중립)'!D:D,"&lt;&gt;"&amp;#REF!,'MP내역(중립)'!D:D,"&lt;&gt;"&amp;#REF!,'MP내역(중립)'!B:B,"&lt;&gt;현금",'MP내역(중립)'!B:B,"&lt;&gt;합계")=0,"O","X"))</f>
        <v/>
      </c>
      <c r="J46" s="15" t="str">
        <f>IF(A46="","",IF(AND(ABS(#REF!-SUMIFS('MP내역(중립)'!G:G,'MP내역(중립)'!A:A,A46,'MP내역(중립)'!F:F,"Y"))&lt;0.001,ABS(#REF!-SUMIFS('MP내역(중립)'!G:G,'MP내역(중립)'!A:A,A46,'MP내역(중립)'!B:B,"&lt;&gt;합계"))&lt;0.001),"O","X"))</f>
        <v/>
      </c>
      <c r="K46" s="15" t="str">
        <f>IF(A46="","",IF(COUNTIFS('MP내역(중립)'!A:A,A46,'MP내역(중립)'!H:H,"X")=0,"O","X"))</f>
        <v/>
      </c>
    </row>
    <row r="47" spans="5:11" s="14" customFormat="1" x14ac:dyDescent="0.3">
      <c r="E47" s="15"/>
      <c r="F47" s="15"/>
      <c r="G47" s="15" t="str">
        <f>IF(A47="","",IFERROR(IF(#REF!&lt;VLOOKUP(A47,'포트변경내역(적극)'!A:C,10,0),"O","X"),""))</f>
        <v/>
      </c>
      <c r="H47" s="15" t="str">
        <f>IF(A47="","",COUNTIFS('MP내역(중립)'!$A:$A,A47)-COUNTIFS('MP내역(중립)'!$A:$A,A47,'MP내역(중립)'!$B:$B,"현금")-COUNTIFS('MP내역(중립)'!$A:$A,A47,'MP내역(중립)'!$B:$B,"예수금")-COUNTIFS('MP내역(중립)'!$A:$A,A47,'MP내역(중립)'!$B:$B,"예탁금")-COUNTIFS('MP내역(중립)'!$A:$A,A47,'MP내역(중립)'!$B:$B,"합계"))</f>
        <v/>
      </c>
      <c r="I47" s="15" t="str">
        <f>IF(A47="","",IF(COUNTIFS('MP내역(중립)'!A:A,A47,'MP내역(중립)'!G:G,"&gt;"&amp;#REF!,'MP내역(중립)'!D:D,"&lt;&gt;"&amp;#REF!,'MP내역(중립)'!D:D,"&lt;&gt;"&amp;#REF!,'MP내역(중립)'!B:B,"&lt;&gt;현금",'MP내역(중립)'!B:B,"&lt;&gt;합계")=0,"O","X"))</f>
        <v/>
      </c>
      <c r="J47" s="15" t="str">
        <f>IF(A47="","",IF(AND(ABS(#REF!-SUMIFS('MP내역(중립)'!G:G,'MP내역(중립)'!A:A,A47,'MP내역(중립)'!F:F,"Y"))&lt;0.001,ABS(#REF!-SUMIFS('MP내역(중립)'!G:G,'MP내역(중립)'!A:A,A47,'MP내역(중립)'!B:B,"&lt;&gt;합계"))&lt;0.001),"O","X"))</f>
        <v/>
      </c>
      <c r="K47" s="15" t="str">
        <f>IF(A47="","",IF(COUNTIFS('MP내역(중립)'!A:A,A47,'MP내역(중립)'!H:H,"X")=0,"O","X"))</f>
        <v/>
      </c>
    </row>
    <row r="48" spans="5:11" s="14" customFormat="1" x14ac:dyDescent="0.3">
      <c r="E48" s="15"/>
      <c r="F48" s="15"/>
      <c r="G48" s="15" t="str">
        <f>IF(A48="","",IFERROR(IF(#REF!&lt;VLOOKUP(A48,'포트변경내역(적극)'!A:C,10,0),"O","X"),""))</f>
        <v/>
      </c>
      <c r="H48" s="15" t="str">
        <f>IF(A48="","",COUNTIFS('MP내역(중립)'!$A:$A,A48)-COUNTIFS('MP내역(중립)'!$A:$A,A48,'MP내역(중립)'!$B:$B,"현금")-COUNTIFS('MP내역(중립)'!$A:$A,A48,'MP내역(중립)'!$B:$B,"예수금")-COUNTIFS('MP내역(중립)'!$A:$A,A48,'MP내역(중립)'!$B:$B,"예탁금")-COUNTIFS('MP내역(중립)'!$A:$A,A48,'MP내역(중립)'!$B:$B,"합계"))</f>
        <v/>
      </c>
      <c r="I48" s="15" t="str">
        <f>IF(A48="","",IF(COUNTIFS('MP내역(중립)'!A:A,A48,'MP내역(중립)'!G:G,"&gt;"&amp;#REF!,'MP내역(중립)'!D:D,"&lt;&gt;"&amp;#REF!,'MP내역(중립)'!D:D,"&lt;&gt;"&amp;#REF!,'MP내역(중립)'!B:B,"&lt;&gt;현금",'MP내역(중립)'!B:B,"&lt;&gt;합계")=0,"O","X"))</f>
        <v/>
      </c>
      <c r="J48" s="15" t="str">
        <f>IF(A48="","",IF(AND(ABS(#REF!-SUMIFS('MP내역(중립)'!G:G,'MP내역(중립)'!A:A,A48,'MP내역(중립)'!F:F,"Y"))&lt;0.001,ABS(#REF!-SUMIFS('MP내역(중립)'!G:G,'MP내역(중립)'!A:A,A48,'MP내역(중립)'!B:B,"&lt;&gt;합계"))&lt;0.001),"O","X"))</f>
        <v/>
      </c>
      <c r="K48" s="15" t="str">
        <f>IF(A48="","",IF(COUNTIFS('MP내역(중립)'!A:A,A48,'MP내역(중립)'!H:H,"X")=0,"O","X"))</f>
        <v/>
      </c>
    </row>
    <row r="49" spans="5:11" s="14" customFormat="1" x14ac:dyDescent="0.3">
      <c r="E49" s="15"/>
      <c r="F49" s="15"/>
      <c r="G49" s="15" t="str">
        <f>IF(A49="","",IFERROR(IF(#REF!&lt;VLOOKUP(A49,'포트변경내역(적극)'!A:C,10,0),"O","X"),""))</f>
        <v/>
      </c>
      <c r="H49" s="15" t="str">
        <f>IF(A49="","",COUNTIFS('MP내역(중립)'!$A:$A,A49)-COUNTIFS('MP내역(중립)'!$A:$A,A49,'MP내역(중립)'!$B:$B,"현금")-COUNTIFS('MP내역(중립)'!$A:$A,A49,'MP내역(중립)'!$B:$B,"예수금")-COUNTIFS('MP내역(중립)'!$A:$A,A49,'MP내역(중립)'!$B:$B,"예탁금")-COUNTIFS('MP내역(중립)'!$A:$A,A49,'MP내역(중립)'!$B:$B,"합계"))</f>
        <v/>
      </c>
      <c r="I49" s="15" t="str">
        <f>IF(A49="","",IF(COUNTIFS('MP내역(중립)'!A:A,A49,'MP내역(중립)'!G:G,"&gt;"&amp;#REF!,'MP내역(중립)'!D:D,"&lt;&gt;"&amp;#REF!,'MP내역(중립)'!D:D,"&lt;&gt;"&amp;#REF!,'MP내역(중립)'!B:B,"&lt;&gt;현금",'MP내역(중립)'!B:B,"&lt;&gt;합계")=0,"O","X"))</f>
        <v/>
      </c>
      <c r="J49" s="15" t="str">
        <f>IF(A49="","",IF(AND(ABS(#REF!-SUMIFS('MP내역(중립)'!G:G,'MP내역(중립)'!A:A,A49,'MP내역(중립)'!F:F,"Y"))&lt;0.001,ABS(#REF!-SUMIFS('MP내역(중립)'!G:G,'MP내역(중립)'!A:A,A49,'MP내역(중립)'!B:B,"&lt;&gt;합계"))&lt;0.001),"O","X"))</f>
        <v/>
      </c>
      <c r="K49" s="15" t="str">
        <f>IF(A49="","",IF(COUNTIFS('MP내역(중립)'!A:A,A49,'MP내역(중립)'!H:H,"X")=0,"O","X"))</f>
        <v/>
      </c>
    </row>
    <row r="50" spans="5:11" s="14" customFormat="1" x14ac:dyDescent="0.3">
      <c r="E50" s="15"/>
      <c r="F50" s="15"/>
      <c r="G50" s="15" t="str">
        <f>IF(A50="","",IFERROR(IF(#REF!&lt;VLOOKUP(A50,'포트변경내역(적극)'!A:C,10,0),"O","X"),""))</f>
        <v/>
      </c>
      <c r="H50" s="15" t="str">
        <f>IF(A50="","",COUNTIFS('MP내역(중립)'!$A:$A,A50)-COUNTIFS('MP내역(중립)'!$A:$A,A50,'MP내역(중립)'!$B:$B,"현금")-COUNTIFS('MP내역(중립)'!$A:$A,A50,'MP내역(중립)'!$B:$B,"예수금")-COUNTIFS('MP내역(중립)'!$A:$A,A50,'MP내역(중립)'!$B:$B,"예탁금")-COUNTIFS('MP내역(중립)'!$A:$A,A50,'MP내역(중립)'!$B:$B,"합계"))</f>
        <v/>
      </c>
      <c r="I50" s="15" t="str">
        <f>IF(A50="","",IF(COUNTIFS('MP내역(중립)'!A:A,A50,'MP내역(중립)'!G:G,"&gt;"&amp;#REF!,'MP내역(중립)'!D:D,"&lt;&gt;"&amp;#REF!,'MP내역(중립)'!D:D,"&lt;&gt;"&amp;#REF!,'MP내역(중립)'!B:B,"&lt;&gt;현금",'MP내역(중립)'!B:B,"&lt;&gt;합계")=0,"O","X"))</f>
        <v/>
      </c>
      <c r="J50" s="15" t="str">
        <f>IF(A50="","",IF(AND(ABS(#REF!-SUMIFS('MP내역(중립)'!G:G,'MP내역(중립)'!A:A,A50,'MP내역(중립)'!F:F,"Y"))&lt;0.001,ABS(#REF!-SUMIFS('MP내역(중립)'!G:G,'MP내역(중립)'!A:A,A50,'MP내역(중립)'!B:B,"&lt;&gt;합계"))&lt;0.001),"O","X"))</f>
        <v/>
      </c>
      <c r="K50" s="15" t="str">
        <f>IF(A50="","",IF(COUNTIFS('MP내역(중립)'!A:A,A50,'MP내역(중립)'!H:H,"X")=0,"O","X"))</f>
        <v/>
      </c>
    </row>
    <row r="51" spans="5:11" s="14" customFormat="1" x14ac:dyDescent="0.3">
      <c r="E51" s="15"/>
      <c r="F51" s="15"/>
      <c r="G51" s="15" t="str">
        <f>IF(A51="","",IFERROR(IF(#REF!&lt;VLOOKUP(A51,'포트변경내역(적극)'!A:C,10,0),"O","X"),""))</f>
        <v/>
      </c>
      <c r="H51" s="15" t="str">
        <f>IF(A51="","",COUNTIFS('MP내역(중립)'!$A:$A,A51)-COUNTIFS('MP내역(중립)'!$A:$A,A51,'MP내역(중립)'!$B:$B,"현금")-COUNTIFS('MP내역(중립)'!$A:$A,A51,'MP내역(중립)'!$B:$B,"예수금")-COUNTIFS('MP내역(중립)'!$A:$A,A51,'MP내역(중립)'!$B:$B,"예탁금")-COUNTIFS('MP내역(중립)'!$A:$A,A51,'MP내역(중립)'!$B:$B,"합계"))</f>
        <v/>
      </c>
      <c r="I51" s="15" t="str">
        <f>IF(A51="","",IF(COUNTIFS('MP내역(중립)'!A:A,A51,'MP내역(중립)'!G:G,"&gt;"&amp;#REF!,'MP내역(중립)'!D:D,"&lt;&gt;"&amp;#REF!,'MP내역(중립)'!D:D,"&lt;&gt;"&amp;#REF!,'MP내역(중립)'!B:B,"&lt;&gt;현금",'MP내역(중립)'!B:B,"&lt;&gt;합계")=0,"O","X"))</f>
        <v/>
      </c>
      <c r="J51" s="15" t="str">
        <f>IF(A51="","",IF(AND(ABS(#REF!-SUMIFS('MP내역(중립)'!G:G,'MP내역(중립)'!A:A,A51,'MP내역(중립)'!F:F,"Y"))&lt;0.001,ABS(#REF!-SUMIFS('MP내역(중립)'!G:G,'MP내역(중립)'!A:A,A51,'MP내역(중립)'!B:B,"&lt;&gt;합계"))&lt;0.001),"O","X"))</f>
        <v/>
      </c>
      <c r="K51" s="15" t="str">
        <f>IF(A51="","",IF(COUNTIFS('MP내역(중립)'!A:A,A51,'MP내역(중립)'!H:H,"X")=0,"O","X"))</f>
        <v/>
      </c>
    </row>
    <row r="52" spans="5:11" s="14" customFormat="1" x14ac:dyDescent="0.3">
      <c r="E52" s="15"/>
      <c r="F52" s="15"/>
      <c r="G52" s="15" t="str">
        <f>IF(A52="","",IFERROR(IF(#REF!&lt;VLOOKUP(A52,'포트변경내역(적극)'!A:C,10,0),"O","X"),""))</f>
        <v/>
      </c>
      <c r="H52" s="15" t="str">
        <f>IF(A52="","",COUNTIFS('MP내역(중립)'!$A:$A,A52)-COUNTIFS('MP내역(중립)'!$A:$A,A52,'MP내역(중립)'!$B:$B,"현금")-COUNTIFS('MP내역(중립)'!$A:$A,A52,'MP내역(중립)'!$B:$B,"예수금")-COUNTIFS('MP내역(중립)'!$A:$A,A52,'MP내역(중립)'!$B:$B,"예탁금")-COUNTIFS('MP내역(중립)'!$A:$A,A52,'MP내역(중립)'!$B:$B,"합계"))</f>
        <v/>
      </c>
      <c r="I52" s="15" t="str">
        <f>IF(A52="","",IF(COUNTIFS('MP내역(중립)'!A:A,A52,'MP내역(중립)'!G:G,"&gt;"&amp;#REF!,'MP내역(중립)'!D:D,"&lt;&gt;"&amp;#REF!,'MP내역(중립)'!D:D,"&lt;&gt;"&amp;#REF!,'MP내역(중립)'!B:B,"&lt;&gt;현금",'MP내역(중립)'!B:B,"&lt;&gt;합계")=0,"O","X"))</f>
        <v/>
      </c>
      <c r="J52" s="15" t="str">
        <f>IF(A52="","",IF(AND(ABS(#REF!-SUMIFS('MP내역(중립)'!G:G,'MP내역(중립)'!A:A,A52,'MP내역(중립)'!F:F,"Y"))&lt;0.001,ABS(#REF!-SUMIFS('MP내역(중립)'!G:G,'MP내역(중립)'!A:A,A52,'MP내역(중립)'!B:B,"&lt;&gt;합계"))&lt;0.001),"O","X"))</f>
        <v/>
      </c>
      <c r="K52" s="15" t="str">
        <f>IF(A52="","",IF(COUNTIFS('MP내역(중립)'!A:A,A52,'MP내역(중립)'!H:H,"X")=0,"O","X"))</f>
        <v/>
      </c>
    </row>
    <row r="53" spans="5:11" s="14" customFormat="1" x14ac:dyDescent="0.3">
      <c r="E53" s="15"/>
      <c r="F53" s="15"/>
      <c r="G53" s="15" t="str">
        <f>IF(A53="","",IFERROR(IF(#REF!&lt;VLOOKUP(A53,'포트변경내역(적극)'!A:C,10,0),"O","X"),""))</f>
        <v/>
      </c>
      <c r="H53" s="15" t="str">
        <f>IF(A53="","",COUNTIFS('MP내역(중립)'!$A:$A,A53)-COUNTIFS('MP내역(중립)'!$A:$A,A53,'MP내역(중립)'!$B:$B,"현금")-COUNTIFS('MP내역(중립)'!$A:$A,A53,'MP내역(중립)'!$B:$B,"예수금")-COUNTIFS('MP내역(중립)'!$A:$A,A53,'MP내역(중립)'!$B:$B,"예탁금")-COUNTIFS('MP내역(중립)'!$A:$A,A53,'MP내역(중립)'!$B:$B,"합계"))</f>
        <v/>
      </c>
      <c r="I53" s="15" t="str">
        <f>IF(A53="","",IF(COUNTIFS('MP내역(중립)'!A:A,A53,'MP내역(중립)'!G:G,"&gt;"&amp;#REF!,'MP내역(중립)'!D:D,"&lt;&gt;"&amp;#REF!,'MP내역(중립)'!D:D,"&lt;&gt;"&amp;#REF!,'MP내역(중립)'!B:B,"&lt;&gt;현금",'MP내역(중립)'!B:B,"&lt;&gt;합계")=0,"O","X"))</f>
        <v/>
      </c>
      <c r="J53" s="15" t="str">
        <f>IF(A53="","",IF(AND(ABS(#REF!-SUMIFS('MP내역(중립)'!G:G,'MP내역(중립)'!A:A,A53,'MP내역(중립)'!F:F,"Y"))&lt;0.001,ABS(#REF!-SUMIFS('MP내역(중립)'!G:G,'MP내역(중립)'!A:A,A53,'MP내역(중립)'!B:B,"&lt;&gt;합계"))&lt;0.001),"O","X"))</f>
        <v/>
      </c>
      <c r="K53" s="15" t="str">
        <f>IF(A53="","",IF(COUNTIFS('MP내역(중립)'!A:A,A53,'MP내역(중립)'!H:H,"X")=0,"O","X"))</f>
        <v/>
      </c>
    </row>
    <row r="54" spans="5:11" s="14" customFormat="1" x14ac:dyDescent="0.3">
      <c r="E54" s="15"/>
      <c r="F54" s="15"/>
      <c r="G54" s="15" t="str">
        <f>IF(A54="","",IFERROR(IF(#REF!&lt;VLOOKUP(A54,'포트변경내역(적극)'!A:C,10,0),"O","X"),""))</f>
        <v/>
      </c>
      <c r="H54" s="15" t="str">
        <f>IF(A54="","",COUNTIFS('MP내역(중립)'!$A:$A,A54)-COUNTIFS('MP내역(중립)'!$A:$A,A54,'MP내역(중립)'!$B:$B,"현금")-COUNTIFS('MP내역(중립)'!$A:$A,A54,'MP내역(중립)'!$B:$B,"예수금")-COUNTIFS('MP내역(중립)'!$A:$A,A54,'MP내역(중립)'!$B:$B,"예탁금")-COUNTIFS('MP내역(중립)'!$A:$A,A54,'MP내역(중립)'!$B:$B,"합계"))</f>
        <v/>
      </c>
      <c r="I54" s="15" t="str">
        <f>IF(A54="","",IF(COUNTIFS('MP내역(중립)'!A:A,A54,'MP내역(중립)'!G:G,"&gt;"&amp;#REF!,'MP내역(중립)'!D:D,"&lt;&gt;"&amp;#REF!,'MP내역(중립)'!D:D,"&lt;&gt;"&amp;#REF!,'MP내역(중립)'!B:B,"&lt;&gt;현금",'MP내역(중립)'!B:B,"&lt;&gt;합계")=0,"O","X"))</f>
        <v/>
      </c>
      <c r="J54" s="15" t="str">
        <f>IF(A54="","",IF(AND(ABS(#REF!-SUMIFS('MP내역(중립)'!G:G,'MP내역(중립)'!A:A,A54,'MP내역(중립)'!F:F,"Y"))&lt;0.001,ABS(#REF!-SUMIFS('MP내역(중립)'!G:G,'MP내역(중립)'!A:A,A54,'MP내역(중립)'!B:B,"&lt;&gt;합계"))&lt;0.001),"O","X"))</f>
        <v/>
      </c>
      <c r="K54" s="15" t="str">
        <f>IF(A54="","",IF(COUNTIFS('MP내역(중립)'!A:A,A54,'MP내역(중립)'!H:H,"X")=0,"O","X"))</f>
        <v/>
      </c>
    </row>
    <row r="55" spans="5:11" s="14" customFormat="1" x14ac:dyDescent="0.3">
      <c r="E55" s="15"/>
      <c r="F55" s="15"/>
      <c r="G55" s="15" t="str">
        <f>IF(A55="","",IFERROR(IF(#REF!&lt;VLOOKUP(A55,'포트변경내역(적극)'!A:C,10,0),"O","X"),""))</f>
        <v/>
      </c>
      <c r="H55" s="15" t="str">
        <f>IF(A55="","",COUNTIFS('MP내역(중립)'!$A:$A,A55)-COUNTIFS('MP내역(중립)'!$A:$A,A55,'MP내역(중립)'!$B:$B,"현금")-COUNTIFS('MP내역(중립)'!$A:$A,A55,'MP내역(중립)'!$B:$B,"예수금")-COUNTIFS('MP내역(중립)'!$A:$A,A55,'MP내역(중립)'!$B:$B,"예탁금")-COUNTIFS('MP내역(중립)'!$A:$A,A55,'MP내역(중립)'!$B:$B,"합계"))</f>
        <v/>
      </c>
      <c r="I55" s="15" t="str">
        <f>IF(A55="","",IF(COUNTIFS('MP내역(중립)'!A:A,A55,'MP내역(중립)'!G:G,"&gt;"&amp;#REF!,'MP내역(중립)'!D:D,"&lt;&gt;"&amp;#REF!,'MP내역(중립)'!D:D,"&lt;&gt;"&amp;#REF!,'MP내역(중립)'!B:B,"&lt;&gt;현금",'MP내역(중립)'!B:B,"&lt;&gt;합계")=0,"O","X"))</f>
        <v/>
      </c>
      <c r="J55" s="15" t="str">
        <f>IF(A55="","",IF(AND(ABS(#REF!-SUMIFS('MP내역(중립)'!G:G,'MP내역(중립)'!A:A,A55,'MP내역(중립)'!F:F,"Y"))&lt;0.001,ABS(#REF!-SUMIFS('MP내역(중립)'!G:G,'MP내역(중립)'!A:A,A55,'MP내역(중립)'!B:B,"&lt;&gt;합계"))&lt;0.001),"O","X"))</f>
        <v/>
      </c>
      <c r="K55" s="15" t="str">
        <f>IF(A55="","",IF(COUNTIFS('MP내역(중립)'!A:A,A55,'MP내역(중립)'!H:H,"X")=0,"O","X"))</f>
        <v/>
      </c>
    </row>
    <row r="56" spans="5:11" s="14" customFormat="1" x14ac:dyDescent="0.3">
      <c r="E56" s="15"/>
      <c r="F56" s="15"/>
      <c r="G56" s="15" t="str">
        <f>IF(A56="","",IFERROR(IF(#REF!&lt;VLOOKUP(A56,'포트변경내역(적극)'!A:C,10,0),"O","X"),""))</f>
        <v/>
      </c>
      <c r="H56" s="15" t="str">
        <f>IF(A56="","",COUNTIFS('MP내역(중립)'!$A:$A,A56)-COUNTIFS('MP내역(중립)'!$A:$A,A56,'MP내역(중립)'!$B:$B,"현금")-COUNTIFS('MP내역(중립)'!$A:$A,A56,'MP내역(중립)'!$B:$B,"예수금")-COUNTIFS('MP내역(중립)'!$A:$A,A56,'MP내역(중립)'!$B:$B,"예탁금")-COUNTIFS('MP내역(중립)'!$A:$A,A56,'MP내역(중립)'!$B:$B,"합계"))</f>
        <v/>
      </c>
      <c r="I56" s="15" t="str">
        <f>IF(A56="","",IF(COUNTIFS('MP내역(중립)'!A:A,A56,'MP내역(중립)'!G:G,"&gt;"&amp;#REF!,'MP내역(중립)'!D:D,"&lt;&gt;"&amp;#REF!,'MP내역(중립)'!D:D,"&lt;&gt;"&amp;#REF!,'MP내역(중립)'!B:B,"&lt;&gt;현금",'MP내역(중립)'!B:B,"&lt;&gt;합계")=0,"O","X"))</f>
        <v/>
      </c>
      <c r="J56" s="15" t="str">
        <f>IF(A56="","",IF(AND(ABS(#REF!-SUMIFS('MP내역(중립)'!G:G,'MP내역(중립)'!A:A,A56,'MP내역(중립)'!F:F,"Y"))&lt;0.001,ABS(#REF!-SUMIFS('MP내역(중립)'!G:G,'MP내역(중립)'!A:A,A56,'MP내역(중립)'!B:B,"&lt;&gt;합계"))&lt;0.001),"O","X"))</f>
        <v/>
      </c>
      <c r="K56" s="15" t="str">
        <f>IF(A56="","",IF(COUNTIFS('MP내역(중립)'!A:A,A56,'MP내역(중립)'!H:H,"X")=0,"O","X"))</f>
        <v/>
      </c>
    </row>
    <row r="57" spans="5:11" s="14" customFormat="1" x14ac:dyDescent="0.3">
      <c r="E57" s="15"/>
      <c r="F57" s="15"/>
      <c r="G57" s="15" t="str">
        <f>IF(A57="","",IFERROR(IF(#REF!&lt;VLOOKUP(A57,'포트변경내역(적극)'!A:C,10,0),"O","X"),""))</f>
        <v/>
      </c>
      <c r="H57" s="15" t="str">
        <f>IF(A57="","",COUNTIFS('MP내역(중립)'!$A:$A,A57)-COUNTIFS('MP내역(중립)'!$A:$A,A57,'MP내역(중립)'!$B:$B,"현금")-COUNTIFS('MP내역(중립)'!$A:$A,A57,'MP내역(중립)'!$B:$B,"예수금")-COUNTIFS('MP내역(중립)'!$A:$A,A57,'MP내역(중립)'!$B:$B,"예탁금")-COUNTIFS('MP내역(중립)'!$A:$A,A57,'MP내역(중립)'!$B:$B,"합계"))</f>
        <v/>
      </c>
      <c r="I57" s="15" t="str">
        <f>IF(A57="","",IF(COUNTIFS('MP내역(중립)'!A:A,A57,'MP내역(중립)'!G:G,"&gt;"&amp;#REF!,'MP내역(중립)'!D:D,"&lt;&gt;"&amp;#REF!,'MP내역(중립)'!D:D,"&lt;&gt;"&amp;#REF!,'MP내역(중립)'!B:B,"&lt;&gt;현금",'MP내역(중립)'!B:B,"&lt;&gt;합계")=0,"O","X"))</f>
        <v/>
      </c>
      <c r="J57" s="15" t="str">
        <f>IF(A57="","",IF(AND(ABS(#REF!-SUMIFS('MP내역(중립)'!G:G,'MP내역(중립)'!A:A,A57,'MP내역(중립)'!F:F,"Y"))&lt;0.001,ABS(#REF!-SUMIFS('MP내역(중립)'!G:G,'MP내역(중립)'!A:A,A57,'MP내역(중립)'!B:B,"&lt;&gt;합계"))&lt;0.001),"O","X"))</f>
        <v/>
      </c>
      <c r="K57" s="15" t="str">
        <f>IF(A57="","",IF(COUNTIFS('MP내역(중립)'!A:A,A57,'MP내역(중립)'!H:H,"X")=0,"O","X"))</f>
        <v/>
      </c>
    </row>
    <row r="58" spans="5:11" s="14" customFormat="1" x14ac:dyDescent="0.3">
      <c r="E58" s="15"/>
      <c r="F58" s="15"/>
      <c r="G58" s="15" t="str">
        <f>IF(A58="","",IFERROR(IF(#REF!&lt;VLOOKUP(A58,'포트변경내역(적극)'!A:C,10,0),"O","X"),""))</f>
        <v/>
      </c>
      <c r="H58" s="15" t="str">
        <f>IF(A58="","",COUNTIFS('MP내역(중립)'!$A:$A,A58)-COUNTIFS('MP내역(중립)'!$A:$A,A58,'MP내역(중립)'!$B:$B,"현금")-COUNTIFS('MP내역(중립)'!$A:$A,A58,'MP내역(중립)'!$B:$B,"예수금")-COUNTIFS('MP내역(중립)'!$A:$A,A58,'MP내역(중립)'!$B:$B,"예탁금")-COUNTIFS('MP내역(중립)'!$A:$A,A58,'MP내역(중립)'!$B:$B,"합계"))</f>
        <v/>
      </c>
      <c r="I58" s="15" t="str">
        <f>IF(A58="","",IF(COUNTIFS('MP내역(중립)'!A:A,A58,'MP내역(중립)'!G:G,"&gt;"&amp;#REF!,'MP내역(중립)'!D:D,"&lt;&gt;"&amp;#REF!,'MP내역(중립)'!D:D,"&lt;&gt;"&amp;#REF!,'MP내역(중립)'!B:B,"&lt;&gt;현금",'MP내역(중립)'!B:B,"&lt;&gt;합계")=0,"O","X"))</f>
        <v/>
      </c>
      <c r="J58" s="15" t="str">
        <f>IF(A58="","",IF(AND(ABS(#REF!-SUMIFS('MP내역(중립)'!G:G,'MP내역(중립)'!A:A,A58,'MP내역(중립)'!F:F,"Y"))&lt;0.001,ABS(#REF!-SUMIFS('MP내역(중립)'!G:G,'MP내역(중립)'!A:A,A58,'MP내역(중립)'!B:B,"&lt;&gt;합계"))&lt;0.001),"O","X"))</f>
        <v/>
      </c>
      <c r="K58" s="15" t="str">
        <f>IF(A58="","",IF(COUNTIFS('MP내역(중립)'!A:A,A58,'MP내역(중립)'!H:H,"X")=0,"O","X"))</f>
        <v/>
      </c>
    </row>
    <row r="59" spans="5:11" s="14" customFormat="1" x14ac:dyDescent="0.3">
      <c r="E59" s="15"/>
      <c r="F59" s="15"/>
      <c r="G59" s="15" t="str">
        <f>IF(A59="","",IFERROR(IF(#REF!&lt;VLOOKUP(A59,'포트변경내역(적극)'!A:C,10,0),"O","X"),""))</f>
        <v/>
      </c>
      <c r="H59" s="15" t="str">
        <f>IF(A59="","",COUNTIFS('MP내역(중립)'!$A:$A,A59)-COUNTIFS('MP내역(중립)'!$A:$A,A59,'MP내역(중립)'!$B:$B,"현금")-COUNTIFS('MP내역(중립)'!$A:$A,A59,'MP내역(중립)'!$B:$B,"예수금")-COUNTIFS('MP내역(중립)'!$A:$A,A59,'MP내역(중립)'!$B:$B,"예탁금")-COUNTIFS('MP내역(중립)'!$A:$A,A59,'MP내역(중립)'!$B:$B,"합계"))</f>
        <v/>
      </c>
      <c r="I59" s="15" t="str">
        <f>IF(A59="","",IF(COUNTIFS('MP내역(중립)'!A:A,A59,'MP내역(중립)'!G:G,"&gt;"&amp;#REF!,'MP내역(중립)'!D:D,"&lt;&gt;"&amp;#REF!,'MP내역(중립)'!D:D,"&lt;&gt;"&amp;#REF!,'MP내역(중립)'!B:B,"&lt;&gt;현금",'MP내역(중립)'!B:B,"&lt;&gt;합계")=0,"O","X"))</f>
        <v/>
      </c>
      <c r="J59" s="15" t="str">
        <f>IF(A59="","",IF(AND(ABS(#REF!-SUMIFS('MP내역(중립)'!G:G,'MP내역(중립)'!A:A,A59,'MP내역(중립)'!F:F,"Y"))&lt;0.001,ABS(#REF!-SUMIFS('MP내역(중립)'!G:G,'MP내역(중립)'!A:A,A59,'MP내역(중립)'!B:B,"&lt;&gt;합계"))&lt;0.001),"O","X"))</f>
        <v/>
      </c>
      <c r="K59" s="15" t="str">
        <f>IF(A59="","",IF(COUNTIFS('MP내역(중립)'!A:A,A59,'MP내역(중립)'!H:H,"X")=0,"O","X"))</f>
        <v/>
      </c>
    </row>
    <row r="60" spans="5:11" s="14" customFormat="1" x14ac:dyDescent="0.3">
      <c r="E60" s="15"/>
      <c r="F60" s="15"/>
      <c r="G60" s="15" t="str">
        <f>IF(A60="","",IFERROR(IF(#REF!&lt;VLOOKUP(A60,'포트변경내역(적극)'!A:C,10,0),"O","X"),""))</f>
        <v/>
      </c>
      <c r="H60" s="15" t="str">
        <f>IF(A60="","",COUNTIFS('MP내역(중립)'!$A:$A,A60)-COUNTIFS('MP내역(중립)'!$A:$A,A60,'MP내역(중립)'!$B:$B,"현금")-COUNTIFS('MP내역(중립)'!$A:$A,A60,'MP내역(중립)'!$B:$B,"예수금")-COUNTIFS('MP내역(중립)'!$A:$A,A60,'MP내역(중립)'!$B:$B,"예탁금")-COUNTIFS('MP내역(중립)'!$A:$A,A60,'MP내역(중립)'!$B:$B,"합계"))</f>
        <v/>
      </c>
      <c r="I60" s="15" t="str">
        <f>IF(A60="","",IF(COUNTIFS('MP내역(중립)'!A:A,A60,'MP내역(중립)'!G:G,"&gt;"&amp;#REF!,'MP내역(중립)'!D:D,"&lt;&gt;"&amp;#REF!,'MP내역(중립)'!D:D,"&lt;&gt;"&amp;#REF!,'MP내역(중립)'!B:B,"&lt;&gt;현금",'MP내역(중립)'!B:B,"&lt;&gt;합계")=0,"O","X"))</f>
        <v/>
      </c>
      <c r="J60" s="15" t="str">
        <f>IF(A60="","",IF(AND(ABS(#REF!-SUMIFS('MP내역(중립)'!G:G,'MP내역(중립)'!A:A,A60,'MP내역(중립)'!F:F,"Y"))&lt;0.001,ABS(#REF!-SUMIFS('MP내역(중립)'!G:G,'MP내역(중립)'!A:A,A60,'MP내역(중립)'!B:B,"&lt;&gt;합계"))&lt;0.001),"O","X"))</f>
        <v/>
      </c>
      <c r="K60" s="15" t="str">
        <f>IF(A60="","",IF(COUNTIFS('MP내역(중립)'!A:A,A60,'MP내역(중립)'!H:H,"X")=0,"O","X"))</f>
        <v/>
      </c>
    </row>
    <row r="61" spans="5:11" s="14" customFormat="1" x14ac:dyDescent="0.3">
      <c r="E61" s="15"/>
      <c r="F61" s="15"/>
      <c r="G61" s="15" t="str">
        <f>IF(A61="","",IFERROR(IF(#REF!&lt;VLOOKUP(A61,'포트변경내역(적극)'!A:C,10,0),"O","X"),""))</f>
        <v/>
      </c>
      <c r="H61" s="15" t="str">
        <f>IF(A61="","",COUNTIFS('MP내역(중립)'!$A:$A,A61)-COUNTIFS('MP내역(중립)'!$A:$A,A61,'MP내역(중립)'!$B:$B,"현금")-COUNTIFS('MP내역(중립)'!$A:$A,A61,'MP내역(중립)'!$B:$B,"예수금")-COUNTIFS('MP내역(중립)'!$A:$A,A61,'MP내역(중립)'!$B:$B,"예탁금")-COUNTIFS('MP내역(중립)'!$A:$A,A61,'MP내역(중립)'!$B:$B,"합계"))</f>
        <v/>
      </c>
      <c r="I61" s="15" t="str">
        <f>IF(A61="","",IF(COUNTIFS('MP내역(중립)'!A:A,A61,'MP내역(중립)'!G:G,"&gt;"&amp;#REF!,'MP내역(중립)'!D:D,"&lt;&gt;"&amp;#REF!,'MP내역(중립)'!D:D,"&lt;&gt;"&amp;#REF!,'MP내역(중립)'!B:B,"&lt;&gt;현금",'MP내역(중립)'!B:B,"&lt;&gt;합계")=0,"O","X"))</f>
        <v/>
      </c>
      <c r="J61" s="15" t="str">
        <f>IF(A61="","",IF(AND(ABS(#REF!-SUMIFS('MP내역(중립)'!G:G,'MP내역(중립)'!A:A,A61,'MP내역(중립)'!F:F,"Y"))&lt;0.001,ABS(#REF!-SUMIFS('MP내역(중립)'!G:G,'MP내역(중립)'!A:A,A61,'MP내역(중립)'!B:B,"&lt;&gt;합계"))&lt;0.001),"O","X"))</f>
        <v/>
      </c>
      <c r="K61" s="15" t="str">
        <f>IF(A61="","",IF(COUNTIFS('MP내역(중립)'!A:A,A61,'MP내역(중립)'!H:H,"X")=0,"O","X"))</f>
        <v/>
      </c>
    </row>
    <row r="62" spans="5:11" s="14" customFormat="1" x14ac:dyDescent="0.3">
      <c r="E62" s="15"/>
      <c r="F62" s="15"/>
      <c r="G62" s="15" t="str">
        <f>IF(A62="","",IFERROR(IF(#REF!&lt;VLOOKUP(A62,'포트변경내역(적극)'!A:C,10,0),"O","X"),""))</f>
        <v/>
      </c>
      <c r="H62" s="15" t="str">
        <f>IF(A62="","",COUNTIFS('MP내역(중립)'!$A:$A,A62)-COUNTIFS('MP내역(중립)'!$A:$A,A62,'MP내역(중립)'!$B:$B,"현금")-COUNTIFS('MP내역(중립)'!$A:$A,A62,'MP내역(중립)'!$B:$B,"예수금")-COUNTIFS('MP내역(중립)'!$A:$A,A62,'MP내역(중립)'!$B:$B,"예탁금")-COUNTIFS('MP내역(중립)'!$A:$A,A62,'MP내역(중립)'!$B:$B,"합계"))</f>
        <v/>
      </c>
      <c r="I62" s="15" t="str">
        <f>IF(A62="","",IF(COUNTIFS('MP내역(중립)'!A:A,A62,'MP내역(중립)'!G:G,"&gt;"&amp;#REF!,'MP내역(중립)'!D:D,"&lt;&gt;"&amp;#REF!,'MP내역(중립)'!D:D,"&lt;&gt;"&amp;#REF!,'MP내역(중립)'!B:B,"&lt;&gt;현금",'MP내역(중립)'!B:B,"&lt;&gt;합계")=0,"O","X"))</f>
        <v/>
      </c>
      <c r="J62" s="15" t="str">
        <f>IF(A62="","",IF(AND(ABS(#REF!-SUMIFS('MP내역(중립)'!G:G,'MP내역(중립)'!A:A,A62,'MP내역(중립)'!F:F,"Y"))&lt;0.001,ABS(#REF!-SUMIFS('MP내역(중립)'!G:G,'MP내역(중립)'!A:A,A62,'MP내역(중립)'!B:B,"&lt;&gt;합계"))&lt;0.001),"O","X"))</f>
        <v/>
      </c>
      <c r="K62" s="15" t="str">
        <f>IF(A62="","",IF(COUNTIFS('MP내역(중립)'!A:A,A62,'MP내역(중립)'!H:H,"X")=0,"O","X"))</f>
        <v/>
      </c>
    </row>
    <row r="63" spans="5:11" s="14" customFormat="1" x14ac:dyDescent="0.3">
      <c r="E63" s="15"/>
      <c r="F63" s="15"/>
      <c r="G63" s="15" t="str">
        <f>IF(A63="","",IFERROR(IF(#REF!&lt;VLOOKUP(A63,'포트변경내역(적극)'!A:C,10,0),"O","X"),""))</f>
        <v/>
      </c>
      <c r="H63" s="15" t="str">
        <f>IF(A63="","",COUNTIFS('MP내역(중립)'!$A:$A,A63)-COUNTIFS('MP내역(중립)'!$A:$A,A63,'MP내역(중립)'!$B:$B,"현금")-COUNTIFS('MP내역(중립)'!$A:$A,A63,'MP내역(중립)'!$B:$B,"예수금")-COUNTIFS('MP내역(중립)'!$A:$A,A63,'MP내역(중립)'!$B:$B,"예탁금")-COUNTIFS('MP내역(중립)'!$A:$A,A63,'MP내역(중립)'!$B:$B,"합계"))</f>
        <v/>
      </c>
      <c r="I63" s="15" t="str">
        <f>IF(A63="","",IF(COUNTIFS('MP내역(중립)'!A:A,A63,'MP내역(중립)'!G:G,"&gt;"&amp;#REF!,'MP내역(중립)'!D:D,"&lt;&gt;"&amp;#REF!,'MP내역(중립)'!D:D,"&lt;&gt;"&amp;#REF!,'MP내역(중립)'!B:B,"&lt;&gt;현금",'MP내역(중립)'!B:B,"&lt;&gt;합계")=0,"O","X"))</f>
        <v/>
      </c>
      <c r="J63" s="15" t="str">
        <f>IF(A63="","",IF(AND(ABS(#REF!-SUMIFS('MP내역(중립)'!G:G,'MP내역(중립)'!A:A,A63,'MP내역(중립)'!F:F,"Y"))&lt;0.001,ABS(#REF!-SUMIFS('MP내역(중립)'!G:G,'MP내역(중립)'!A:A,A63,'MP내역(중립)'!B:B,"&lt;&gt;합계"))&lt;0.001),"O","X"))</f>
        <v/>
      </c>
      <c r="K63" s="15" t="str">
        <f>IF(A63="","",IF(COUNTIFS('MP내역(중립)'!A:A,A63,'MP내역(중립)'!H:H,"X")=0,"O","X"))</f>
        <v/>
      </c>
    </row>
    <row r="64" spans="5:11" s="14" customFormat="1" x14ac:dyDescent="0.3">
      <c r="E64" s="15"/>
      <c r="F64" s="15"/>
      <c r="G64" s="15" t="str">
        <f>IF(A64="","",IFERROR(IF(#REF!&lt;VLOOKUP(A64,'포트변경내역(적극)'!A:C,10,0),"O","X"),""))</f>
        <v/>
      </c>
      <c r="H64" s="15" t="str">
        <f>IF(A64="","",COUNTIFS('MP내역(중립)'!$A:$A,A64)-COUNTIFS('MP내역(중립)'!$A:$A,A64,'MP내역(중립)'!$B:$B,"현금")-COUNTIFS('MP내역(중립)'!$A:$A,A64,'MP내역(중립)'!$B:$B,"예수금")-COUNTIFS('MP내역(중립)'!$A:$A,A64,'MP내역(중립)'!$B:$B,"예탁금")-COUNTIFS('MP내역(중립)'!$A:$A,A64,'MP내역(중립)'!$B:$B,"합계"))</f>
        <v/>
      </c>
      <c r="I64" s="15" t="str">
        <f>IF(A64="","",IF(COUNTIFS('MP내역(중립)'!A:A,A64,'MP내역(중립)'!G:G,"&gt;"&amp;#REF!,'MP내역(중립)'!D:D,"&lt;&gt;"&amp;#REF!,'MP내역(중립)'!D:D,"&lt;&gt;"&amp;#REF!,'MP내역(중립)'!B:B,"&lt;&gt;현금",'MP내역(중립)'!B:B,"&lt;&gt;합계")=0,"O","X"))</f>
        <v/>
      </c>
      <c r="J64" s="15" t="str">
        <f>IF(A64="","",IF(AND(ABS(#REF!-SUMIFS('MP내역(중립)'!G:G,'MP내역(중립)'!A:A,A64,'MP내역(중립)'!F:F,"Y"))&lt;0.001,ABS(#REF!-SUMIFS('MP내역(중립)'!G:G,'MP내역(중립)'!A:A,A64,'MP내역(중립)'!B:B,"&lt;&gt;합계"))&lt;0.001),"O","X"))</f>
        <v/>
      </c>
      <c r="K64" s="15" t="str">
        <f>IF(A64="","",IF(COUNTIFS('MP내역(중립)'!A:A,A64,'MP내역(중립)'!H:H,"X")=0,"O","X"))</f>
        <v/>
      </c>
    </row>
    <row r="65" spans="5:11" s="14" customFormat="1" x14ac:dyDescent="0.3">
      <c r="E65" s="15"/>
      <c r="F65" s="15"/>
      <c r="G65" s="15" t="str">
        <f>IF(A65="","",IFERROR(IF(#REF!&lt;VLOOKUP(A65,'포트변경내역(적극)'!A:C,10,0),"O","X"),""))</f>
        <v/>
      </c>
      <c r="H65" s="15" t="str">
        <f>IF(A65="","",COUNTIFS('MP내역(중립)'!$A:$A,A65)-COUNTIFS('MP내역(중립)'!$A:$A,A65,'MP내역(중립)'!$B:$B,"현금")-COUNTIFS('MP내역(중립)'!$A:$A,A65,'MP내역(중립)'!$B:$B,"예수금")-COUNTIFS('MP내역(중립)'!$A:$A,A65,'MP내역(중립)'!$B:$B,"예탁금")-COUNTIFS('MP내역(중립)'!$A:$A,A65,'MP내역(중립)'!$B:$B,"합계"))</f>
        <v/>
      </c>
      <c r="I65" s="15" t="str">
        <f>IF(A65="","",IF(COUNTIFS('MP내역(중립)'!A:A,A65,'MP내역(중립)'!G:G,"&gt;"&amp;#REF!,'MP내역(중립)'!D:D,"&lt;&gt;"&amp;#REF!,'MP내역(중립)'!D:D,"&lt;&gt;"&amp;#REF!,'MP내역(중립)'!B:B,"&lt;&gt;현금",'MP내역(중립)'!B:B,"&lt;&gt;합계")=0,"O","X"))</f>
        <v/>
      </c>
      <c r="J65" s="15" t="str">
        <f>IF(A65="","",IF(AND(ABS(#REF!-SUMIFS('MP내역(중립)'!G:G,'MP내역(중립)'!A:A,A65,'MP내역(중립)'!F:F,"Y"))&lt;0.001,ABS(#REF!-SUMIFS('MP내역(중립)'!G:G,'MP내역(중립)'!A:A,A65,'MP내역(중립)'!B:B,"&lt;&gt;합계"))&lt;0.001),"O","X"))</f>
        <v/>
      </c>
      <c r="K65" s="15" t="str">
        <f>IF(A65="","",IF(COUNTIFS('MP내역(중립)'!A:A,A65,'MP내역(중립)'!H:H,"X")=0,"O","X"))</f>
        <v/>
      </c>
    </row>
    <row r="66" spans="5:11" s="14" customFormat="1" x14ac:dyDescent="0.3">
      <c r="E66" s="15"/>
      <c r="F66" s="15"/>
      <c r="G66" s="15" t="str">
        <f>IF(A66="","",IFERROR(IF(#REF!&lt;VLOOKUP(A66,'포트변경내역(적극)'!A:C,10,0),"O","X"),""))</f>
        <v/>
      </c>
      <c r="H66" s="15" t="str">
        <f>IF(A66="","",COUNTIFS('MP내역(중립)'!$A:$A,A66)-COUNTIFS('MP내역(중립)'!$A:$A,A66,'MP내역(중립)'!$B:$B,"현금")-COUNTIFS('MP내역(중립)'!$A:$A,A66,'MP내역(중립)'!$B:$B,"예수금")-COUNTIFS('MP내역(중립)'!$A:$A,A66,'MP내역(중립)'!$B:$B,"예탁금")-COUNTIFS('MP내역(중립)'!$A:$A,A66,'MP내역(중립)'!$B:$B,"합계"))</f>
        <v/>
      </c>
      <c r="I66" s="15" t="str">
        <f>IF(A66="","",IF(COUNTIFS('MP내역(중립)'!A:A,A66,'MP내역(중립)'!G:G,"&gt;"&amp;#REF!,'MP내역(중립)'!D:D,"&lt;&gt;"&amp;#REF!,'MP내역(중립)'!D:D,"&lt;&gt;"&amp;#REF!,'MP내역(중립)'!B:B,"&lt;&gt;현금",'MP내역(중립)'!B:B,"&lt;&gt;합계")=0,"O","X"))</f>
        <v/>
      </c>
      <c r="J66" s="15" t="str">
        <f>IF(A66="","",IF(AND(ABS(#REF!-SUMIFS('MP내역(중립)'!G:G,'MP내역(중립)'!A:A,A66,'MP내역(중립)'!F:F,"Y"))&lt;0.001,ABS(#REF!-SUMIFS('MP내역(중립)'!G:G,'MP내역(중립)'!A:A,A66,'MP내역(중립)'!B:B,"&lt;&gt;합계"))&lt;0.001),"O","X"))</f>
        <v/>
      </c>
      <c r="K66" s="15" t="str">
        <f>IF(A66="","",IF(COUNTIFS('MP내역(중립)'!A:A,A66,'MP내역(중립)'!H:H,"X")=0,"O","X"))</f>
        <v/>
      </c>
    </row>
    <row r="67" spans="5:11" s="14" customFormat="1" x14ac:dyDescent="0.3">
      <c r="E67" s="15"/>
      <c r="F67" s="15"/>
      <c r="G67" s="15" t="str">
        <f>IF(A67="","",IFERROR(IF(#REF!&lt;VLOOKUP(A67,'포트변경내역(적극)'!A:C,10,0),"O","X"),""))</f>
        <v/>
      </c>
      <c r="H67" s="15" t="str">
        <f>IF(A67="","",COUNTIFS('MP내역(중립)'!$A:$A,A67)-COUNTIFS('MP내역(중립)'!$A:$A,A67,'MP내역(중립)'!$B:$B,"현금")-COUNTIFS('MP내역(중립)'!$A:$A,A67,'MP내역(중립)'!$B:$B,"예수금")-COUNTIFS('MP내역(중립)'!$A:$A,A67,'MP내역(중립)'!$B:$B,"예탁금")-COUNTIFS('MP내역(중립)'!$A:$A,A67,'MP내역(중립)'!$B:$B,"합계"))</f>
        <v/>
      </c>
      <c r="I67" s="15" t="str">
        <f>IF(A67="","",IF(COUNTIFS('MP내역(중립)'!A:A,A67,'MP내역(중립)'!G:G,"&gt;"&amp;#REF!,'MP내역(중립)'!D:D,"&lt;&gt;"&amp;#REF!,'MP내역(중립)'!D:D,"&lt;&gt;"&amp;#REF!,'MP내역(중립)'!B:B,"&lt;&gt;현금",'MP내역(중립)'!B:B,"&lt;&gt;합계")=0,"O","X"))</f>
        <v/>
      </c>
      <c r="J67" s="15" t="str">
        <f>IF(A67="","",IF(AND(ABS(#REF!-SUMIFS('MP내역(중립)'!G:G,'MP내역(중립)'!A:A,A67,'MP내역(중립)'!F:F,"Y"))&lt;0.001,ABS(#REF!-SUMIFS('MP내역(중립)'!G:G,'MP내역(중립)'!A:A,A67,'MP내역(중립)'!B:B,"&lt;&gt;합계"))&lt;0.001),"O","X"))</f>
        <v/>
      </c>
      <c r="K67" s="15" t="str">
        <f>IF(A67="","",IF(COUNTIFS('MP내역(중립)'!A:A,A67,'MP내역(중립)'!H:H,"X")=0,"O","X"))</f>
        <v/>
      </c>
    </row>
    <row r="68" spans="5:11" s="14" customFormat="1" x14ac:dyDescent="0.3">
      <c r="E68" s="15"/>
      <c r="F68" s="15"/>
      <c r="G68" s="15" t="str">
        <f>IF(A68="","",IFERROR(IF(#REF!&lt;VLOOKUP(A68,'포트변경내역(적극)'!A:C,10,0),"O","X"),""))</f>
        <v/>
      </c>
      <c r="H68" s="15" t="str">
        <f>IF(A68="","",COUNTIFS('MP내역(중립)'!$A:$A,A68)-COUNTIFS('MP내역(중립)'!$A:$A,A68,'MP내역(중립)'!$B:$B,"현금")-COUNTIFS('MP내역(중립)'!$A:$A,A68,'MP내역(중립)'!$B:$B,"예수금")-COUNTIFS('MP내역(중립)'!$A:$A,A68,'MP내역(중립)'!$B:$B,"예탁금")-COUNTIFS('MP내역(중립)'!$A:$A,A68,'MP내역(중립)'!$B:$B,"합계"))</f>
        <v/>
      </c>
      <c r="I68" s="15" t="str">
        <f>IF(A68="","",IF(COUNTIFS('MP내역(중립)'!A:A,A68,'MP내역(중립)'!G:G,"&gt;"&amp;#REF!,'MP내역(중립)'!D:D,"&lt;&gt;"&amp;#REF!,'MP내역(중립)'!D:D,"&lt;&gt;"&amp;#REF!,'MP내역(중립)'!B:B,"&lt;&gt;현금",'MP내역(중립)'!B:B,"&lt;&gt;합계")=0,"O","X"))</f>
        <v/>
      </c>
      <c r="J68" s="15" t="str">
        <f>IF(A68="","",IF(AND(ABS(#REF!-SUMIFS('MP내역(중립)'!G:G,'MP내역(중립)'!A:A,A68,'MP내역(중립)'!F:F,"Y"))&lt;0.001,ABS(#REF!-SUMIFS('MP내역(중립)'!G:G,'MP내역(중립)'!A:A,A68,'MP내역(중립)'!B:B,"&lt;&gt;합계"))&lt;0.001),"O","X"))</f>
        <v/>
      </c>
      <c r="K68" s="15" t="str">
        <f>IF(A68="","",IF(COUNTIFS('MP내역(중립)'!A:A,A68,'MP내역(중립)'!H:H,"X")=0,"O","X"))</f>
        <v/>
      </c>
    </row>
    <row r="69" spans="5:11" s="14" customFormat="1" x14ac:dyDescent="0.3">
      <c r="E69" s="15"/>
      <c r="F69" s="15"/>
      <c r="G69" s="15" t="str">
        <f>IF(A69="","",IFERROR(IF(#REF!&lt;VLOOKUP(A69,'포트변경내역(적극)'!A:C,10,0),"O","X"),""))</f>
        <v/>
      </c>
      <c r="H69" s="15" t="str">
        <f>IF(A69="","",COUNTIFS('MP내역(중립)'!$A:$A,A69)-COUNTIFS('MP내역(중립)'!$A:$A,A69,'MP내역(중립)'!$B:$B,"현금")-COUNTIFS('MP내역(중립)'!$A:$A,A69,'MP내역(중립)'!$B:$B,"예수금")-COUNTIFS('MP내역(중립)'!$A:$A,A69,'MP내역(중립)'!$B:$B,"예탁금")-COUNTIFS('MP내역(중립)'!$A:$A,A69,'MP내역(중립)'!$B:$B,"합계"))</f>
        <v/>
      </c>
      <c r="I69" s="15" t="str">
        <f>IF(A69="","",IF(COUNTIFS('MP내역(중립)'!A:A,A69,'MP내역(중립)'!G:G,"&gt;"&amp;#REF!,'MP내역(중립)'!D:D,"&lt;&gt;"&amp;#REF!,'MP내역(중립)'!D:D,"&lt;&gt;"&amp;#REF!,'MP내역(중립)'!B:B,"&lt;&gt;현금",'MP내역(중립)'!B:B,"&lt;&gt;합계")=0,"O","X"))</f>
        <v/>
      </c>
      <c r="J69" s="15" t="str">
        <f>IF(A69="","",IF(AND(ABS(#REF!-SUMIFS('MP내역(중립)'!G:G,'MP내역(중립)'!A:A,A69,'MP내역(중립)'!F:F,"Y"))&lt;0.001,ABS(#REF!-SUMIFS('MP내역(중립)'!G:G,'MP내역(중립)'!A:A,A69,'MP내역(중립)'!B:B,"&lt;&gt;합계"))&lt;0.001),"O","X"))</f>
        <v/>
      </c>
      <c r="K69" s="15" t="str">
        <f>IF(A69="","",IF(COUNTIFS('MP내역(중립)'!A:A,A69,'MP내역(중립)'!H:H,"X")=0,"O","X"))</f>
        <v/>
      </c>
    </row>
    <row r="70" spans="5:11" s="14" customFormat="1" x14ac:dyDescent="0.3">
      <c r="E70" s="15"/>
      <c r="F70" s="15"/>
      <c r="G70" s="15" t="str">
        <f>IF(A70="","",IFERROR(IF(#REF!&lt;VLOOKUP(A70,'포트변경내역(적극)'!A:C,10,0),"O","X"),""))</f>
        <v/>
      </c>
      <c r="H70" s="15" t="str">
        <f>IF(A70="","",COUNTIFS('MP내역(중립)'!$A:$A,A70)-COUNTIFS('MP내역(중립)'!$A:$A,A70,'MP내역(중립)'!$B:$B,"현금")-COUNTIFS('MP내역(중립)'!$A:$A,A70,'MP내역(중립)'!$B:$B,"예수금")-COUNTIFS('MP내역(중립)'!$A:$A,A70,'MP내역(중립)'!$B:$B,"예탁금")-COUNTIFS('MP내역(중립)'!$A:$A,A70,'MP내역(중립)'!$B:$B,"합계"))</f>
        <v/>
      </c>
      <c r="I70" s="15" t="str">
        <f>IF(A70="","",IF(COUNTIFS('MP내역(중립)'!A:A,A70,'MP내역(중립)'!G:G,"&gt;"&amp;#REF!,'MP내역(중립)'!D:D,"&lt;&gt;"&amp;#REF!,'MP내역(중립)'!D:D,"&lt;&gt;"&amp;#REF!,'MP내역(중립)'!B:B,"&lt;&gt;현금",'MP내역(중립)'!B:B,"&lt;&gt;합계")=0,"O","X"))</f>
        <v/>
      </c>
      <c r="J70" s="15" t="str">
        <f>IF(A70="","",IF(AND(ABS(#REF!-SUMIFS('MP내역(중립)'!G:G,'MP내역(중립)'!A:A,A70,'MP내역(중립)'!F:F,"Y"))&lt;0.001,ABS(#REF!-SUMIFS('MP내역(중립)'!G:G,'MP내역(중립)'!A:A,A70,'MP내역(중립)'!B:B,"&lt;&gt;합계"))&lt;0.001),"O","X"))</f>
        <v/>
      </c>
      <c r="K70" s="15" t="str">
        <f>IF(A70="","",IF(COUNTIFS('MP내역(중립)'!A:A,A70,'MP내역(중립)'!H:H,"X")=0,"O","X"))</f>
        <v/>
      </c>
    </row>
    <row r="71" spans="5:11" s="14" customFormat="1" x14ac:dyDescent="0.3">
      <c r="E71" s="15"/>
      <c r="F71" s="15"/>
      <c r="G71" s="15" t="str">
        <f>IF(A71="","",IFERROR(IF(#REF!&lt;VLOOKUP(A71,'포트변경내역(적극)'!A:C,10,0),"O","X"),""))</f>
        <v/>
      </c>
      <c r="H71" s="15" t="str">
        <f>IF(A71="","",COUNTIFS('MP내역(중립)'!$A:$A,A71)-COUNTIFS('MP내역(중립)'!$A:$A,A71,'MP내역(중립)'!$B:$B,"현금")-COUNTIFS('MP내역(중립)'!$A:$A,A71,'MP내역(중립)'!$B:$B,"예수금")-COUNTIFS('MP내역(중립)'!$A:$A,A71,'MP내역(중립)'!$B:$B,"예탁금")-COUNTIFS('MP내역(중립)'!$A:$A,A71,'MP내역(중립)'!$B:$B,"합계"))</f>
        <v/>
      </c>
      <c r="I71" s="15" t="str">
        <f>IF(A71="","",IF(COUNTIFS('MP내역(중립)'!A:A,A71,'MP내역(중립)'!G:G,"&gt;"&amp;#REF!,'MP내역(중립)'!D:D,"&lt;&gt;"&amp;#REF!,'MP내역(중립)'!D:D,"&lt;&gt;"&amp;#REF!,'MP내역(중립)'!B:B,"&lt;&gt;현금",'MP내역(중립)'!B:B,"&lt;&gt;합계")=0,"O","X"))</f>
        <v/>
      </c>
      <c r="J71" s="15" t="str">
        <f>IF(A71="","",IF(AND(ABS(#REF!-SUMIFS('MP내역(중립)'!G:G,'MP내역(중립)'!A:A,A71,'MP내역(중립)'!F:F,"Y"))&lt;0.001,ABS(#REF!-SUMIFS('MP내역(중립)'!G:G,'MP내역(중립)'!A:A,A71,'MP내역(중립)'!B:B,"&lt;&gt;합계"))&lt;0.001),"O","X"))</f>
        <v/>
      </c>
      <c r="K71" s="15" t="str">
        <f>IF(A71="","",IF(COUNTIFS('MP내역(중립)'!A:A,A71,'MP내역(중립)'!H:H,"X")=0,"O","X"))</f>
        <v/>
      </c>
    </row>
    <row r="72" spans="5:11" s="14" customFormat="1" x14ac:dyDescent="0.3">
      <c r="E72" s="15"/>
      <c r="F72" s="15"/>
      <c r="G72" s="15" t="str">
        <f>IF(A72="","",IFERROR(IF(#REF!&lt;VLOOKUP(A72,'포트변경내역(적극)'!A:C,10,0),"O","X"),""))</f>
        <v/>
      </c>
      <c r="H72" s="15" t="str">
        <f>IF(A72="","",COUNTIFS('MP내역(중립)'!$A:$A,A72)-COUNTIFS('MP내역(중립)'!$A:$A,A72,'MP내역(중립)'!$B:$B,"현금")-COUNTIFS('MP내역(중립)'!$A:$A,A72,'MP내역(중립)'!$B:$B,"예수금")-COUNTIFS('MP내역(중립)'!$A:$A,A72,'MP내역(중립)'!$B:$B,"예탁금")-COUNTIFS('MP내역(중립)'!$A:$A,A72,'MP내역(중립)'!$B:$B,"합계"))</f>
        <v/>
      </c>
      <c r="I72" s="15" t="str">
        <f>IF(A72="","",IF(COUNTIFS('MP내역(중립)'!A:A,A72,'MP내역(중립)'!G:G,"&gt;"&amp;#REF!,'MP내역(중립)'!D:D,"&lt;&gt;"&amp;#REF!,'MP내역(중립)'!D:D,"&lt;&gt;"&amp;#REF!,'MP내역(중립)'!B:B,"&lt;&gt;현금",'MP내역(중립)'!B:B,"&lt;&gt;합계")=0,"O","X"))</f>
        <v/>
      </c>
      <c r="J72" s="15" t="str">
        <f>IF(A72="","",IF(AND(ABS(#REF!-SUMIFS('MP내역(중립)'!G:G,'MP내역(중립)'!A:A,A72,'MP내역(중립)'!F:F,"Y"))&lt;0.001,ABS(#REF!-SUMIFS('MP내역(중립)'!G:G,'MP내역(중립)'!A:A,A72,'MP내역(중립)'!B:B,"&lt;&gt;합계"))&lt;0.001),"O","X"))</f>
        <v/>
      </c>
      <c r="K72" s="15" t="str">
        <f>IF(A72="","",IF(COUNTIFS('MP내역(중립)'!A:A,A72,'MP내역(중립)'!H:H,"X")=0,"O","X"))</f>
        <v/>
      </c>
    </row>
    <row r="73" spans="5:11" s="14" customFormat="1" x14ac:dyDescent="0.3">
      <c r="E73" s="15"/>
      <c r="F73" s="15"/>
      <c r="G73" s="15" t="str">
        <f>IF(A73="","",IFERROR(IF(#REF!&lt;VLOOKUP(A73,'포트변경내역(적극)'!A:C,10,0),"O","X"),""))</f>
        <v/>
      </c>
      <c r="H73" s="15" t="str">
        <f>IF(A73="","",COUNTIFS('MP내역(중립)'!$A:$A,A73)-COUNTIFS('MP내역(중립)'!$A:$A,A73,'MP내역(중립)'!$B:$B,"현금")-COUNTIFS('MP내역(중립)'!$A:$A,A73,'MP내역(중립)'!$B:$B,"예수금")-COUNTIFS('MP내역(중립)'!$A:$A,A73,'MP내역(중립)'!$B:$B,"예탁금")-COUNTIFS('MP내역(중립)'!$A:$A,A73,'MP내역(중립)'!$B:$B,"합계"))</f>
        <v/>
      </c>
      <c r="I73" s="15" t="str">
        <f>IF(A73="","",IF(COUNTIFS('MP내역(중립)'!A:A,A73,'MP내역(중립)'!G:G,"&gt;"&amp;#REF!,'MP내역(중립)'!D:D,"&lt;&gt;"&amp;#REF!,'MP내역(중립)'!D:D,"&lt;&gt;"&amp;#REF!,'MP내역(중립)'!B:B,"&lt;&gt;현금",'MP내역(중립)'!B:B,"&lt;&gt;합계")=0,"O","X"))</f>
        <v/>
      </c>
      <c r="J73" s="15" t="str">
        <f>IF(A73="","",IF(AND(ABS(#REF!-SUMIFS('MP내역(중립)'!G:G,'MP내역(중립)'!A:A,A73,'MP내역(중립)'!F:F,"Y"))&lt;0.001,ABS(#REF!-SUMIFS('MP내역(중립)'!G:G,'MP내역(중립)'!A:A,A73,'MP내역(중립)'!B:B,"&lt;&gt;합계"))&lt;0.001),"O","X"))</f>
        <v/>
      </c>
      <c r="K73" s="15" t="str">
        <f>IF(A73="","",IF(COUNTIFS('MP내역(중립)'!A:A,A73,'MP내역(중립)'!H:H,"X")=0,"O","X"))</f>
        <v/>
      </c>
    </row>
    <row r="74" spans="5:11" s="14" customFormat="1" x14ac:dyDescent="0.3">
      <c r="E74" s="15"/>
      <c r="F74" s="15"/>
      <c r="G74" s="15" t="str">
        <f>IF(A74="","",IFERROR(IF(#REF!&lt;VLOOKUP(A74,'포트변경내역(적극)'!A:C,10,0),"O","X"),""))</f>
        <v/>
      </c>
      <c r="H74" s="15" t="str">
        <f>IF(A74="","",COUNTIFS('MP내역(중립)'!$A:$A,A74)-COUNTIFS('MP내역(중립)'!$A:$A,A74,'MP내역(중립)'!$B:$B,"현금")-COUNTIFS('MP내역(중립)'!$A:$A,A74,'MP내역(중립)'!$B:$B,"예수금")-COUNTIFS('MP내역(중립)'!$A:$A,A74,'MP내역(중립)'!$B:$B,"예탁금")-COUNTIFS('MP내역(중립)'!$A:$A,A74,'MP내역(중립)'!$B:$B,"합계"))</f>
        <v/>
      </c>
      <c r="I74" s="15" t="str">
        <f>IF(A74="","",IF(COUNTIFS('MP내역(중립)'!A:A,A74,'MP내역(중립)'!G:G,"&gt;"&amp;#REF!,'MP내역(중립)'!D:D,"&lt;&gt;"&amp;#REF!,'MP내역(중립)'!D:D,"&lt;&gt;"&amp;#REF!,'MP내역(중립)'!B:B,"&lt;&gt;현금",'MP내역(중립)'!B:B,"&lt;&gt;합계")=0,"O","X"))</f>
        <v/>
      </c>
      <c r="J74" s="15" t="str">
        <f>IF(A74="","",IF(AND(ABS(#REF!-SUMIFS('MP내역(중립)'!G:G,'MP내역(중립)'!A:A,A74,'MP내역(중립)'!F:F,"Y"))&lt;0.001,ABS(#REF!-SUMIFS('MP내역(중립)'!G:G,'MP내역(중립)'!A:A,A74,'MP내역(중립)'!B:B,"&lt;&gt;합계"))&lt;0.001),"O","X"))</f>
        <v/>
      </c>
      <c r="K74" s="15" t="str">
        <f>IF(A74="","",IF(COUNTIFS('MP내역(중립)'!A:A,A74,'MP내역(중립)'!H:H,"X")=0,"O","X"))</f>
        <v/>
      </c>
    </row>
    <row r="75" spans="5:11" s="14" customFormat="1" x14ac:dyDescent="0.3">
      <c r="E75" s="15"/>
      <c r="F75" s="15"/>
      <c r="G75" s="15" t="str">
        <f>IF(A75="","",IFERROR(IF(#REF!&lt;VLOOKUP(A75,'포트변경내역(적극)'!A:C,10,0),"O","X"),""))</f>
        <v/>
      </c>
      <c r="H75" s="15" t="str">
        <f>IF(A75="","",COUNTIFS('MP내역(중립)'!$A:$A,A75)-COUNTIFS('MP내역(중립)'!$A:$A,A75,'MP내역(중립)'!$B:$B,"현금")-COUNTIFS('MP내역(중립)'!$A:$A,A75,'MP내역(중립)'!$B:$B,"예수금")-COUNTIFS('MP내역(중립)'!$A:$A,A75,'MP내역(중립)'!$B:$B,"예탁금")-COUNTIFS('MP내역(중립)'!$A:$A,A75,'MP내역(중립)'!$B:$B,"합계"))</f>
        <v/>
      </c>
      <c r="I75" s="15" t="str">
        <f>IF(A75="","",IF(COUNTIFS('MP내역(중립)'!A:A,A75,'MP내역(중립)'!G:G,"&gt;"&amp;#REF!,'MP내역(중립)'!D:D,"&lt;&gt;"&amp;#REF!,'MP내역(중립)'!D:D,"&lt;&gt;"&amp;#REF!,'MP내역(중립)'!B:B,"&lt;&gt;현금",'MP내역(중립)'!B:B,"&lt;&gt;합계")=0,"O","X"))</f>
        <v/>
      </c>
      <c r="J75" s="15" t="str">
        <f>IF(A75="","",IF(AND(ABS(#REF!-SUMIFS('MP내역(중립)'!G:G,'MP내역(중립)'!A:A,A75,'MP내역(중립)'!F:F,"Y"))&lt;0.001,ABS(#REF!-SUMIFS('MP내역(중립)'!G:G,'MP내역(중립)'!A:A,A75,'MP내역(중립)'!B:B,"&lt;&gt;합계"))&lt;0.001),"O","X"))</f>
        <v/>
      </c>
      <c r="K75" s="15" t="str">
        <f>IF(A75="","",IF(COUNTIFS('MP내역(중립)'!A:A,A75,'MP내역(중립)'!H:H,"X")=0,"O","X"))</f>
        <v/>
      </c>
    </row>
    <row r="76" spans="5:11" s="14" customFormat="1" x14ac:dyDescent="0.3">
      <c r="E76" s="15"/>
      <c r="F76" s="15"/>
      <c r="G76" s="15" t="str">
        <f>IF(A76="","",IFERROR(IF(#REF!&lt;VLOOKUP(A76,'포트변경내역(적극)'!A:C,10,0),"O","X"),""))</f>
        <v/>
      </c>
      <c r="H76" s="15" t="str">
        <f>IF(A76="","",COUNTIFS('MP내역(중립)'!$A:$A,A76)-COUNTIFS('MP내역(중립)'!$A:$A,A76,'MP내역(중립)'!$B:$B,"현금")-COUNTIFS('MP내역(중립)'!$A:$A,A76,'MP내역(중립)'!$B:$B,"예수금")-COUNTIFS('MP내역(중립)'!$A:$A,A76,'MP내역(중립)'!$B:$B,"예탁금")-COUNTIFS('MP내역(중립)'!$A:$A,A76,'MP내역(중립)'!$B:$B,"합계"))</f>
        <v/>
      </c>
      <c r="I76" s="15" t="str">
        <f>IF(A76="","",IF(COUNTIFS('MP내역(중립)'!A:A,A76,'MP내역(중립)'!G:G,"&gt;"&amp;#REF!,'MP내역(중립)'!D:D,"&lt;&gt;"&amp;#REF!,'MP내역(중립)'!D:D,"&lt;&gt;"&amp;#REF!,'MP내역(중립)'!B:B,"&lt;&gt;현금",'MP내역(중립)'!B:B,"&lt;&gt;합계")=0,"O","X"))</f>
        <v/>
      </c>
      <c r="J76" s="15" t="str">
        <f>IF(A76="","",IF(AND(ABS(#REF!-SUMIFS('MP내역(중립)'!G:G,'MP내역(중립)'!A:A,A76,'MP내역(중립)'!F:F,"Y"))&lt;0.001,ABS(#REF!-SUMIFS('MP내역(중립)'!G:G,'MP내역(중립)'!A:A,A76,'MP내역(중립)'!B:B,"&lt;&gt;합계"))&lt;0.001),"O","X"))</f>
        <v/>
      </c>
      <c r="K76" s="15" t="str">
        <f>IF(A76="","",IF(COUNTIFS('MP내역(중립)'!A:A,A76,'MP내역(중립)'!H:H,"X")=0,"O","X"))</f>
        <v/>
      </c>
    </row>
    <row r="77" spans="5:11" s="14" customFormat="1" x14ac:dyDescent="0.3">
      <c r="E77" s="15"/>
      <c r="F77" s="15"/>
      <c r="G77" s="15" t="str">
        <f>IF(A77="","",IFERROR(IF(#REF!&lt;VLOOKUP(A77,'포트변경내역(적극)'!A:C,10,0),"O","X"),""))</f>
        <v/>
      </c>
      <c r="H77" s="15" t="str">
        <f>IF(A77="","",COUNTIFS('MP내역(중립)'!$A:$A,A77)-COUNTIFS('MP내역(중립)'!$A:$A,A77,'MP내역(중립)'!$B:$B,"현금")-COUNTIFS('MP내역(중립)'!$A:$A,A77,'MP내역(중립)'!$B:$B,"예수금")-COUNTIFS('MP내역(중립)'!$A:$A,A77,'MP내역(중립)'!$B:$B,"예탁금")-COUNTIFS('MP내역(중립)'!$A:$A,A77,'MP내역(중립)'!$B:$B,"합계"))</f>
        <v/>
      </c>
      <c r="I77" s="15" t="str">
        <f>IF(A77="","",IF(COUNTIFS('MP내역(중립)'!A:A,A77,'MP내역(중립)'!G:G,"&gt;"&amp;#REF!,'MP내역(중립)'!D:D,"&lt;&gt;"&amp;#REF!,'MP내역(중립)'!D:D,"&lt;&gt;"&amp;#REF!,'MP내역(중립)'!B:B,"&lt;&gt;현금",'MP내역(중립)'!B:B,"&lt;&gt;합계")=0,"O","X"))</f>
        <v/>
      </c>
      <c r="J77" s="15" t="str">
        <f>IF(A77="","",IF(AND(ABS(#REF!-SUMIFS('MP내역(중립)'!G:G,'MP내역(중립)'!A:A,A77,'MP내역(중립)'!F:F,"Y"))&lt;0.001,ABS(#REF!-SUMIFS('MP내역(중립)'!G:G,'MP내역(중립)'!A:A,A77,'MP내역(중립)'!B:B,"&lt;&gt;합계"))&lt;0.001),"O","X"))</f>
        <v/>
      </c>
      <c r="K77" s="15" t="str">
        <f>IF(A77="","",IF(COUNTIFS('MP내역(중립)'!A:A,A77,'MP내역(중립)'!H:H,"X")=0,"O","X"))</f>
        <v/>
      </c>
    </row>
    <row r="78" spans="5:11" s="14" customFormat="1" x14ac:dyDescent="0.3">
      <c r="E78" s="15"/>
      <c r="F78" s="15"/>
      <c r="G78" s="15" t="str">
        <f>IF(A78="","",IFERROR(IF(#REF!&lt;VLOOKUP(A78,'포트변경내역(적극)'!A:C,10,0),"O","X"),""))</f>
        <v/>
      </c>
      <c r="H78" s="15" t="str">
        <f>IF(A78="","",COUNTIFS('MP내역(중립)'!$A:$A,A78)-COUNTIFS('MP내역(중립)'!$A:$A,A78,'MP내역(중립)'!$B:$B,"현금")-COUNTIFS('MP내역(중립)'!$A:$A,A78,'MP내역(중립)'!$B:$B,"예수금")-COUNTIFS('MP내역(중립)'!$A:$A,A78,'MP내역(중립)'!$B:$B,"예탁금")-COUNTIFS('MP내역(중립)'!$A:$A,A78,'MP내역(중립)'!$B:$B,"합계"))</f>
        <v/>
      </c>
      <c r="I78" s="15" t="str">
        <f>IF(A78="","",IF(COUNTIFS('MP내역(중립)'!A:A,A78,'MP내역(중립)'!G:G,"&gt;"&amp;#REF!,'MP내역(중립)'!D:D,"&lt;&gt;"&amp;#REF!,'MP내역(중립)'!D:D,"&lt;&gt;"&amp;#REF!,'MP내역(중립)'!B:B,"&lt;&gt;현금",'MP내역(중립)'!B:B,"&lt;&gt;합계")=0,"O","X"))</f>
        <v/>
      </c>
      <c r="J78" s="15" t="str">
        <f>IF(A78="","",IF(AND(ABS(#REF!-SUMIFS('MP내역(중립)'!G:G,'MP내역(중립)'!A:A,A78,'MP내역(중립)'!F:F,"Y"))&lt;0.001,ABS(#REF!-SUMIFS('MP내역(중립)'!G:G,'MP내역(중립)'!A:A,A78,'MP내역(중립)'!B:B,"&lt;&gt;합계"))&lt;0.001),"O","X"))</f>
        <v/>
      </c>
      <c r="K78" s="15" t="str">
        <f>IF(A78="","",IF(COUNTIFS('MP내역(중립)'!A:A,A78,'MP내역(중립)'!H:H,"X")=0,"O","X"))</f>
        <v/>
      </c>
    </row>
    <row r="79" spans="5:11" s="14" customFormat="1" x14ac:dyDescent="0.3">
      <c r="E79" s="15"/>
      <c r="F79" s="15"/>
      <c r="G79" s="15" t="str">
        <f>IF(A79="","",IFERROR(IF(#REF!&lt;VLOOKUP(A79,'포트변경내역(적극)'!A:C,10,0),"O","X"),""))</f>
        <v/>
      </c>
      <c r="H79" s="15" t="str">
        <f>IF(A79="","",COUNTIFS('MP내역(중립)'!$A:$A,A79)-COUNTIFS('MP내역(중립)'!$A:$A,A79,'MP내역(중립)'!$B:$B,"현금")-COUNTIFS('MP내역(중립)'!$A:$A,A79,'MP내역(중립)'!$B:$B,"예수금")-COUNTIFS('MP내역(중립)'!$A:$A,A79,'MP내역(중립)'!$B:$B,"예탁금")-COUNTIFS('MP내역(중립)'!$A:$A,A79,'MP내역(중립)'!$B:$B,"합계"))</f>
        <v/>
      </c>
      <c r="I79" s="15" t="str">
        <f>IF(A79="","",IF(COUNTIFS('MP내역(중립)'!A:A,A79,'MP내역(중립)'!G:G,"&gt;"&amp;#REF!,'MP내역(중립)'!D:D,"&lt;&gt;"&amp;#REF!,'MP내역(중립)'!D:D,"&lt;&gt;"&amp;#REF!,'MP내역(중립)'!B:B,"&lt;&gt;현금",'MP내역(중립)'!B:B,"&lt;&gt;합계")=0,"O","X"))</f>
        <v/>
      </c>
      <c r="J79" s="15" t="str">
        <f>IF(A79="","",IF(AND(ABS(#REF!-SUMIFS('MP내역(중립)'!G:G,'MP내역(중립)'!A:A,A79,'MP내역(중립)'!F:F,"Y"))&lt;0.001,ABS(#REF!-SUMIFS('MP내역(중립)'!G:G,'MP내역(중립)'!A:A,A79,'MP내역(중립)'!B:B,"&lt;&gt;합계"))&lt;0.001),"O","X"))</f>
        <v/>
      </c>
      <c r="K79" s="15" t="str">
        <f>IF(A79="","",IF(COUNTIFS('MP내역(중립)'!A:A,A79,'MP내역(중립)'!H:H,"X")=0,"O","X"))</f>
        <v/>
      </c>
    </row>
    <row r="80" spans="5:11" s="14" customFormat="1" x14ac:dyDescent="0.3">
      <c r="E80" s="15"/>
      <c r="F80" s="15"/>
      <c r="G80" s="15" t="str">
        <f>IF(A80="","",IFERROR(IF(#REF!&lt;VLOOKUP(A80,'포트변경내역(적극)'!A:C,10,0),"O","X"),""))</f>
        <v/>
      </c>
      <c r="H80" s="15" t="str">
        <f>IF(A80="","",COUNTIFS('MP내역(중립)'!$A:$A,A80)-COUNTIFS('MP내역(중립)'!$A:$A,A80,'MP내역(중립)'!$B:$B,"현금")-COUNTIFS('MP내역(중립)'!$A:$A,A80,'MP내역(중립)'!$B:$B,"예수금")-COUNTIFS('MP내역(중립)'!$A:$A,A80,'MP내역(중립)'!$B:$B,"예탁금")-COUNTIFS('MP내역(중립)'!$A:$A,A80,'MP내역(중립)'!$B:$B,"합계"))</f>
        <v/>
      </c>
      <c r="I80" s="15" t="str">
        <f>IF(A80="","",IF(COUNTIFS('MP내역(중립)'!A:A,A80,'MP내역(중립)'!G:G,"&gt;"&amp;#REF!,'MP내역(중립)'!D:D,"&lt;&gt;"&amp;#REF!,'MP내역(중립)'!D:D,"&lt;&gt;"&amp;#REF!,'MP내역(중립)'!B:B,"&lt;&gt;현금",'MP내역(중립)'!B:B,"&lt;&gt;합계")=0,"O","X"))</f>
        <v/>
      </c>
      <c r="J80" s="15" t="str">
        <f>IF(A80="","",IF(AND(ABS(#REF!-SUMIFS('MP내역(중립)'!G:G,'MP내역(중립)'!A:A,A80,'MP내역(중립)'!F:F,"Y"))&lt;0.001,ABS(#REF!-SUMIFS('MP내역(중립)'!G:G,'MP내역(중립)'!A:A,A80,'MP내역(중립)'!B:B,"&lt;&gt;합계"))&lt;0.001),"O","X"))</f>
        <v/>
      </c>
      <c r="K80" s="15" t="str">
        <f>IF(A80="","",IF(COUNTIFS('MP내역(중립)'!A:A,A80,'MP내역(중립)'!H:H,"X")=0,"O","X"))</f>
        <v/>
      </c>
    </row>
    <row r="81" spans="1:12" x14ac:dyDescent="0.3">
      <c r="A81" s="14"/>
      <c r="B81" s="14"/>
      <c r="C81" s="14"/>
      <c r="D81" s="14"/>
      <c r="E81" s="15"/>
      <c r="G81" s="15" t="str">
        <f>IF(A81="","",IFERROR(IF(#REF!&lt;VLOOKUP(A81,'포트변경내역(적극)'!A:C,10,0),"O","X"),""))</f>
        <v/>
      </c>
      <c r="H81" s="15" t="str">
        <f>IF(A81="","",COUNTIFS('MP내역(중립)'!$A:$A,A81)-COUNTIFS('MP내역(중립)'!$A:$A,A81,'MP내역(중립)'!$B:$B,"현금")-COUNTIFS('MP내역(중립)'!$A:$A,A81,'MP내역(중립)'!$B:$B,"예수금")-COUNTIFS('MP내역(중립)'!$A:$A,A81,'MP내역(중립)'!$B:$B,"예탁금")-COUNTIFS('MP내역(중립)'!$A:$A,A81,'MP내역(중립)'!$B:$B,"합계"))</f>
        <v/>
      </c>
      <c r="I81" s="15" t="str">
        <f>IF(A81="","",IF(COUNTIFS('MP내역(중립)'!A:A,A81,'MP내역(중립)'!G:G,"&gt;"&amp;#REF!,'MP내역(중립)'!D:D,"&lt;&gt;"&amp;#REF!,'MP내역(중립)'!D:D,"&lt;&gt;"&amp;#REF!,'MP내역(중립)'!B:B,"&lt;&gt;현금",'MP내역(중립)'!B:B,"&lt;&gt;합계")=0,"O","X"))</f>
        <v/>
      </c>
      <c r="J81" s="15" t="str">
        <f>IF(A81="","",IF(AND(ABS(#REF!-SUMIFS('MP내역(중립)'!G:G,'MP내역(중립)'!A:A,A81,'MP내역(중립)'!F:F,"Y"))&lt;0.001,ABS(#REF!-SUMIFS('MP내역(중립)'!G:G,'MP내역(중립)'!A:A,A81,'MP내역(중립)'!B:B,"&lt;&gt;합계"))&lt;0.001),"O","X"))</f>
        <v/>
      </c>
      <c r="K81" s="15" t="str">
        <f>IF(A81="","",IF(COUNTIFS('MP내역(중립)'!A:A,A81,'MP내역(중립)'!H:H,"X")=0,"O","X"))</f>
        <v/>
      </c>
      <c r="L81" s="14"/>
    </row>
    <row r="82" spans="1:12" x14ac:dyDescent="0.3">
      <c r="A82" s="14"/>
      <c r="B82" s="14"/>
      <c r="C82" s="14"/>
      <c r="D82" s="14"/>
      <c r="E82" s="15"/>
      <c r="G82" s="15" t="str">
        <f>IF(A82="","",IFERROR(IF(#REF!&lt;VLOOKUP(A82,'포트변경내역(적극)'!A:C,10,0),"O","X"),""))</f>
        <v/>
      </c>
      <c r="H82" s="15" t="str">
        <f>IF(A82="","",COUNTIFS('MP내역(중립)'!$A:$A,A82)-COUNTIFS('MP내역(중립)'!$A:$A,A82,'MP내역(중립)'!$B:$B,"현금")-COUNTIFS('MP내역(중립)'!$A:$A,A82,'MP내역(중립)'!$B:$B,"예수금")-COUNTIFS('MP내역(중립)'!$A:$A,A82,'MP내역(중립)'!$B:$B,"예탁금")-COUNTIFS('MP내역(중립)'!$A:$A,A82,'MP내역(중립)'!$B:$B,"합계"))</f>
        <v/>
      </c>
      <c r="I82" s="15" t="str">
        <f>IF(A82="","",IF(COUNTIFS('MP내역(중립)'!A:A,A82,'MP내역(중립)'!G:G,"&gt;"&amp;#REF!,'MP내역(중립)'!D:D,"&lt;&gt;"&amp;#REF!,'MP내역(중립)'!D:D,"&lt;&gt;"&amp;#REF!,'MP내역(중립)'!B:B,"&lt;&gt;현금",'MP내역(중립)'!B:B,"&lt;&gt;합계")=0,"O","X"))</f>
        <v/>
      </c>
      <c r="J82" s="15" t="str">
        <f>IF(A82="","",IF(AND(ABS(#REF!-SUMIFS('MP내역(중립)'!G:G,'MP내역(중립)'!A:A,A82,'MP내역(중립)'!F:F,"Y"))&lt;0.001,ABS(#REF!-SUMIFS('MP내역(중립)'!G:G,'MP내역(중립)'!A:A,A82,'MP내역(중립)'!B:B,"&lt;&gt;합계"))&lt;0.001),"O","X"))</f>
        <v/>
      </c>
      <c r="K82" s="15" t="str">
        <f>IF(A82="","",IF(COUNTIFS('MP내역(중립)'!A:A,A82,'MP내역(중립)'!H:H,"X")=0,"O","X"))</f>
        <v/>
      </c>
      <c r="L82" s="14"/>
    </row>
    <row r="83" spans="1:12" x14ac:dyDescent="0.3">
      <c r="A83" s="14"/>
      <c r="B83" s="14"/>
      <c r="C83" s="14"/>
      <c r="D83" s="14"/>
      <c r="E83" s="15"/>
      <c r="G83" s="15" t="str">
        <f>IF(A83="","",IFERROR(IF(#REF!&lt;VLOOKUP(A83,'포트변경내역(적극)'!A:C,10,0),"O","X"),""))</f>
        <v/>
      </c>
      <c r="H83" s="15" t="str">
        <f>IF(A83="","",COUNTIFS('MP내역(중립)'!$A:$A,A83)-COUNTIFS('MP내역(중립)'!$A:$A,A83,'MP내역(중립)'!$B:$B,"현금")-COUNTIFS('MP내역(중립)'!$A:$A,A83,'MP내역(중립)'!$B:$B,"예수금")-COUNTIFS('MP내역(중립)'!$A:$A,A83,'MP내역(중립)'!$B:$B,"예탁금")-COUNTIFS('MP내역(중립)'!$A:$A,A83,'MP내역(중립)'!$B:$B,"합계"))</f>
        <v/>
      </c>
      <c r="I83" s="15" t="str">
        <f>IF(A83="","",IF(COUNTIFS('MP내역(중립)'!A:A,A83,'MP내역(중립)'!G:G,"&gt;"&amp;#REF!,'MP내역(중립)'!D:D,"&lt;&gt;"&amp;#REF!,'MP내역(중립)'!D:D,"&lt;&gt;"&amp;#REF!,'MP내역(중립)'!B:B,"&lt;&gt;현금",'MP내역(중립)'!B:B,"&lt;&gt;합계")=0,"O","X"))</f>
        <v/>
      </c>
      <c r="J83" s="15" t="str">
        <f>IF(A83="","",IF(AND(ABS(#REF!-SUMIFS('MP내역(중립)'!G:G,'MP내역(중립)'!A:A,A83,'MP내역(중립)'!F:F,"Y"))&lt;0.001,ABS(#REF!-SUMIFS('MP내역(중립)'!G:G,'MP내역(중립)'!A:A,A83,'MP내역(중립)'!B:B,"&lt;&gt;합계"))&lt;0.001),"O","X"))</f>
        <v/>
      </c>
      <c r="K83" s="15" t="str">
        <f>IF(A83="","",IF(COUNTIFS('MP내역(중립)'!A:A,A83,'MP내역(중립)'!H:H,"X")=0,"O","X"))</f>
        <v/>
      </c>
      <c r="L83" s="14"/>
    </row>
    <row r="84" spans="1:12" x14ac:dyDescent="0.3">
      <c r="E84" s="15"/>
      <c r="G84" s="15" t="str">
        <f>IF(A84="","",IFERROR(IF(#REF!&lt;VLOOKUP(A84,'포트변경내역(적극)'!A:C,10,0),"O","X"),""))</f>
        <v/>
      </c>
      <c r="H84" s="15" t="str">
        <f>IF(A84="","",COUNTIFS('MP내역(중립)'!$A:$A,A84)-COUNTIFS('MP내역(중립)'!$A:$A,A84,'MP내역(중립)'!$B:$B,"현금")-COUNTIFS('MP내역(중립)'!$A:$A,A84,'MP내역(중립)'!$B:$B,"예수금")-COUNTIFS('MP내역(중립)'!$A:$A,A84,'MP내역(중립)'!$B:$B,"예탁금")-COUNTIFS('MP내역(중립)'!$A:$A,A84,'MP내역(중립)'!$B:$B,"합계"))</f>
        <v/>
      </c>
      <c r="I84" s="15" t="str">
        <f>IF(A84="","",IF(COUNTIFS('MP내역(중립)'!A:A,A84,'MP내역(중립)'!G:G,"&gt;"&amp;#REF!,'MP내역(중립)'!D:D,"&lt;&gt;"&amp;#REF!,'MP내역(중립)'!D:D,"&lt;&gt;"&amp;#REF!,'MP내역(중립)'!B:B,"&lt;&gt;현금",'MP내역(중립)'!B:B,"&lt;&gt;합계")=0,"O","X"))</f>
        <v/>
      </c>
      <c r="J84" s="15" t="str">
        <f>IF(A84="","",IF(AND(ABS(#REF!-SUMIFS('MP내역(중립)'!G:G,'MP내역(중립)'!A:A,A84,'MP내역(중립)'!F:F,"Y"))&lt;0.001,ABS(#REF!-SUMIFS('MP내역(중립)'!G:G,'MP내역(중립)'!A:A,A84,'MP내역(중립)'!B:B,"&lt;&gt;합계"))&lt;0.001),"O","X"))</f>
        <v/>
      </c>
      <c r="K84" s="15" t="str">
        <f>IF(A84="","",IF(COUNTIFS('MP내역(중립)'!A:A,A84,'MP내역(중립)'!H:H,"X")=0,"O","X"))</f>
        <v/>
      </c>
      <c r="L84" s="14"/>
    </row>
    <row r="85" spans="1:12" x14ac:dyDescent="0.3">
      <c r="E85" s="15"/>
      <c r="G85" s="15" t="str">
        <f>IF(A85="","",IFERROR(IF(#REF!&lt;VLOOKUP(A85,'포트변경내역(적극)'!A:C,10,0),"O","X"),""))</f>
        <v/>
      </c>
      <c r="H85" s="15" t="str">
        <f>IF(A85="","",COUNTIFS('MP내역(중립)'!$A:$A,A85)-COUNTIFS('MP내역(중립)'!$A:$A,A85,'MP내역(중립)'!$B:$B,"현금")-COUNTIFS('MP내역(중립)'!$A:$A,A85,'MP내역(중립)'!$B:$B,"예수금")-COUNTIFS('MP내역(중립)'!$A:$A,A85,'MP내역(중립)'!$B:$B,"예탁금")-COUNTIFS('MP내역(중립)'!$A:$A,A85,'MP내역(중립)'!$B:$B,"합계"))</f>
        <v/>
      </c>
      <c r="I85" s="15" t="str">
        <f>IF(A85="","",IF(COUNTIFS('MP내역(중립)'!A:A,A85,'MP내역(중립)'!G:G,"&gt;"&amp;#REF!,'MP내역(중립)'!D:D,"&lt;&gt;"&amp;#REF!,'MP내역(중립)'!D:D,"&lt;&gt;"&amp;#REF!,'MP내역(중립)'!B:B,"&lt;&gt;현금",'MP내역(중립)'!B:B,"&lt;&gt;합계")=0,"O","X"))</f>
        <v/>
      </c>
      <c r="J85" s="15" t="str">
        <f>IF(A85="","",IF(AND(ABS(#REF!-SUMIFS('MP내역(중립)'!G:G,'MP내역(중립)'!A:A,A85,'MP내역(중립)'!F:F,"Y"))&lt;0.001,ABS(#REF!-SUMIFS('MP내역(중립)'!G:G,'MP내역(중립)'!A:A,A85,'MP내역(중립)'!B:B,"&lt;&gt;합계"))&lt;0.001),"O","X"))</f>
        <v/>
      </c>
      <c r="K85" s="15" t="str">
        <f>IF(A85="","",IF(COUNTIFS('MP내역(중립)'!A:A,A85,'MP내역(중립)'!H:H,"X")=0,"O","X"))</f>
        <v/>
      </c>
      <c r="L85" s="14"/>
    </row>
    <row r="86" spans="1:12" x14ac:dyDescent="0.3">
      <c r="E86" s="15"/>
      <c r="G86" s="15" t="str">
        <f>IF(A86="","",IFERROR(IF(#REF!&lt;VLOOKUP(A86,'포트변경내역(적극)'!A:C,10,0),"O","X"),""))</f>
        <v/>
      </c>
      <c r="H86" s="15" t="str">
        <f>IF(A86="","",COUNTIFS('MP내역(중립)'!$A:$A,A86)-COUNTIFS('MP내역(중립)'!$A:$A,A86,'MP내역(중립)'!$B:$B,"현금")-COUNTIFS('MP내역(중립)'!$A:$A,A86,'MP내역(중립)'!$B:$B,"예수금")-COUNTIFS('MP내역(중립)'!$A:$A,A86,'MP내역(중립)'!$B:$B,"예탁금")-COUNTIFS('MP내역(중립)'!$A:$A,A86,'MP내역(중립)'!$B:$B,"합계"))</f>
        <v/>
      </c>
      <c r="I86" s="15" t="str">
        <f>IF(A86="","",IF(COUNTIFS('MP내역(중립)'!A:A,A86,'MP내역(중립)'!G:G,"&gt;"&amp;#REF!,'MP내역(중립)'!D:D,"&lt;&gt;"&amp;#REF!,'MP내역(중립)'!D:D,"&lt;&gt;"&amp;#REF!,'MP내역(중립)'!B:B,"&lt;&gt;현금",'MP내역(중립)'!B:B,"&lt;&gt;합계")=0,"O","X"))</f>
        <v/>
      </c>
      <c r="J86" s="15" t="str">
        <f>IF(A86="","",IF(AND(ABS(#REF!-SUMIFS('MP내역(중립)'!G:G,'MP내역(중립)'!A:A,A86,'MP내역(중립)'!F:F,"Y"))&lt;0.001,ABS(#REF!-SUMIFS('MP내역(중립)'!G:G,'MP내역(중립)'!A:A,A86,'MP내역(중립)'!B:B,"&lt;&gt;합계"))&lt;0.001),"O","X"))</f>
        <v/>
      </c>
      <c r="K86" s="15" t="str">
        <f>IF(A86="","",IF(COUNTIFS('MP내역(중립)'!A:A,A86,'MP내역(중립)'!H:H,"X")=0,"O","X"))</f>
        <v/>
      </c>
      <c r="L86" s="14"/>
    </row>
    <row r="87" spans="1:12" x14ac:dyDescent="0.3">
      <c r="E87" s="15"/>
      <c r="G87" s="15" t="str">
        <f>IF(A87="","",IFERROR(IF(#REF!&lt;VLOOKUP(A87,'포트변경내역(적극)'!A:C,10,0),"O","X"),""))</f>
        <v/>
      </c>
      <c r="H87" s="15" t="str">
        <f>IF(A87="","",COUNTIFS('MP내역(중립)'!$A:$A,A87)-COUNTIFS('MP내역(중립)'!$A:$A,A87,'MP내역(중립)'!$B:$B,"현금")-COUNTIFS('MP내역(중립)'!$A:$A,A87,'MP내역(중립)'!$B:$B,"예수금")-COUNTIFS('MP내역(중립)'!$A:$A,A87,'MP내역(중립)'!$B:$B,"예탁금")-COUNTIFS('MP내역(중립)'!$A:$A,A87,'MP내역(중립)'!$B:$B,"합계"))</f>
        <v/>
      </c>
      <c r="I87" s="15" t="str">
        <f>IF(A87="","",IF(COUNTIFS('MP내역(중립)'!A:A,A87,'MP내역(중립)'!G:G,"&gt;"&amp;#REF!,'MP내역(중립)'!D:D,"&lt;&gt;"&amp;#REF!,'MP내역(중립)'!D:D,"&lt;&gt;"&amp;#REF!,'MP내역(중립)'!B:B,"&lt;&gt;현금",'MP내역(중립)'!B:B,"&lt;&gt;합계")=0,"O","X"))</f>
        <v/>
      </c>
      <c r="J87" s="15" t="str">
        <f>IF(A87="","",IF(AND(ABS(#REF!-SUMIFS('MP내역(중립)'!G:G,'MP내역(중립)'!A:A,A87,'MP내역(중립)'!F:F,"Y"))&lt;0.001,ABS(#REF!-SUMIFS('MP내역(중립)'!G:G,'MP내역(중립)'!A:A,A87,'MP내역(중립)'!B:B,"&lt;&gt;합계"))&lt;0.001),"O","X"))</f>
        <v/>
      </c>
      <c r="K87" s="15" t="str">
        <f>IF(A87="","",IF(COUNTIFS('MP내역(중립)'!A:A,A87,'MP내역(중립)'!H:H,"X")=0,"O","X"))</f>
        <v/>
      </c>
      <c r="L87" s="14"/>
    </row>
    <row r="88" spans="1:12" x14ac:dyDescent="0.3">
      <c r="E88" s="15"/>
      <c r="G88" s="15" t="str">
        <f>IF(A88="","",IFERROR(IF(#REF!&lt;VLOOKUP(A88,'포트변경내역(적극)'!A:C,10,0),"O","X"),""))</f>
        <v/>
      </c>
      <c r="H88" s="15" t="str">
        <f>IF(A88="","",COUNTIFS('MP내역(중립)'!$A:$A,A88)-COUNTIFS('MP내역(중립)'!$A:$A,A88,'MP내역(중립)'!$B:$B,"현금")-COUNTIFS('MP내역(중립)'!$A:$A,A88,'MP내역(중립)'!$B:$B,"예수금")-COUNTIFS('MP내역(중립)'!$A:$A,A88,'MP내역(중립)'!$B:$B,"예탁금")-COUNTIFS('MP내역(중립)'!$A:$A,A88,'MP내역(중립)'!$B:$B,"합계"))</f>
        <v/>
      </c>
      <c r="I88" s="15" t="str">
        <f>IF(A88="","",IF(COUNTIFS('MP내역(중립)'!A:A,A88,'MP내역(중립)'!G:G,"&gt;"&amp;#REF!,'MP내역(중립)'!D:D,"&lt;&gt;"&amp;#REF!,'MP내역(중립)'!D:D,"&lt;&gt;"&amp;#REF!,'MP내역(중립)'!B:B,"&lt;&gt;현금",'MP내역(중립)'!B:B,"&lt;&gt;합계")=0,"O","X"))</f>
        <v/>
      </c>
      <c r="J88" s="15" t="str">
        <f>IF(A88="","",IF(AND(ABS(#REF!-SUMIFS('MP내역(중립)'!G:G,'MP내역(중립)'!A:A,A88,'MP내역(중립)'!F:F,"Y"))&lt;0.001,ABS(#REF!-SUMIFS('MP내역(중립)'!G:G,'MP내역(중립)'!A:A,A88,'MP내역(중립)'!B:B,"&lt;&gt;합계"))&lt;0.001),"O","X"))</f>
        <v/>
      </c>
      <c r="K88" s="15" t="str">
        <f>IF(A88="","",IF(COUNTIFS('MP내역(중립)'!A:A,A88,'MP내역(중립)'!H:H,"X")=0,"O","X"))</f>
        <v/>
      </c>
      <c r="L88" s="14"/>
    </row>
    <row r="89" spans="1:12" x14ac:dyDescent="0.3">
      <c r="E89" s="15"/>
      <c r="G89" s="15" t="str">
        <f>IF(A89="","",IFERROR(IF(#REF!&lt;VLOOKUP(A89,'포트변경내역(적극)'!A:C,10,0),"O","X"),""))</f>
        <v/>
      </c>
      <c r="H89" s="15" t="str">
        <f>IF(A89="","",COUNTIFS('MP내역(중립)'!$A:$A,A89)-COUNTIFS('MP내역(중립)'!$A:$A,A89,'MP내역(중립)'!$B:$B,"현금")-COUNTIFS('MP내역(중립)'!$A:$A,A89,'MP내역(중립)'!$B:$B,"예수금")-COUNTIFS('MP내역(중립)'!$A:$A,A89,'MP내역(중립)'!$B:$B,"예탁금")-COUNTIFS('MP내역(중립)'!$A:$A,A89,'MP내역(중립)'!$B:$B,"합계"))</f>
        <v/>
      </c>
      <c r="I89" s="15" t="str">
        <f>IF(A89="","",IF(COUNTIFS('MP내역(중립)'!A:A,A89,'MP내역(중립)'!G:G,"&gt;"&amp;#REF!,'MP내역(중립)'!D:D,"&lt;&gt;"&amp;#REF!,'MP내역(중립)'!D:D,"&lt;&gt;"&amp;#REF!,'MP내역(중립)'!B:B,"&lt;&gt;현금",'MP내역(중립)'!B:B,"&lt;&gt;합계")=0,"O","X"))</f>
        <v/>
      </c>
      <c r="J89" s="15" t="str">
        <f>IF(A89="","",IF(AND(ABS(#REF!-SUMIFS('MP내역(중립)'!G:G,'MP내역(중립)'!A:A,A89,'MP내역(중립)'!F:F,"Y"))&lt;0.001,ABS(#REF!-SUMIFS('MP내역(중립)'!G:G,'MP내역(중립)'!A:A,A89,'MP내역(중립)'!B:B,"&lt;&gt;합계"))&lt;0.001),"O","X"))</f>
        <v/>
      </c>
      <c r="K89" s="15" t="str">
        <f>IF(A89="","",IF(COUNTIFS('MP내역(중립)'!A:A,A89,'MP내역(중립)'!H:H,"X")=0,"O","X"))</f>
        <v/>
      </c>
      <c r="L89" s="14"/>
    </row>
    <row r="90" spans="1:12" x14ac:dyDescent="0.3">
      <c r="E90" s="15"/>
      <c r="G90" s="15" t="str">
        <f>IF(A90="","",IFERROR(IF(#REF!&lt;VLOOKUP(A90,'포트변경내역(적극)'!A:C,10,0),"O","X"),""))</f>
        <v/>
      </c>
      <c r="H90" s="15" t="str">
        <f>IF(A90="","",COUNTIFS('MP내역(중립)'!$A:$A,A90)-COUNTIFS('MP내역(중립)'!$A:$A,A90,'MP내역(중립)'!$B:$B,"현금")-COUNTIFS('MP내역(중립)'!$A:$A,A90,'MP내역(중립)'!$B:$B,"예수금")-COUNTIFS('MP내역(중립)'!$A:$A,A90,'MP내역(중립)'!$B:$B,"예탁금")-COUNTIFS('MP내역(중립)'!$A:$A,A90,'MP내역(중립)'!$B:$B,"합계"))</f>
        <v/>
      </c>
      <c r="I90" s="15" t="str">
        <f>IF(A90="","",IF(COUNTIFS('MP내역(중립)'!A:A,A90,'MP내역(중립)'!G:G,"&gt;"&amp;#REF!,'MP내역(중립)'!D:D,"&lt;&gt;"&amp;#REF!,'MP내역(중립)'!D:D,"&lt;&gt;"&amp;#REF!,'MP내역(중립)'!B:B,"&lt;&gt;현금",'MP내역(중립)'!B:B,"&lt;&gt;합계")=0,"O","X"))</f>
        <v/>
      </c>
      <c r="J90" s="15" t="str">
        <f>IF(A90="","",IF(AND(ABS(#REF!-SUMIFS('MP내역(중립)'!G:G,'MP내역(중립)'!A:A,A90,'MP내역(중립)'!F:F,"Y"))&lt;0.001,ABS(#REF!-SUMIFS('MP내역(중립)'!G:G,'MP내역(중립)'!A:A,A90,'MP내역(중립)'!B:B,"&lt;&gt;합계"))&lt;0.001),"O","X"))</f>
        <v/>
      </c>
      <c r="K90" s="15" t="str">
        <f>IF(A90="","",IF(COUNTIFS('MP내역(중립)'!A:A,A90,'MP내역(중립)'!H:H,"X")=0,"O","X"))</f>
        <v/>
      </c>
      <c r="L90" s="14"/>
    </row>
    <row r="91" spans="1:12" x14ac:dyDescent="0.3">
      <c r="E91" s="15"/>
      <c r="G91" s="15" t="str">
        <f>IF(A91="","",IFERROR(IF(#REF!&lt;VLOOKUP(A91,'포트변경내역(적극)'!A:C,10,0),"O","X"),""))</f>
        <v/>
      </c>
      <c r="H91" s="15" t="str">
        <f>IF(A91="","",COUNTIFS('MP내역(중립)'!$A:$A,A91)-COUNTIFS('MP내역(중립)'!$A:$A,A91,'MP내역(중립)'!$B:$B,"현금")-COUNTIFS('MP내역(중립)'!$A:$A,A91,'MP내역(중립)'!$B:$B,"예수금")-COUNTIFS('MP내역(중립)'!$A:$A,A91,'MP내역(중립)'!$B:$B,"예탁금")-COUNTIFS('MP내역(중립)'!$A:$A,A91,'MP내역(중립)'!$B:$B,"합계"))</f>
        <v/>
      </c>
      <c r="I91" s="15" t="str">
        <f>IF(A91="","",IF(COUNTIFS('MP내역(중립)'!A:A,A91,'MP내역(중립)'!G:G,"&gt;"&amp;#REF!,'MP내역(중립)'!D:D,"&lt;&gt;"&amp;#REF!,'MP내역(중립)'!D:D,"&lt;&gt;"&amp;#REF!,'MP내역(중립)'!B:B,"&lt;&gt;현금",'MP내역(중립)'!B:B,"&lt;&gt;합계")=0,"O","X"))</f>
        <v/>
      </c>
      <c r="J91" s="15" t="str">
        <f>IF(A91="","",IF(AND(ABS(#REF!-SUMIFS('MP내역(중립)'!G:G,'MP내역(중립)'!A:A,A91,'MP내역(중립)'!F:F,"Y"))&lt;0.001,ABS(#REF!-SUMIFS('MP내역(중립)'!G:G,'MP내역(중립)'!A:A,A91,'MP내역(중립)'!B:B,"&lt;&gt;합계"))&lt;0.001),"O","X"))</f>
        <v/>
      </c>
      <c r="K91" s="15" t="str">
        <f>IF(A91="","",IF(COUNTIFS('MP내역(중립)'!A:A,A91,'MP내역(중립)'!H:H,"X")=0,"O","X"))</f>
        <v/>
      </c>
      <c r="L91" s="14"/>
    </row>
    <row r="92" spans="1:12" x14ac:dyDescent="0.3">
      <c r="E92" s="15"/>
      <c r="G92" s="15" t="str">
        <f>IF(A92="","",IFERROR(IF(#REF!&lt;VLOOKUP(A92,'포트변경내역(적극)'!A:C,10,0),"O","X"),""))</f>
        <v/>
      </c>
      <c r="H92" s="15" t="str">
        <f>IF(A92="","",COUNTIFS('MP내역(중립)'!$A:$A,A92)-COUNTIFS('MP내역(중립)'!$A:$A,A92,'MP내역(중립)'!$B:$B,"현금")-COUNTIFS('MP내역(중립)'!$A:$A,A92,'MP내역(중립)'!$B:$B,"예수금")-COUNTIFS('MP내역(중립)'!$A:$A,A92,'MP내역(중립)'!$B:$B,"예탁금")-COUNTIFS('MP내역(중립)'!$A:$A,A92,'MP내역(중립)'!$B:$B,"합계"))</f>
        <v/>
      </c>
      <c r="I92" s="15" t="str">
        <f>IF(A92="","",IF(COUNTIFS('MP내역(중립)'!A:A,A92,'MP내역(중립)'!G:G,"&gt;"&amp;#REF!,'MP내역(중립)'!D:D,"&lt;&gt;"&amp;#REF!,'MP내역(중립)'!D:D,"&lt;&gt;"&amp;#REF!,'MP내역(중립)'!B:B,"&lt;&gt;현금",'MP내역(중립)'!B:B,"&lt;&gt;합계")=0,"O","X"))</f>
        <v/>
      </c>
      <c r="J92" s="15" t="str">
        <f>IF(A92="","",IF(AND(ABS(#REF!-SUMIFS('MP내역(중립)'!G:G,'MP내역(중립)'!A:A,A92,'MP내역(중립)'!F:F,"Y"))&lt;0.001,ABS(#REF!-SUMIFS('MP내역(중립)'!G:G,'MP내역(중립)'!A:A,A92,'MP내역(중립)'!B:B,"&lt;&gt;합계"))&lt;0.001),"O","X"))</f>
        <v/>
      </c>
      <c r="K92" s="15" t="str">
        <f>IF(A92="","",IF(COUNTIFS('MP내역(중립)'!A:A,A92,'MP내역(중립)'!H:H,"X")=0,"O","X"))</f>
        <v/>
      </c>
      <c r="L92" s="14"/>
    </row>
    <row r="93" spans="1:12" x14ac:dyDescent="0.3">
      <c r="E93" s="15"/>
      <c r="G93" s="15" t="str">
        <f>IF(A93="","",IFERROR(IF(#REF!&lt;VLOOKUP(A93,'포트변경내역(적극)'!A:C,10,0),"O","X"),""))</f>
        <v/>
      </c>
      <c r="H93" s="15" t="str">
        <f>IF(A93="","",COUNTIFS('MP내역(중립)'!$A:$A,A93)-COUNTIFS('MP내역(중립)'!$A:$A,A93,'MP내역(중립)'!$B:$B,"현금")-COUNTIFS('MP내역(중립)'!$A:$A,A93,'MP내역(중립)'!$B:$B,"예수금")-COUNTIFS('MP내역(중립)'!$A:$A,A93,'MP내역(중립)'!$B:$B,"예탁금")-COUNTIFS('MP내역(중립)'!$A:$A,A93,'MP내역(중립)'!$B:$B,"합계"))</f>
        <v/>
      </c>
      <c r="I93" s="15" t="str">
        <f>IF(A93="","",IF(COUNTIFS('MP내역(중립)'!A:A,A93,'MP내역(중립)'!G:G,"&gt;"&amp;#REF!,'MP내역(중립)'!D:D,"&lt;&gt;"&amp;#REF!,'MP내역(중립)'!D:D,"&lt;&gt;"&amp;#REF!,'MP내역(중립)'!B:B,"&lt;&gt;현금",'MP내역(중립)'!B:B,"&lt;&gt;합계")=0,"O","X"))</f>
        <v/>
      </c>
      <c r="J93" s="15" t="str">
        <f>IF(A93="","",IF(AND(ABS(#REF!-SUMIFS('MP내역(중립)'!G:G,'MP내역(중립)'!A:A,A93,'MP내역(중립)'!F:F,"Y"))&lt;0.001,ABS(#REF!-SUMIFS('MP내역(중립)'!G:G,'MP내역(중립)'!A:A,A93,'MP내역(중립)'!B:B,"&lt;&gt;합계"))&lt;0.001),"O","X"))</f>
        <v/>
      </c>
      <c r="K93" s="15" t="str">
        <f>IF(A93="","",IF(COUNTIFS('MP내역(중립)'!A:A,A93,'MP내역(중립)'!H:H,"X")=0,"O","X"))</f>
        <v/>
      </c>
      <c r="L93" s="14"/>
    </row>
    <row r="94" spans="1:12" x14ac:dyDescent="0.3">
      <c r="E94" s="15"/>
      <c r="G94" s="15" t="str">
        <f>IF(A94="","",IFERROR(IF(#REF!&lt;VLOOKUP(A94,'포트변경내역(적극)'!A:C,10,0),"O","X"),""))</f>
        <v/>
      </c>
      <c r="H94" s="15" t="str">
        <f>IF(A94="","",COUNTIFS('MP내역(중립)'!$A:$A,A94)-COUNTIFS('MP내역(중립)'!$A:$A,A94,'MP내역(중립)'!$B:$B,"현금")-COUNTIFS('MP내역(중립)'!$A:$A,A94,'MP내역(중립)'!$B:$B,"예수금")-COUNTIFS('MP내역(중립)'!$A:$A,A94,'MP내역(중립)'!$B:$B,"예탁금")-COUNTIFS('MP내역(중립)'!$A:$A,A94,'MP내역(중립)'!$B:$B,"합계"))</f>
        <v/>
      </c>
      <c r="I94" s="15" t="str">
        <f>IF(A94="","",IF(COUNTIFS('MP내역(중립)'!A:A,A94,'MP내역(중립)'!G:G,"&gt;"&amp;#REF!,'MP내역(중립)'!D:D,"&lt;&gt;"&amp;#REF!,'MP내역(중립)'!D:D,"&lt;&gt;"&amp;#REF!,'MP내역(중립)'!B:B,"&lt;&gt;현금",'MP내역(중립)'!B:B,"&lt;&gt;합계")=0,"O","X"))</f>
        <v/>
      </c>
      <c r="J94" s="15" t="str">
        <f>IF(A94="","",IF(AND(ABS(#REF!-SUMIFS('MP내역(중립)'!G:G,'MP내역(중립)'!A:A,A94,'MP내역(중립)'!F:F,"Y"))&lt;0.001,ABS(#REF!-SUMIFS('MP내역(중립)'!G:G,'MP내역(중립)'!A:A,A94,'MP내역(중립)'!B:B,"&lt;&gt;합계"))&lt;0.001),"O","X"))</f>
        <v/>
      </c>
      <c r="K94" s="15" t="str">
        <f>IF(A94="","",IF(COUNTIFS('MP내역(중립)'!A:A,A94,'MP내역(중립)'!H:H,"X")=0,"O","X"))</f>
        <v/>
      </c>
      <c r="L94" s="14"/>
    </row>
    <row r="95" spans="1:12" x14ac:dyDescent="0.3">
      <c r="E95" s="15"/>
      <c r="G95" s="15" t="str">
        <f>IF(A95="","",IFERROR(IF(#REF!&lt;VLOOKUP(A95,'포트변경내역(적극)'!A:C,10,0),"O","X"),""))</f>
        <v/>
      </c>
      <c r="H95" s="15" t="str">
        <f>IF(A95="","",COUNTIFS('MP내역(중립)'!$A:$A,A95)-COUNTIFS('MP내역(중립)'!$A:$A,A95,'MP내역(중립)'!$B:$B,"현금")-COUNTIFS('MP내역(중립)'!$A:$A,A95,'MP내역(중립)'!$B:$B,"예수금")-COUNTIFS('MP내역(중립)'!$A:$A,A95,'MP내역(중립)'!$B:$B,"예탁금")-COUNTIFS('MP내역(중립)'!$A:$A,A95,'MP내역(중립)'!$B:$B,"합계"))</f>
        <v/>
      </c>
      <c r="I95" s="15" t="str">
        <f>IF(A95="","",IF(COUNTIFS('MP내역(중립)'!A:A,A95,'MP내역(중립)'!G:G,"&gt;"&amp;#REF!,'MP내역(중립)'!D:D,"&lt;&gt;"&amp;#REF!,'MP내역(중립)'!D:D,"&lt;&gt;"&amp;#REF!,'MP내역(중립)'!B:B,"&lt;&gt;현금",'MP내역(중립)'!B:B,"&lt;&gt;합계")=0,"O","X"))</f>
        <v/>
      </c>
      <c r="J95" s="15" t="str">
        <f>IF(A95="","",IF(AND(ABS(#REF!-SUMIFS('MP내역(중립)'!G:G,'MP내역(중립)'!A:A,A95,'MP내역(중립)'!F:F,"Y"))&lt;0.001,ABS(#REF!-SUMIFS('MP내역(중립)'!G:G,'MP내역(중립)'!A:A,A95,'MP내역(중립)'!B:B,"&lt;&gt;합계"))&lt;0.001),"O","X"))</f>
        <v/>
      </c>
      <c r="K95" s="15" t="str">
        <f>IF(A95="","",IF(COUNTIFS('MP내역(중립)'!A:A,A95,'MP내역(중립)'!H:H,"X")=0,"O","X"))</f>
        <v/>
      </c>
      <c r="L95" s="14"/>
    </row>
    <row r="96" spans="1:12" x14ac:dyDescent="0.3">
      <c r="E96" s="15"/>
      <c r="G96" s="15" t="str">
        <f>IF(A96="","",IFERROR(IF(#REF!&lt;VLOOKUP(A96,'포트변경내역(적극)'!A:C,10,0),"O","X"),""))</f>
        <v/>
      </c>
      <c r="H96" s="15" t="str">
        <f>IF(A96="","",COUNTIFS('MP내역(중립)'!$A:$A,A96)-COUNTIFS('MP내역(중립)'!$A:$A,A96,'MP내역(중립)'!$B:$B,"현금")-COUNTIFS('MP내역(중립)'!$A:$A,A96,'MP내역(중립)'!$B:$B,"예수금")-COUNTIFS('MP내역(중립)'!$A:$A,A96,'MP내역(중립)'!$B:$B,"예탁금")-COUNTIFS('MP내역(중립)'!$A:$A,A96,'MP내역(중립)'!$B:$B,"합계"))</f>
        <v/>
      </c>
      <c r="I96" s="15" t="str">
        <f>IF(A96="","",IF(COUNTIFS('MP내역(중립)'!A:A,A96,'MP내역(중립)'!G:G,"&gt;"&amp;#REF!,'MP내역(중립)'!D:D,"&lt;&gt;"&amp;#REF!,'MP내역(중립)'!D:D,"&lt;&gt;"&amp;#REF!,'MP내역(중립)'!B:B,"&lt;&gt;현금",'MP내역(중립)'!B:B,"&lt;&gt;합계")=0,"O","X"))</f>
        <v/>
      </c>
      <c r="J96" s="15" t="str">
        <f>IF(A96="","",IF(AND(ABS(#REF!-SUMIFS('MP내역(중립)'!G:G,'MP내역(중립)'!A:A,A96,'MP내역(중립)'!F:F,"Y"))&lt;0.001,ABS(#REF!-SUMIFS('MP내역(중립)'!G:G,'MP내역(중립)'!A:A,A96,'MP내역(중립)'!B:B,"&lt;&gt;합계"))&lt;0.001),"O","X"))</f>
        <v/>
      </c>
      <c r="K96" s="15" t="str">
        <f>IF(A96="","",IF(COUNTIFS('MP내역(중립)'!A:A,A96,'MP내역(중립)'!H:H,"X")=0,"O","X"))</f>
        <v/>
      </c>
      <c r="L96" s="14"/>
    </row>
    <row r="97" spans="5:12" x14ac:dyDescent="0.3">
      <c r="E97" s="15"/>
      <c r="G97" s="15" t="str">
        <f>IF(A97="","",IFERROR(IF(#REF!&lt;VLOOKUP(A97,'포트변경내역(적극)'!A:C,10,0),"O","X"),""))</f>
        <v/>
      </c>
      <c r="H97" s="15" t="str">
        <f>IF(A97="","",COUNTIFS('MP내역(중립)'!$A:$A,A97)-COUNTIFS('MP내역(중립)'!$A:$A,A97,'MP내역(중립)'!$B:$B,"현금")-COUNTIFS('MP내역(중립)'!$A:$A,A97,'MP내역(중립)'!$B:$B,"예수금")-COUNTIFS('MP내역(중립)'!$A:$A,A97,'MP내역(중립)'!$B:$B,"예탁금")-COUNTIFS('MP내역(중립)'!$A:$A,A97,'MP내역(중립)'!$B:$B,"합계"))</f>
        <v/>
      </c>
      <c r="I97" s="15" t="str">
        <f>IF(A97="","",IF(COUNTIFS('MP내역(중립)'!A:A,A97,'MP내역(중립)'!G:G,"&gt;"&amp;#REF!,'MP내역(중립)'!D:D,"&lt;&gt;"&amp;#REF!,'MP내역(중립)'!D:D,"&lt;&gt;"&amp;#REF!,'MP내역(중립)'!B:B,"&lt;&gt;현금",'MP내역(중립)'!B:B,"&lt;&gt;합계")=0,"O","X"))</f>
        <v/>
      </c>
      <c r="J97" s="15" t="str">
        <f>IF(A97="","",IF(AND(ABS(#REF!-SUMIFS('MP내역(중립)'!G:G,'MP내역(중립)'!A:A,A97,'MP내역(중립)'!F:F,"Y"))&lt;0.001,ABS(#REF!-SUMIFS('MP내역(중립)'!G:G,'MP내역(중립)'!A:A,A97,'MP내역(중립)'!B:B,"&lt;&gt;합계"))&lt;0.001),"O","X"))</f>
        <v/>
      </c>
      <c r="K97" s="15" t="str">
        <f>IF(A97="","",IF(COUNTIFS('MP내역(중립)'!A:A,A97,'MP내역(중립)'!H:H,"X")=0,"O","X"))</f>
        <v/>
      </c>
      <c r="L97" s="14"/>
    </row>
    <row r="98" spans="5:12" x14ac:dyDescent="0.3">
      <c r="E98" s="15"/>
      <c r="G98" s="15" t="str">
        <f>IF(A98="","",IFERROR(IF(#REF!&lt;VLOOKUP(A98,'포트변경내역(적극)'!A:C,10,0),"O","X"),""))</f>
        <v/>
      </c>
      <c r="H98" s="15" t="str">
        <f>IF(A98="","",COUNTIFS('MP내역(중립)'!$A:$A,A98)-COUNTIFS('MP내역(중립)'!$A:$A,A98,'MP내역(중립)'!$B:$B,"현금")-COUNTIFS('MP내역(중립)'!$A:$A,A98,'MP내역(중립)'!$B:$B,"예수금")-COUNTIFS('MP내역(중립)'!$A:$A,A98,'MP내역(중립)'!$B:$B,"예탁금")-COUNTIFS('MP내역(중립)'!$A:$A,A98,'MP내역(중립)'!$B:$B,"합계"))</f>
        <v/>
      </c>
      <c r="I98" s="15" t="str">
        <f>IF(A98="","",IF(COUNTIFS('MP내역(중립)'!A:A,A98,'MP내역(중립)'!G:G,"&gt;"&amp;#REF!,'MP내역(중립)'!D:D,"&lt;&gt;"&amp;#REF!,'MP내역(중립)'!D:D,"&lt;&gt;"&amp;#REF!,'MP내역(중립)'!B:B,"&lt;&gt;현금",'MP내역(중립)'!B:B,"&lt;&gt;합계")=0,"O","X"))</f>
        <v/>
      </c>
      <c r="J98" s="15" t="str">
        <f>IF(A98="","",IF(AND(ABS(#REF!-SUMIFS('MP내역(중립)'!G:G,'MP내역(중립)'!A:A,A98,'MP내역(중립)'!F:F,"Y"))&lt;0.001,ABS(#REF!-SUMIFS('MP내역(중립)'!G:G,'MP내역(중립)'!A:A,A98,'MP내역(중립)'!B:B,"&lt;&gt;합계"))&lt;0.001),"O","X"))</f>
        <v/>
      </c>
      <c r="K98" s="15" t="str">
        <f>IF(A98="","",IF(COUNTIFS('MP내역(중립)'!A:A,A98,'MP내역(중립)'!H:H,"X")=0,"O","X"))</f>
        <v/>
      </c>
      <c r="L98" s="14"/>
    </row>
    <row r="99" spans="5:12" x14ac:dyDescent="0.3">
      <c r="E99" s="15"/>
      <c r="G99" s="15" t="str">
        <f>IF(A99="","",IFERROR(IF(#REF!&lt;VLOOKUP(A99,'포트변경내역(적극)'!A:C,10,0),"O","X"),""))</f>
        <v/>
      </c>
      <c r="H99" s="15" t="str">
        <f>IF(A99="","",COUNTIFS('MP내역(중립)'!$A:$A,A99)-COUNTIFS('MP내역(중립)'!$A:$A,A99,'MP내역(중립)'!$B:$B,"현금")-COUNTIFS('MP내역(중립)'!$A:$A,A99,'MP내역(중립)'!$B:$B,"예수금")-COUNTIFS('MP내역(중립)'!$A:$A,A99,'MP내역(중립)'!$B:$B,"예탁금")-COUNTIFS('MP내역(중립)'!$A:$A,A99,'MP내역(중립)'!$B:$B,"합계"))</f>
        <v/>
      </c>
      <c r="I99" s="15" t="str">
        <f>IF(A99="","",IF(COUNTIFS('MP내역(중립)'!A:A,A99,'MP내역(중립)'!G:G,"&gt;"&amp;#REF!,'MP내역(중립)'!D:D,"&lt;&gt;"&amp;#REF!,'MP내역(중립)'!D:D,"&lt;&gt;"&amp;#REF!,'MP내역(중립)'!B:B,"&lt;&gt;현금",'MP내역(중립)'!B:B,"&lt;&gt;합계")=0,"O","X"))</f>
        <v/>
      </c>
      <c r="J99" s="15" t="str">
        <f>IF(A99="","",IF(AND(ABS(#REF!-SUMIFS('MP내역(중립)'!G:G,'MP내역(중립)'!A:A,A99,'MP내역(중립)'!F:F,"Y"))&lt;0.001,ABS(#REF!-SUMIFS('MP내역(중립)'!G:G,'MP내역(중립)'!A:A,A99,'MP내역(중립)'!B:B,"&lt;&gt;합계"))&lt;0.001),"O","X"))</f>
        <v/>
      </c>
      <c r="K99" s="15" t="str">
        <f>IF(A99="","",IF(COUNTIFS('MP내역(중립)'!A:A,A99,'MP내역(중립)'!H:H,"X")=0,"O","X"))</f>
        <v/>
      </c>
      <c r="L99" s="14"/>
    </row>
    <row r="100" spans="5:12" x14ac:dyDescent="0.3">
      <c r="E100" s="15"/>
      <c r="G100" s="15" t="str">
        <f>IF(A100="","",IFERROR(IF(#REF!&lt;VLOOKUP(A100,'포트변경내역(적극)'!A:C,10,0),"O","X"),""))</f>
        <v/>
      </c>
      <c r="H100" s="15" t="str">
        <f>IF(A100="","",COUNTIFS('MP내역(중립)'!$A:$A,A100)-COUNTIFS('MP내역(중립)'!$A:$A,A100,'MP내역(중립)'!$B:$B,"현금")-COUNTIFS('MP내역(중립)'!$A:$A,A100,'MP내역(중립)'!$B:$B,"예수금")-COUNTIFS('MP내역(중립)'!$A:$A,A100,'MP내역(중립)'!$B:$B,"예탁금")-COUNTIFS('MP내역(중립)'!$A:$A,A100,'MP내역(중립)'!$B:$B,"합계"))</f>
        <v/>
      </c>
      <c r="I100" s="15" t="str">
        <f>IF(A100="","",IF(COUNTIFS('MP내역(중립)'!A:A,A100,'MP내역(중립)'!G:G,"&gt;"&amp;#REF!,'MP내역(중립)'!D:D,"&lt;&gt;"&amp;#REF!,'MP내역(중립)'!D:D,"&lt;&gt;"&amp;#REF!,'MP내역(중립)'!B:B,"&lt;&gt;현금",'MP내역(중립)'!B:B,"&lt;&gt;합계")=0,"O","X"))</f>
        <v/>
      </c>
      <c r="J100" s="15" t="str">
        <f>IF(A100="","",IF(AND(ABS(#REF!-SUMIFS('MP내역(중립)'!G:G,'MP내역(중립)'!A:A,A100,'MP내역(중립)'!F:F,"Y"))&lt;0.001,ABS(#REF!-SUMIFS('MP내역(중립)'!G:G,'MP내역(중립)'!A:A,A100,'MP내역(중립)'!B:B,"&lt;&gt;합계"))&lt;0.001),"O","X"))</f>
        <v/>
      </c>
      <c r="K100" s="15" t="str">
        <f>IF(A100="","",IF(COUNTIFS('MP내역(중립)'!A:A,A100,'MP내역(중립)'!H:H,"X")=0,"O","X"))</f>
        <v/>
      </c>
      <c r="L100" s="14"/>
    </row>
    <row r="101" spans="5:12" x14ac:dyDescent="0.3">
      <c r="E101" s="15"/>
      <c r="G101" s="15" t="str">
        <f>IF(A101="","",IFERROR(IF(#REF!&lt;VLOOKUP(A101,'포트변경내역(적극)'!A:C,10,0),"O","X"),""))</f>
        <v/>
      </c>
      <c r="H101" s="15" t="str">
        <f>IF(A101="","",COUNTIFS('MP내역(중립)'!$A:$A,A101)-COUNTIFS('MP내역(중립)'!$A:$A,A101,'MP내역(중립)'!$B:$B,"현금")-COUNTIFS('MP내역(중립)'!$A:$A,A101,'MP내역(중립)'!$B:$B,"예수금")-COUNTIFS('MP내역(중립)'!$A:$A,A101,'MP내역(중립)'!$B:$B,"예탁금")-COUNTIFS('MP내역(중립)'!$A:$A,A101,'MP내역(중립)'!$B:$B,"합계"))</f>
        <v/>
      </c>
      <c r="I101" s="15" t="str">
        <f>IF(A101="","",IF(COUNTIFS('MP내역(중립)'!A:A,A101,'MP내역(중립)'!G:G,"&gt;"&amp;#REF!,'MP내역(중립)'!D:D,"&lt;&gt;"&amp;#REF!,'MP내역(중립)'!D:D,"&lt;&gt;"&amp;#REF!,'MP내역(중립)'!B:B,"&lt;&gt;현금",'MP내역(중립)'!B:B,"&lt;&gt;합계")=0,"O","X"))</f>
        <v/>
      </c>
      <c r="J101" s="15" t="str">
        <f>IF(A101="","",IF(AND(ABS(#REF!-SUMIFS('MP내역(중립)'!G:G,'MP내역(중립)'!A:A,A101,'MP내역(중립)'!F:F,"Y"))&lt;0.001,ABS(#REF!-SUMIFS('MP내역(중립)'!G:G,'MP내역(중립)'!A:A,A101,'MP내역(중립)'!B:B,"&lt;&gt;합계"))&lt;0.001),"O","X"))</f>
        <v/>
      </c>
      <c r="K101" s="15" t="str">
        <f>IF(A101="","",IF(COUNTIFS('MP내역(중립)'!A:A,A101,'MP내역(중립)'!H:H,"X")=0,"O","X"))</f>
        <v/>
      </c>
      <c r="L101" s="14"/>
    </row>
    <row r="102" spans="5:12" x14ac:dyDescent="0.3">
      <c r="E102" s="15"/>
      <c r="G102" s="15" t="str">
        <f>IF(A102="","",IFERROR(IF(#REF!&lt;VLOOKUP(A102,'포트변경내역(적극)'!A:C,10,0),"O","X"),""))</f>
        <v/>
      </c>
      <c r="H102" s="15" t="str">
        <f>IF(A102="","",COUNTIFS('MP내역(중립)'!$A:$A,A102)-COUNTIFS('MP내역(중립)'!$A:$A,A102,'MP내역(중립)'!$B:$B,"현금")-COUNTIFS('MP내역(중립)'!$A:$A,A102,'MP내역(중립)'!$B:$B,"예수금")-COUNTIFS('MP내역(중립)'!$A:$A,A102,'MP내역(중립)'!$B:$B,"예탁금")-COUNTIFS('MP내역(중립)'!$A:$A,A102,'MP내역(중립)'!$B:$B,"합계"))</f>
        <v/>
      </c>
      <c r="I102" s="15" t="str">
        <f>IF(A102="","",IF(COUNTIFS('MP내역(중립)'!A:A,A102,'MP내역(중립)'!G:G,"&gt;"&amp;#REF!,'MP내역(중립)'!D:D,"&lt;&gt;"&amp;#REF!,'MP내역(중립)'!D:D,"&lt;&gt;"&amp;#REF!,'MP내역(중립)'!B:B,"&lt;&gt;현금",'MP내역(중립)'!B:B,"&lt;&gt;합계")=0,"O","X"))</f>
        <v/>
      </c>
      <c r="J102" s="15" t="str">
        <f>IF(A102="","",IF(AND(ABS(#REF!-SUMIFS('MP내역(중립)'!G:G,'MP내역(중립)'!A:A,A102,'MP내역(중립)'!F:F,"Y"))&lt;0.001,ABS(#REF!-SUMIFS('MP내역(중립)'!G:G,'MP내역(중립)'!A:A,A102,'MP내역(중립)'!B:B,"&lt;&gt;합계"))&lt;0.001),"O","X"))</f>
        <v/>
      </c>
      <c r="K102" s="15" t="str">
        <f>IF(A102="","",IF(COUNTIFS('MP내역(중립)'!A:A,A102,'MP내역(중립)'!H:H,"X")=0,"O","X"))</f>
        <v/>
      </c>
      <c r="L102" s="14"/>
    </row>
    <row r="103" spans="5:12" x14ac:dyDescent="0.3">
      <c r="E103" s="15"/>
      <c r="G103" s="15" t="str">
        <f>IF(A103="","",IFERROR(IF(#REF!&lt;VLOOKUP(A103,'포트변경내역(적극)'!A:C,10,0),"O","X"),""))</f>
        <v/>
      </c>
      <c r="H103" s="15" t="str">
        <f>IF(A103="","",COUNTIFS('MP내역(중립)'!$A:$A,A103)-COUNTIFS('MP내역(중립)'!$A:$A,A103,'MP내역(중립)'!$B:$B,"현금")-COUNTIFS('MP내역(중립)'!$A:$A,A103,'MP내역(중립)'!$B:$B,"예수금")-COUNTIFS('MP내역(중립)'!$A:$A,A103,'MP내역(중립)'!$B:$B,"예탁금")-COUNTIFS('MP내역(중립)'!$A:$A,A103,'MP내역(중립)'!$B:$B,"합계"))</f>
        <v/>
      </c>
      <c r="I103" s="15" t="str">
        <f>IF(A103="","",IF(COUNTIFS('MP내역(중립)'!A:A,A103,'MP내역(중립)'!G:G,"&gt;"&amp;#REF!,'MP내역(중립)'!D:D,"&lt;&gt;"&amp;#REF!,'MP내역(중립)'!D:D,"&lt;&gt;"&amp;#REF!,'MP내역(중립)'!B:B,"&lt;&gt;현금",'MP내역(중립)'!B:B,"&lt;&gt;합계")=0,"O","X"))</f>
        <v/>
      </c>
      <c r="J103" s="15" t="str">
        <f>IF(A103="","",IF(AND(ABS(#REF!-SUMIFS('MP내역(중립)'!G:G,'MP내역(중립)'!A:A,A103,'MP내역(중립)'!F:F,"Y"))&lt;0.001,ABS(#REF!-SUMIFS('MP내역(중립)'!G:G,'MP내역(중립)'!A:A,A103,'MP내역(중립)'!B:B,"&lt;&gt;합계"))&lt;0.001),"O","X"))</f>
        <v/>
      </c>
      <c r="K103" s="15" t="str">
        <f>IF(A103="","",IF(COUNTIFS('MP내역(중립)'!A:A,A103,'MP내역(중립)'!H:H,"X")=0,"O","X"))</f>
        <v/>
      </c>
      <c r="L103" s="14"/>
    </row>
    <row r="104" spans="5:12" x14ac:dyDescent="0.3">
      <c r="E104" s="15"/>
      <c r="G104" s="15" t="str">
        <f>IF(A104="","",IFERROR(IF(#REF!&lt;VLOOKUP(A104,'포트변경내역(적극)'!A:C,10,0),"O","X"),""))</f>
        <v/>
      </c>
      <c r="H104" s="15" t="str">
        <f>IF(A104="","",COUNTIFS('MP내역(중립)'!$A:$A,A104)-COUNTIFS('MP내역(중립)'!$A:$A,A104,'MP내역(중립)'!$B:$B,"현금")-COUNTIFS('MP내역(중립)'!$A:$A,A104,'MP내역(중립)'!$B:$B,"예수금")-COUNTIFS('MP내역(중립)'!$A:$A,A104,'MP내역(중립)'!$B:$B,"예탁금")-COUNTIFS('MP내역(중립)'!$A:$A,A104,'MP내역(중립)'!$B:$B,"합계"))</f>
        <v/>
      </c>
      <c r="I104" s="15" t="str">
        <f>IF(A104="","",IF(COUNTIFS('MP내역(중립)'!A:A,A104,'MP내역(중립)'!G:G,"&gt;"&amp;#REF!,'MP내역(중립)'!D:D,"&lt;&gt;"&amp;#REF!,'MP내역(중립)'!D:D,"&lt;&gt;"&amp;#REF!,'MP내역(중립)'!B:B,"&lt;&gt;현금",'MP내역(중립)'!B:B,"&lt;&gt;합계")=0,"O","X"))</f>
        <v/>
      </c>
      <c r="J104" s="15" t="str">
        <f>IF(A104="","",IF(AND(ABS(#REF!-SUMIFS('MP내역(중립)'!G:G,'MP내역(중립)'!A:A,A104,'MP내역(중립)'!F:F,"Y"))&lt;0.001,ABS(#REF!-SUMIFS('MP내역(중립)'!G:G,'MP내역(중립)'!A:A,A104,'MP내역(중립)'!B:B,"&lt;&gt;합계"))&lt;0.001),"O","X"))</f>
        <v/>
      </c>
      <c r="K104" s="15" t="str">
        <f>IF(A104="","",IF(COUNTIFS('MP내역(중립)'!A:A,A104,'MP내역(중립)'!H:H,"X")=0,"O","X"))</f>
        <v/>
      </c>
      <c r="L104" s="14"/>
    </row>
    <row r="105" spans="5:12" x14ac:dyDescent="0.3">
      <c r="E105" s="15"/>
      <c r="G105" s="15" t="str">
        <f>IF(A105="","",IFERROR(IF(#REF!&lt;VLOOKUP(A105,'포트변경내역(적극)'!A:C,10,0),"O","X"),""))</f>
        <v/>
      </c>
      <c r="H105" s="15" t="str">
        <f>IF(A105="","",COUNTIFS('MP내역(중립)'!$A:$A,A105)-COUNTIFS('MP내역(중립)'!$A:$A,A105,'MP내역(중립)'!$B:$B,"현금")-COUNTIFS('MP내역(중립)'!$A:$A,A105,'MP내역(중립)'!$B:$B,"예수금")-COUNTIFS('MP내역(중립)'!$A:$A,A105,'MP내역(중립)'!$B:$B,"예탁금")-COUNTIFS('MP내역(중립)'!$A:$A,A105,'MP내역(중립)'!$B:$B,"합계"))</f>
        <v/>
      </c>
      <c r="I105" s="15" t="str">
        <f>IF(A105="","",IF(COUNTIFS('MP내역(중립)'!A:A,A105,'MP내역(중립)'!G:G,"&gt;"&amp;#REF!,'MP내역(중립)'!D:D,"&lt;&gt;"&amp;#REF!,'MP내역(중립)'!D:D,"&lt;&gt;"&amp;#REF!,'MP내역(중립)'!B:B,"&lt;&gt;현금",'MP내역(중립)'!B:B,"&lt;&gt;합계")=0,"O","X"))</f>
        <v/>
      </c>
      <c r="J105" s="15" t="str">
        <f>IF(A105="","",IF(AND(ABS(#REF!-SUMIFS('MP내역(중립)'!G:G,'MP내역(중립)'!A:A,A105,'MP내역(중립)'!F:F,"Y"))&lt;0.001,ABS(#REF!-SUMIFS('MP내역(중립)'!G:G,'MP내역(중립)'!A:A,A105,'MP내역(중립)'!B:B,"&lt;&gt;합계"))&lt;0.001),"O","X"))</f>
        <v/>
      </c>
      <c r="K105" s="15" t="str">
        <f>IF(A105="","",IF(COUNTIFS('MP내역(중립)'!A:A,A105,'MP내역(중립)'!H:H,"X")=0,"O","X"))</f>
        <v/>
      </c>
      <c r="L105" s="14"/>
    </row>
    <row r="106" spans="5:12" x14ac:dyDescent="0.3">
      <c r="E106" s="15"/>
      <c r="G106" s="15" t="str">
        <f>IF(A106="","",IFERROR(IF(#REF!&lt;VLOOKUP(A106,'포트변경내역(적극)'!A:C,10,0),"O","X"),""))</f>
        <v/>
      </c>
      <c r="H106" s="15" t="str">
        <f>IF(A106="","",COUNTIFS('MP내역(중립)'!$A:$A,A106)-COUNTIFS('MP내역(중립)'!$A:$A,A106,'MP내역(중립)'!$B:$B,"현금")-COUNTIFS('MP내역(중립)'!$A:$A,A106,'MP내역(중립)'!$B:$B,"예수금")-COUNTIFS('MP내역(중립)'!$A:$A,A106,'MP내역(중립)'!$B:$B,"예탁금")-COUNTIFS('MP내역(중립)'!$A:$A,A106,'MP내역(중립)'!$B:$B,"합계"))</f>
        <v/>
      </c>
      <c r="I106" s="15" t="str">
        <f>IF(A106="","",IF(COUNTIFS('MP내역(중립)'!A:A,A106,'MP내역(중립)'!G:G,"&gt;"&amp;#REF!,'MP내역(중립)'!D:D,"&lt;&gt;"&amp;#REF!,'MP내역(중립)'!D:D,"&lt;&gt;"&amp;#REF!,'MP내역(중립)'!B:B,"&lt;&gt;현금",'MP내역(중립)'!B:B,"&lt;&gt;합계")=0,"O","X"))</f>
        <v/>
      </c>
      <c r="J106" s="15" t="str">
        <f>IF(A106="","",IF(AND(ABS(#REF!-SUMIFS('MP내역(중립)'!G:G,'MP내역(중립)'!A:A,A106,'MP내역(중립)'!F:F,"Y"))&lt;0.001,ABS(#REF!-SUMIFS('MP내역(중립)'!G:G,'MP내역(중립)'!A:A,A106,'MP내역(중립)'!B:B,"&lt;&gt;합계"))&lt;0.001),"O","X"))</f>
        <v/>
      </c>
      <c r="K106" s="15" t="str">
        <f>IF(A106="","",IF(COUNTIFS('MP내역(중립)'!A:A,A106,'MP내역(중립)'!H:H,"X")=0,"O","X"))</f>
        <v/>
      </c>
      <c r="L106" s="14"/>
    </row>
    <row r="107" spans="5:12" x14ac:dyDescent="0.3">
      <c r="E107" s="15"/>
      <c r="G107" s="15" t="str">
        <f>IF(A107="","",IFERROR(IF(#REF!&lt;VLOOKUP(A107,'포트변경내역(적극)'!A:C,10,0),"O","X"),""))</f>
        <v/>
      </c>
      <c r="H107" s="15" t="str">
        <f>IF(A107="","",COUNTIFS('MP내역(중립)'!$A:$A,A107)-COUNTIFS('MP내역(중립)'!$A:$A,A107,'MP내역(중립)'!$B:$B,"현금")-COUNTIFS('MP내역(중립)'!$A:$A,A107,'MP내역(중립)'!$B:$B,"예수금")-COUNTIFS('MP내역(중립)'!$A:$A,A107,'MP내역(중립)'!$B:$B,"예탁금")-COUNTIFS('MP내역(중립)'!$A:$A,A107,'MP내역(중립)'!$B:$B,"합계"))</f>
        <v/>
      </c>
      <c r="I107" s="15" t="str">
        <f>IF(A107="","",IF(COUNTIFS('MP내역(중립)'!A:A,A107,'MP내역(중립)'!G:G,"&gt;"&amp;#REF!,'MP내역(중립)'!D:D,"&lt;&gt;"&amp;#REF!,'MP내역(중립)'!D:D,"&lt;&gt;"&amp;#REF!,'MP내역(중립)'!B:B,"&lt;&gt;현금",'MP내역(중립)'!B:B,"&lt;&gt;합계")=0,"O","X"))</f>
        <v/>
      </c>
      <c r="J107" s="15" t="str">
        <f>IF(A107="","",IF(AND(ABS(#REF!-SUMIFS('MP내역(중립)'!G:G,'MP내역(중립)'!A:A,A107,'MP내역(중립)'!F:F,"Y"))&lt;0.001,ABS(#REF!-SUMIFS('MP내역(중립)'!G:G,'MP내역(중립)'!A:A,A107,'MP내역(중립)'!B:B,"&lt;&gt;합계"))&lt;0.001),"O","X"))</f>
        <v/>
      </c>
      <c r="K107" s="15" t="str">
        <f>IF(A107="","",IF(COUNTIFS('MP내역(중립)'!A:A,A107,'MP내역(중립)'!H:H,"X")=0,"O","X"))</f>
        <v/>
      </c>
      <c r="L107" s="14"/>
    </row>
    <row r="108" spans="5:12" x14ac:dyDescent="0.3">
      <c r="E108" s="15"/>
      <c r="G108" s="15" t="str">
        <f>IF(A108="","",IFERROR(IF(#REF!&lt;VLOOKUP(A108,'포트변경내역(적극)'!A:C,10,0),"O","X"),""))</f>
        <v/>
      </c>
      <c r="H108" s="15" t="str">
        <f>IF(A108="","",COUNTIFS('MP내역(중립)'!$A:$A,A108)-COUNTIFS('MP내역(중립)'!$A:$A,A108,'MP내역(중립)'!$B:$B,"현금")-COUNTIFS('MP내역(중립)'!$A:$A,A108,'MP내역(중립)'!$B:$B,"예수금")-COUNTIFS('MP내역(중립)'!$A:$A,A108,'MP내역(중립)'!$B:$B,"예탁금")-COUNTIFS('MP내역(중립)'!$A:$A,A108,'MP내역(중립)'!$B:$B,"합계"))</f>
        <v/>
      </c>
      <c r="I108" s="15" t="str">
        <f>IF(A108="","",IF(COUNTIFS('MP내역(중립)'!A:A,A108,'MP내역(중립)'!G:G,"&gt;"&amp;#REF!,'MP내역(중립)'!D:D,"&lt;&gt;"&amp;#REF!,'MP내역(중립)'!D:D,"&lt;&gt;"&amp;#REF!,'MP내역(중립)'!B:B,"&lt;&gt;현금",'MP내역(중립)'!B:B,"&lt;&gt;합계")=0,"O","X"))</f>
        <v/>
      </c>
      <c r="J108" s="15" t="str">
        <f>IF(A108="","",IF(AND(ABS(#REF!-SUMIFS('MP내역(중립)'!G:G,'MP내역(중립)'!A:A,A108,'MP내역(중립)'!F:F,"Y"))&lt;0.001,ABS(#REF!-SUMIFS('MP내역(중립)'!G:G,'MP내역(중립)'!A:A,A108,'MP내역(중립)'!B:B,"&lt;&gt;합계"))&lt;0.001),"O","X"))</f>
        <v/>
      </c>
      <c r="K108" s="15" t="str">
        <f>IF(A108="","",IF(COUNTIFS('MP내역(중립)'!A:A,A108,'MP내역(중립)'!H:H,"X")=0,"O","X"))</f>
        <v/>
      </c>
      <c r="L108" s="14"/>
    </row>
    <row r="109" spans="5:12" x14ac:dyDescent="0.3">
      <c r="E109" s="15"/>
      <c r="G109" s="15" t="str">
        <f>IF(A109="","",IFERROR(IF(#REF!&lt;VLOOKUP(A109,'포트변경내역(적극)'!A:C,10,0),"O","X"),""))</f>
        <v/>
      </c>
      <c r="H109" s="15" t="str">
        <f>IF(A109="","",COUNTIFS('MP내역(중립)'!$A:$A,A109)-COUNTIFS('MP내역(중립)'!$A:$A,A109,'MP내역(중립)'!$B:$B,"현금")-COUNTIFS('MP내역(중립)'!$A:$A,A109,'MP내역(중립)'!$B:$B,"예수금")-COUNTIFS('MP내역(중립)'!$A:$A,A109,'MP내역(중립)'!$B:$B,"예탁금")-COUNTIFS('MP내역(중립)'!$A:$A,A109,'MP내역(중립)'!$B:$B,"합계"))</f>
        <v/>
      </c>
      <c r="I109" s="15" t="str">
        <f>IF(A109="","",IF(COUNTIFS('MP내역(중립)'!A:A,A109,'MP내역(중립)'!G:G,"&gt;"&amp;#REF!,'MP내역(중립)'!D:D,"&lt;&gt;"&amp;#REF!,'MP내역(중립)'!D:D,"&lt;&gt;"&amp;#REF!,'MP내역(중립)'!B:B,"&lt;&gt;현금",'MP내역(중립)'!B:B,"&lt;&gt;합계")=0,"O","X"))</f>
        <v/>
      </c>
      <c r="J109" s="15" t="str">
        <f>IF(A109="","",IF(AND(ABS(#REF!-SUMIFS('MP내역(중립)'!G:G,'MP내역(중립)'!A:A,A109,'MP내역(중립)'!F:F,"Y"))&lt;0.001,ABS(#REF!-SUMIFS('MP내역(중립)'!G:G,'MP내역(중립)'!A:A,A109,'MP내역(중립)'!B:B,"&lt;&gt;합계"))&lt;0.001),"O","X"))</f>
        <v/>
      </c>
      <c r="K109" s="15" t="str">
        <f>IF(A109="","",IF(COUNTIFS('MP내역(중립)'!A:A,A109,'MP내역(중립)'!H:H,"X")=0,"O","X"))</f>
        <v/>
      </c>
      <c r="L109" s="14"/>
    </row>
    <row r="110" spans="5:12" x14ac:dyDescent="0.3">
      <c r="E110" s="15"/>
      <c r="G110" s="15" t="str">
        <f>IF(A110="","",IFERROR(IF(#REF!&lt;VLOOKUP(A110,'포트변경내역(적극)'!A:C,10,0),"O","X"),""))</f>
        <v/>
      </c>
      <c r="H110" s="15" t="str">
        <f>IF(A110="","",COUNTIFS('MP내역(중립)'!$A:$A,A110)-COUNTIFS('MP내역(중립)'!$A:$A,A110,'MP내역(중립)'!$B:$B,"현금")-COUNTIFS('MP내역(중립)'!$A:$A,A110,'MP내역(중립)'!$B:$B,"예수금")-COUNTIFS('MP내역(중립)'!$A:$A,A110,'MP내역(중립)'!$B:$B,"예탁금")-COUNTIFS('MP내역(중립)'!$A:$A,A110,'MP내역(중립)'!$B:$B,"합계"))</f>
        <v/>
      </c>
      <c r="I110" s="15" t="str">
        <f>IF(A110="","",IF(COUNTIFS('MP내역(중립)'!A:A,A110,'MP내역(중립)'!G:G,"&gt;"&amp;#REF!,'MP내역(중립)'!D:D,"&lt;&gt;"&amp;#REF!,'MP내역(중립)'!D:D,"&lt;&gt;"&amp;#REF!,'MP내역(중립)'!B:B,"&lt;&gt;현금",'MP내역(중립)'!B:B,"&lt;&gt;합계")=0,"O","X"))</f>
        <v/>
      </c>
      <c r="J110" s="15" t="str">
        <f>IF(A110="","",IF(AND(ABS(#REF!-SUMIFS('MP내역(중립)'!G:G,'MP내역(중립)'!A:A,A110,'MP내역(중립)'!F:F,"Y"))&lt;0.001,ABS(#REF!-SUMIFS('MP내역(중립)'!G:G,'MP내역(중립)'!A:A,A110,'MP내역(중립)'!B:B,"&lt;&gt;합계"))&lt;0.001),"O","X"))</f>
        <v/>
      </c>
      <c r="K110" s="15" t="str">
        <f>IF(A110="","",IF(COUNTIFS('MP내역(중립)'!A:A,A110,'MP내역(중립)'!H:H,"X")=0,"O","X"))</f>
        <v/>
      </c>
      <c r="L110" s="14"/>
    </row>
    <row r="111" spans="5:12" x14ac:dyDescent="0.3">
      <c r="E111" s="15"/>
      <c r="G111" s="15" t="str">
        <f>IF(A111="","",IFERROR(IF(#REF!&lt;VLOOKUP(A111,'포트변경내역(적극)'!A:C,10,0),"O","X"),""))</f>
        <v/>
      </c>
      <c r="H111" s="15" t="str">
        <f>IF(A111="","",COUNTIFS('MP내역(중립)'!$A:$A,A111)-COUNTIFS('MP내역(중립)'!$A:$A,A111,'MP내역(중립)'!$B:$B,"현금")-COUNTIFS('MP내역(중립)'!$A:$A,A111,'MP내역(중립)'!$B:$B,"예수금")-COUNTIFS('MP내역(중립)'!$A:$A,A111,'MP내역(중립)'!$B:$B,"예탁금")-COUNTIFS('MP내역(중립)'!$A:$A,A111,'MP내역(중립)'!$B:$B,"합계"))</f>
        <v/>
      </c>
      <c r="I111" s="15" t="str">
        <f>IF(A111="","",IF(COUNTIFS('MP내역(중립)'!A:A,A111,'MP내역(중립)'!G:G,"&gt;"&amp;#REF!,'MP내역(중립)'!D:D,"&lt;&gt;"&amp;#REF!,'MP내역(중립)'!D:D,"&lt;&gt;"&amp;#REF!,'MP내역(중립)'!B:B,"&lt;&gt;현금",'MP내역(중립)'!B:B,"&lt;&gt;합계")=0,"O","X"))</f>
        <v/>
      </c>
      <c r="J111" s="15" t="str">
        <f>IF(A111="","",IF(AND(ABS(#REF!-SUMIFS('MP내역(중립)'!G:G,'MP내역(중립)'!A:A,A111,'MP내역(중립)'!F:F,"Y"))&lt;0.001,ABS(#REF!-SUMIFS('MP내역(중립)'!G:G,'MP내역(중립)'!A:A,A111,'MP내역(중립)'!B:B,"&lt;&gt;합계"))&lt;0.001),"O","X"))</f>
        <v/>
      </c>
      <c r="K111" s="15" t="str">
        <f>IF(A111="","",IF(COUNTIFS('MP내역(중립)'!A:A,A111,'MP내역(중립)'!H:H,"X")=0,"O","X"))</f>
        <v/>
      </c>
      <c r="L111" s="14"/>
    </row>
    <row r="112" spans="5:12" x14ac:dyDescent="0.3">
      <c r="E112" s="15"/>
      <c r="G112" s="15" t="str">
        <f>IF(A112="","",IFERROR(IF(#REF!&lt;VLOOKUP(A112,'포트변경내역(적극)'!A:C,10,0),"O","X"),""))</f>
        <v/>
      </c>
      <c r="H112" s="15" t="str">
        <f>IF(A112="","",COUNTIFS('MP내역(중립)'!$A:$A,A112)-COUNTIFS('MP내역(중립)'!$A:$A,A112,'MP내역(중립)'!$B:$B,"현금")-COUNTIFS('MP내역(중립)'!$A:$A,A112,'MP내역(중립)'!$B:$B,"예수금")-COUNTIFS('MP내역(중립)'!$A:$A,A112,'MP내역(중립)'!$B:$B,"예탁금")-COUNTIFS('MP내역(중립)'!$A:$A,A112,'MP내역(중립)'!$B:$B,"합계"))</f>
        <v/>
      </c>
      <c r="I112" s="15" t="str">
        <f>IF(A112="","",IF(COUNTIFS('MP내역(중립)'!A:A,A112,'MP내역(중립)'!G:G,"&gt;"&amp;#REF!,'MP내역(중립)'!D:D,"&lt;&gt;"&amp;#REF!,'MP내역(중립)'!D:D,"&lt;&gt;"&amp;#REF!,'MP내역(중립)'!B:B,"&lt;&gt;현금",'MP내역(중립)'!B:B,"&lt;&gt;합계")=0,"O","X"))</f>
        <v/>
      </c>
      <c r="J112" s="15" t="str">
        <f>IF(A112="","",IF(AND(ABS(#REF!-SUMIFS('MP내역(중립)'!G:G,'MP내역(중립)'!A:A,A112,'MP내역(중립)'!F:F,"Y"))&lt;0.001,ABS(#REF!-SUMIFS('MP내역(중립)'!G:G,'MP내역(중립)'!A:A,A112,'MP내역(중립)'!B:B,"&lt;&gt;합계"))&lt;0.001),"O","X"))</f>
        <v/>
      </c>
      <c r="K112" s="15" t="str">
        <f>IF(A112="","",IF(COUNTIFS('MP내역(중립)'!A:A,A112,'MP내역(중립)'!H:H,"X")=0,"O","X"))</f>
        <v/>
      </c>
      <c r="L112" s="14"/>
    </row>
    <row r="113" spans="5:12" x14ac:dyDescent="0.3">
      <c r="E113" s="15"/>
      <c r="G113" s="15" t="str">
        <f>IF(A113="","",IFERROR(IF(#REF!&lt;VLOOKUP(A113,'포트변경내역(적극)'!A:C,10,0),"O","X"),""))</f>
        <v/>
      </c>
      <c r="H113" s="15" t="str">
        <f>IF(A113="","",COUNTIFS('MP내역(중립)'!$A:$A,A113)-COUNTIFS('MP내역(중립)'!$A:$A,A113,'MP내역(중립)'!$B:$B,"현금")-COUNTIFS('MP내역(중립)'!$A:$A,A113,'MP내역(중립)'!$B:$B,"예수금")-COUNTIFS('MP내역(중립)'!$A:$A,A113,'MP내역(중립)'!$B:$B,"예탁금")-COUNTIFS('MP내역(중립)'!$A:$A,A113,'MP내역(중립)'!$B:$B,"합계"))</f>
        <v/>
      </c>
      <c r="I113" s="15" t="str">
        <f>IF(A113="","",IF(COUNTIFS('MP내역(중립)'!A:A,A113,'MP내역(중립)'!G:G,"&gt;"&amp;#REF!,'MP내역(중립)'!D:D,"&lt;&gt;"&amp;#REF!,'MP내역(중립)'!D:D,"&lt;&gt;"&amp;#REF!,'MP내역(중립)'!B:B,"&lt;&gt;현금",'MP내역(중립)'!B:B,"&lt;&gt;합계")=0,"O","X"))</f>
        <v/>
      </c>
      <c r="J113" s="15" t="str">
        <f>IF(A113="","",IF(AND(ABS(#REF!-SUMIFS('MP내역(중립)'!G:G,'MP내역(중립)'!A:A,A113,'MP내역(중립)'!F:F,"Y"))&lt;0.001,ABS(#REF!-SUMIFS('MP내역(중립)'!G:G,'MP내역(중립)'!A:A,A113,'MP내역(중립)'!B:B,"&lt;&gt;합계"))&lt;0.001),"O","X"))</f>
        <v/>
      </c>
      <c r="K113" s="15" t="str">
        <f>IF(A113="","",IF(COUNTIFS('MP내역(중립)'!A:A,A113,'MP내역(중립)'!H:H,"X")=0,"O","X"))</f>
        <v/>
      </c>
      <c r="L113" s="14"/>
    </row>
    <row r="114" spans="5:12" x14ac:dyDescent="0.3">
      <c r="E114" s="15"/>
      <c r="G114" s="15" t="str">
        <f>IF(A114="","",IFERROR(IF(#REF!&lt;VLOOKUP(A114,'포트변경내역(적극)'!A:C,10,0),"O","X"),""))</f>
        <v/>
      </c>
      <c r="H114" s="15" t="str">
        <f>IF(A114="","",COUNTIFS('MP내역(중립)'!$A:$A,A114)-COUNTIFS('MP내역(중립)'!$A:$A,A114,'MP내역(중립)'!$B:$B,"현금")-COUNTIFS('MP내역(중립)'!$A:$A,A114,'MP내역(중립)'!$B:$B,"예수금")-COUNTIFS('MP내역(중립)'!$A:$A,A114,'MP내역(중립)'!$B:$B,"예탁금")-COUNTIFS('MP내역(중립)'!$A:$A,A114,'MP내역(중립)'!$B:$B,"합계"))</f>
        <v/>
      </c>
      <c r="I114" s="15" t="str">
        <f>IF(A114="","",IF(COUNTIFS('MP내역(중립)'!A:A,A114,'MP내역(중립)'!G:G,"&gt;"&amp;#REF!,'MP내역(중립)'!D:D,"&lt;&gt;"&amp;#REF!,'MP내역(중립)'!D:D,"&lt;&gt;"&amp;#REF!,'MP내역(중립)'!B:B,"&lt;&gt;현금",'MP내역(중립)'!B:B,"&lt;&gt;합계")=0,"O","X"))</f>
        <v/>
      </c>
      <c r="J114" s="15" t="str">
        <f>IF(A114="","",IF(AND(ABS(#REF!-SUMIFS('MP내역(중립)'!G:G,'MP내역(중립)'!A:A,A114,'MP내역(중립)'!F:F,"Y"))&lt;0.001,ABS(#REF!-SUMIFS('MP내역(중립)'!G:G,'MP내역(중립)'!A:A,A114,'MP내역(중립)'!B:B,"&lt;&gt;합계"))&lt;0.001),"O","X"))</f>
        <v/>
      </c>
      <c r="K114" s="15" t="str">
        <f>IF(A114="","",IF(COUNTIFS('MP내역(중립)'!A:A,A114,'MP내역(중립)'!H:H,"X")=0,"O","X"))</f>
        <v/>
      </c>
      <c r="L114" s="14"/>
    </row>
    <row r="115" spans="5:12" x14ac:dyDescent="0.3">
      <c r="E115" s="15"/>
      <c r="G115" s="15" t="str">
        <f>IF(A115="","",IFERROR(IF(#REF!&lt;VLOOKUP(A115,'포트변경내역(적극)'!A:C,10,0),"O","X"),""))</f>
        <v/>
      </c>
      <c r="H115" s="15" t="str">
        <f>IF(A115="","",COUNTIFS('MP내역(중립)'!$A:$A,A115)-COUNTIFS('MP내역(중립)'!$A:$A,A115,'MP내역(중립)'!$B:$B,"현금")-COUNTIFS('MP내역(중립)'!$A:$A,A115,'MP내역(중립)'!$B:$B,"예수금")-COUNTIFS('MP내역(중립)'!$A:$A,A115,'MP내역(중립)'!$B:$B,"예탁금")-COUNTIFS('MP내역(중립)'!$A:$A,A115,'MP내역(중립)'!$B:$B,"합계"))</f>
        <v/>
      </c>
      <c r="I115" s="15" t="str">
        <f>IF(A115="","",IF(COUNTIFS('MP내역(중립)'!A:A,A115,'MP내역(중립)'!G:G,"&gt;"&amp;#REF!,'MP내역(중립)'!D:D,"&lt;&gt;"&amp;#REF!,'MP내역(중립)'!D:D,"&lt;&gt;"&amp;#REF!,'MP내역(중립)'!B:B,"&lt;&gt;현금",'MP내역(중립)'!B:B,"&lt;&gt;합계")=0,"O","X"))</f>
        <v/>
      </c>
      <c r="J115" s="15" t="str">
        <f>IF(A115="","",IF(AND(ABS(#REF!-SUMIFS('MP내역(중립)'!G:G,'MP내역(중립)'!A:A,A115,'MP내역(중립)'!F:F,"Y"))&lt;0.001,ABS(#REF!-SUMIFS('MP내역(중립)'!G:G,'MP내역(중립)'!A:A,A115,'MP내역(중립)'!B:B,"&lt;&gt;합계"))&lt;0.001),"O","X"))</f>
        <v/>
      </c>
      <c r="K115" s="15" t="str">
        <f>IF(A115="","",IF(COUNTIFS('MP내역(중립)'!A:A,A115,'MP내역(중립)'!H:H,"X")=0,"O","X"))</f>
        <v/>
      </c>
      <c r="L115" s="14"/>
    </row>
    <row r="116" spans="5:12" x14ac:dyDescent="0.3">
      <c r="E116" s="15"/>
      <c r="G116" s="15" t="str">
        <f>IF(A116="","",IFERROR(IF(#REF!&lt;VLOOKUP(A116,'포트변경내역(적극)'!A:C,10,0),"O","X"),""))</f>
        <v/>
      </c>
      <c r="H116" s="15" t="str">
        <f>IF(A116="","",COUNTIFS('MP내역(중립)'!$A:$A,A116)-COUNTIFS('MP내역(중립)'!$A:$A,A116,'MP내역(중립)'!$B:$B,"현금")-COUNTIFS('MP내역(중립)'!$A:$A,A116,'MP내역(중립)'!$B:$B,"예수금")-COUNTIFS('MP내역(중립)'!$A:$A,A116,'MP내역(중립)'!$B:$B,"예탁금")-COUNTIFS('MP내역(중립)'!$A:$A,A116,'MP내역(중립)'!$B:$B,"합계"))</f>
        <v/>
      </c>
      <c r="I116" s="15" t="str">
        <f>IF(A116="","",IF(COUNTIFS('MP내역(중립)'!A:A,A116,'MP내역(중립)'!G:G,"&gt;"&amp;#REF!,'MP내역(중립)'!D:D,"&lt;&gt;"&amp;#REF!,'MP내역(중립)'!D:D,"&lt;&gt;"&amp;#REF!,'MP내역(중립)'!B:B,"&lt;&gt;현금",'MP내역(중립)'!B:B,"&lt;&gt;합계")=0,"O","X"))</f>
        <v/>
      </c>
      <c r="J116" s="15" t="str">
        <f>IF(A116="","",IF(AND(ABS(#REF!-SUMIFS('MP내역(중립)'!G:G,'MP내역(중립)'!A:A,A116,'MP내역(중립)'!F:F,"Y"))&lt;0.001,ABS(#REF!-SUMIFS('MP내역(중립)'!G:G,'MP내역(중립)'!A:A,A116,'MP내역(중립)'!B:B,"&lt;&gt;합계"))&lt;0.001),"O","X"))</f>
        <v/>
      </c>
      <c r="K116" s="15" t="str">
        <f>IF(A116="","",IF(COUNTIFS('MP내역(중립)'!A:A,A116,'MP내역(중립)'!H:H,"X")=0,"O","X"))</f>
        <v/>
      </c>
      <c r="L116" s="14"/>
    </row>
    <row r="117" spans="5:12" x14ac:dyDescent="0.3">
      <c r="E117" s="15"/>
      <c r="G117" s="15" t="str">
        <f>IF(A117="","",IFERROR(IF(#REF!&lt;VLOOKUP(A117,'포트변경내역(적극)'!A:C,10,0),"O","X"),""))</f>
        <v/>
      </c>
      <c r="H117" s="15" t="str">
        <f>IF(A117="","",COUNTIFS('MP내역(중립)'!$A:$A,A117)-COUNTIFS('MP내역(중립)'!$A:$A,A117,'MP내역(중립)'!$B:$B,"현금")-COUNTIFS('MP내역(중립)'!$A:$A,A117,'MP내역(중립)'!$B:$B,"예수금")-COUNTIFS('MP내역(중립)'!$A:$A,A117,'MP내역(중립)'!$B:$B,"예탁금")-COUNTIFS('MP내역(중립)'!$A:$A,A117,'MP내역(중립)'!$B:$B,"합계"))</f>
        <v/>
      </c>
      <c r="I117" s="15" t="str">
        <f>IF(A117="","",IF(COUNTIFS('MP내역(중립)'!A:A,A117,'MP내역(중립)'!G:G,"&gt;"&amp;#REF!,'MP내역(중립)'!D:D,"&lt;&gt;"&amp;#REF!,'MP내역(중립)'!D:D,"&lt;&gt;"&amp;#REF!,'MP내역(중립)'!B:B,"&lt;&gt;현금",'MP내역(중립)'!B:B,"&lt;&gt;합계")=0,"O","X"))</f>
        <v/>
      </c>
      <c r="J117" s="15" t="str">
        <f>IF(A117="","",IF(AND(ABS(#REF!-SUMIFS('MP내역(중립)'!G:G,'MP내역(중립)'!A:A,A117,'MP내역(중립)'!F:F,"Y"))&lt;0.001,ABS(#REF!-SUMIFS('MP내역(중립)'!G:G,'MP내역(중립)'!A:A,A117,'MP내역(중립)'!B:B,"&lt;&gt;합계"))&lt;0.001),"O","X"))</f>
        <v/>
      </c>
      <c r="K117" s="15" t="str">
        <f>IF(A117="","",IF(COUNTIFS('MP내역(중립)'!A:A,A117,'MP내역(중립)'!H:H,"X")=0,"O","X"))</f>
        <v/>
      </c>
      <c r="L117" s="14"/>
    </row>
    <row r="118" spans="5:12" x14ac:dyDescent="0.3">
      <c r="E118" s="15"/>
      <c r="G118" s="15" t="str">
        <f>IF(A118="","",IFERROR(IF(#REF!&lt;VLOOKUP(A118,'포트변경내역(적극)'!A:C,10,0),"O","X"),""))</f>
        <v/>
      </c>
      <c r="H118" s="15" t="str">
        <f>IF(A118="","",COUNTIFS('MP내역(중립)'!$A:$A,A118)-COUNTIFS('MP내역(중립)'!$A:$A,A118,'MP내역(중립)'!$B:$B,"현금")-COUNTIFS('MP내역(중립)'!$A:$A,A118,'MP내역(중립)'!$B:$B,"예수금")-COUNTIFS('MP내역(중립)'!$A:$A,A118,'MP내역(중립)'!$B:$B,"예탁금")-COUNTIFS('MP내역(중립)'!$A:$A,A118,'MP내역(중립)'!$B:$B,"합계"))</f>
        <v/>
      </c>
      <c r="I118" s="15" t="str">
        <f>IF(A118="","",IF(COUNTIFS('MP내역(중립)'!A:A,A118,'MP내역(중립)'!G:G,"&gt;"&amp;#REF!,'MP내역(중립)'!D:D,"&lt;&gt;"&amp;#REF!,'MP내역(중립)'!D:D,"&lt;&gt;"&amp;#REF!,'MP내역(중립)'!B:B,"&lt;&gt;현금",'MP내역(중립)'!B:B,"&lt;&gt;합계")=0,"O","X"))</f>
        <v/>
      </c>
      <c r="J118" s="15" t="str">
        <f>IF(A118="","",IF(AND(ABS(#REF!-SUMIFS('MP내역(중립)'!G:G,'MP내역(중립)'!A:A,A118,'MP내역(중립)'!F:F,"Y"))&lt;0.001,ABS(#REF!-SUMIFS('MP내역(중립)'!G:G,'MP내역(중립)'!A:A,A118,'MP내역(중립)'!B:B,"&lt;&gt;합계"))&lt;0.001),"O","X"))</f>
        <v/>
      </c>
      <c r="K118" s="15" t="str">
        <f>IF(A118="","",IF(COUNTIFS('MP내역(중립)'!A:A,A118,'MP내역(중립)'!H:H,"X")=0,"O","X"))</f>
        <v/>
      </c>
      <c r="L118" s="14"/>
    </row>
    <row r="119" spans="5:12" x14ac:dyDescent="0.3">
      <c r="E119" s="15"/>
      <c r="G119" s="15" t="str">
        <f>IF(A119="","",IFERROR(IF(#REF!&lt;VLOOKUP(A119,'포트변경내역(적극)'!A:C,10,0),"O","X"),""))</f>
        <v/>
      </c>
      <c r="H119" s="15" t="str">
        <f>IF(A119="","",COUNTIFS('MP내역(중립)'!$A:$A,A119)-COUNTIFS('MP내역(중립)'!$A:$A,A119,'MP내역(중립)'!$B:$B,"현금")-COUNTIFS('MP내역(중립)'!$A:$A,A119,'MP내역(중립)'!$B:$B,"예수금")-COUNTIFS('MP내역(중립)'!$A:$A,A119,'MP내역(중립)'!$B:$B,"예탁금")-COUNTIFS('MP내역(중립)'!$A:$A,A119,'MP내역(중립)'!$B:$B,"합계"))</f>
        <v/>
      </c>
      <c r="I119" s="15" t="str">
        <f>IF(A119="","",IF(COUNTIFS('MP내역(중립)'!A:A,A119,'MP내역(중립)'!G:G,"&gt;"&amp;#REF!,'MP내역(중립)'!D:D,"&lt;&gt;"&amp;#REF!,'MP내역(중립)'!D:D,"&lt;&gt;"&amp;#REF!,'MP내역(중립)'!B:B,"&lt;&gt;현금",'MP내역(중립)'!B:B,"&lt;&gt;합계")=0,"O","X"))</f>
        <v/>
      </c>
      <c r="J119" s="15" t="str">
        <f>IF(A119="","",IF(AND(ABS(#REF!-SUMIFS('MP내역(중립)'!G:G,'MP내역(중립)'!A:A,A119,'MP내역(중립)'!F:F,"Y"))&lt;0.001,ABS(#REF!-SUMIFS('MP내역(중립)'!G:G,'MP내역(중립)'!A:A,A119,'MP내역(중립)'!B:B,"&lt;&gt;합계"))&lt;0.001),"O","X"))</f>
        <v/>
      </c>
      <c r="K119" s="15" t="str">
        <f>IF(A119="","",IF(COUNTIFS('MP내역(중립)'!A:A,A119,'MP내역(중립)'!H:H,"X")=0,"O","X"))</f>
        <v/>
      </c>
      <c r="L119" s="14"/>
    </row>
    <row r="120" spans="5:12" x14ac:dyDescent="0.3">
      <c r="E120" s="15"/>
      <c r="G120" s="15" t="str">
        <f>IF(A120="","",IFERROR(IF(#REF!&lt;VLOOKUP(A120,'포트변경내역(적극)'!A:C,10,0),"O","X"),""))</f>
        <v/>
      </c>
      <c r="H120" s="15" t="str">
        <f>IF(A120="","",COUNTIFS('MP내역(중립)'!$A:$A,A120)-COUNTIFS('MP내역(중립)'!$A:$A,A120,'MP내역(중립)'!$B:$B,"현금")-COUNTIFS('MP내역(중립)'!$A:$A,A120,'MP내역(중립)'!$B:$B,"예수금")-COUNTIFS('MP내역(중립)'!$A:$A,A120,'MP내역(중립)'!$B:$B,"예탁금")-COUNTIFS('MP내역(중립)'!$A:$A,A120,'MP내역(중립)'!$B:$B,"합계"))</f>
        <v/>
      </c>
      <c r="I120" s="15" t="str">
        <f>IF(A120="","",IF(COUNTIFS('MP내역(중립)'!A:A,A120,'MP내역(중립)'!G:G,"&gt;"&amp;#REF!,'MP내역(중립)'!D:D,"&lt;&gt;"&amp;#REF!,'MP내역(중립)'!D:D,"&lt;&gt;"&amp;#REF!,'MP내역(중립)'!B:B,"&lt;&gt;현금",'MP내역(중립)'!B:B,"&lt;&gt;합계")=0,"O","X"))</f>
        <v/>
      </c>
      <c r="J120" s="15" t="str">
        <f>IF(A120="","",IF(AND(ABS(#REF!-SUMIFS('MP내역(중립)'!G:G,'MP내역(중립)'!A:A,A120,'MP내역(중립)'!F:F,"Y"))&lt;0.001,ABS(#REF!-SUMIFS('MP내역(중립)'!G:G,'MP내역(중립)'!A:A,A120,'MP내역(중립)'!B:B,"&lt;&gt;합계"))&lt;0.001),"O","X"))</f>
        <v/>
      </c>
      <c r="K120" s="15" t="str">
        <f>IF(A120="","",IF(COUNTIFS('MP내역(중립)'!A:A,A120,'MP내역(중립)'!H:H,"X")=0,"O","X"))</f>
        <v/>
      </c>
      <c r="L120" s="14"/>
    </row>
    <row r="121" spans="5:12" x14ac:dyDescent="0.3">
      <c r="E121" s="15"/>
      <c r="G121" s="15" t="str">
        <f>IF(A121="","",IFERROR(IF(#REF!&lt;VLOOKUP(A121,'포트변경내역(적극)'!A:C,10,0),"O","X"),""))</f>
        <v/>
      </c>
      <c r="H121" s="15" t="str">
        <f>IF(A121="","",COUNTIFS('MP내역(중립)'!$A:$A,A121)-COUNTIFS('MP내역(중립)'!$A:$A,A121,'MP내역(중립)'!$B:$B,"현금")-COUNTIFS('MP내역(중립)'!$A:$A,A121,'MP내역(중립)'!$B:$B,"예수금")-COUNTIFS('MP내역(중립)'!$A:$A,A121,'MP내역(중립)'!$B:$B,"예탁금")-COUNTIFS('MP내역(중립)'!$A:$A,A121,'MP내역(중립)'!$B:$B,"합계"))</f>
        <v/>
      </c>
      <c r="I121" s="15" t="str">
        <f>IF(A121="","",IF(COUNTIFS('MP내역(중립)'!A:A,A121,'MP내역(중립)'!G:G,"&gt;"&amp;#REF!,'MP내역(중립)'!D:D,"&lt;&gt;"&amp;#REF!,'MP내역(중립)'!D:D,"&lt;&gt;"&amp;#REF!,'MP내역(중립)'!B:B,"&lt;&gt;현금",'MP내역(중립)'!B:B,"&lt;&gt;합계")=0,"O","X"))</f>
        <v/>
      </c>
      <c r="J121" s="15" t="str">
        <f>IF(A121="","",IF(AND(ABS(#REF!-SUMIFS('MP내역(중립)'!G:G,'MP내역(중립)'!A:A,A121,'MP내역(중립)'!F:F,"Y"))&lt;0.001,ABS(#REF!-SUMIFS('MP내역(중립)'!G:G,'MP내역(중립)'!A:A,A121,'MP내역(중립)'!B:B,"&lt;&gt;합계"))&lt;0.001),"O","X"))</f>
        <v/>
      </c>
      <c r="K121" s="15" t="str">
        <f>IF(A121="","",IF(COUNTIFS('MP내역(중립)'!A:A,A121,'MP내역(중립)'!H:H,"X")=0,"O","X"))</f>
        <v/>
      </c>
      <c r="L121" s="14"/>
    </row>
    <row r="122" spans="5:12" x14ac:dyDescent="0.3">
      <c r="E122" s="15"/>
      <c r="G122" s="15" t="str">
        <f>IF(A122="","",IFERROR(IF(#REF!&lt;VLOOKUP(A122,'포트변경내역(적극)'!A:C,10,0),"O","X"),""))</f>
        <v/>
      </c>
      <c r="H122" s="15" t="str">
        <f>IF(A122="","",COUNTIFS('MP내역(중립)'!$A:$A,A122)-COUNTIFS('MP내역(중립)'!$A:$A,A122,'MP내역(중립)'!$B:$B,"현금")-COUNTIFS('MP내역(중립)'!$A:$A,A122,'MP내역(중립)'!$B:$B,"예수금")-COUNTIFS('MP내역(중립)'!$A:$A,A122,'MP내역(중립)'!$B:$B,"예탁금")-COUNTIFS('MP내역(중립)'!$A:$A,A122,'MP내역(중립)'!$B:$B,"합계"))</f>
        <v/>
      </c>
      <c r="I122" s="15" t="str">
        <f>IF(A122="","",IF(COUNTIFS('MP내역(중립)'!A:A,A122,'MP내역(중립)'!G:G,"&gt;"&amp;#REF!,'MP내역(중립)'!D:D,"&lt;&gt;"&amp;#REF!,'MP내역(중립)'!D:D,"&lt;&gt;"&amp;#REF!,'MP내역(중립)'!B:B,"&lt;&gt;현금",'MP내역(중립)'!B:B,"&lt;&gt;합계")=0,"O","X"))</f>
        <v/>
      </c>
      <c r="J122" s="15" t="str">
        <f>IF(A122="","",IF(AND(ABS(#REF!-SUMIFS('MP내역(중립)'!G:G,'MP내역(중립)'!A:A,A122,'MP내역(중립)'!F:F,"Y"))&lt;0.001,ABS(#REF!-SUMIFS('MP내역(중립)'!G:G,'MP내역(중립)'!A:A,A122,'MP내역(중립)'!B:B,"&lt;&gt;합계"))&lt;0.001),"O","X"))</f>
        <v/>
      </c>
      <c r="K122" s="15" t="str">
        <f>IF(A122="","",IF(COUNTIFS('MP내역(중립)'!A:A,A122,'MP내역(중립)'!H:H,"X")=0,"O","X"))</f>
        <v/>
      </c>
      <c r="L122" s="14"/>
    </row>
    <row r="123" spans="5:12" x14ac:dyDescent="0.3">
      <c r="E123" s="15"/>
      <c r="G123" s="15" t="str">
        <f>IF(A123="","",IFERROR(IF(#REF!&lt;VLOOKUP(A123,'포트변경내역(적극)'!A:C,10,0),"O","X"),""))</f>
        <v/>
      </c>
      <c r="H123" s="15" t="str">
        <f>IF(A123="","",COUNTIFS('MP내역(중립)'!$A:$A,A123)-COUNTIFS('MP내역(중립)'!$A:$A,A123,'MP내역(중립)'!$B:$B,"현금")-COUNTIFS('MP내역(중립)'!$A:$A,A123,'MP내역(중립)'!$B:$B,"예수금")-COUNTIFS('MP내역(중립)'!$A:$A,A123,'MP내역(중립)'!$B:$B,"예탁금")-COUNTIFS('MP내역(중립)'!$A:$A,A123,'MP내역(중립)'!$B:$B,"합계"))</f>
        <v/>
      </c>
      <c r="I123" s="15" t="str">
        <f>IF(A123="","",IF(COUNTIFS('MP내역(중립)'!A:A,A123,'MP내역(중립)'!G:G,"&gt;"&amp;#REF!,'MP내역(중립)'!D:D,"&lt;&gt;"&amp;#REF!,'MP내역(중립)'!D:D,"&lt;&gt;"&amp;#REF!,'MP내역(중립)'!B:B,"&lt;&gt;현금",'MP내역(중립)'!B:B,"&lt;&gt;합계")=0,"O","X"))</f>
        <v/>
      </c>
      <c r="J123" s="15" t="str">
        <f>IF(A123="","",IF(AND(ABS(#REF!-SUMIFS('MP내역(중립)'!G:G,'MP내역(중립)'!A:A,A123,'MP내역(중립)'!F:F,"Y"))&lt;0.001,ABS(#REF!-SUMIFS('MP내역(중립)'!G:G,'MP내역(중립)'!A:A,A123,'MP내역(중립)'!B:B,"&lt;&gt;합계"))&lt;0.001),"O","X"))</f>
        <v/>
      </c>
      <c r="K123" s="15" t="str">
        <f>IF(A123="","",IF(COUNTIFS('MP내역(중립)'!A:A,A123,'MP내역(중립)'!H:H,"X")=0,"O","X"))</f>
        <v/>
      </c>
      <c r="L123" s="14"/>
    </row>
    <row r="124" spans="5:12" x14ac:dyDescent="0.3">
      <c r="E124" s="15"/>
      <c r="G124" s="15" t="str">
        <f>IF(A124="","",IFERROR(IF(#REF!&lt;VLOOKUP(A124,'포트변경내역(적극)'!A:C,10,0),"O","X"),""))</f>
        <v/>
      </c>
      <c r="H124" s="15" t="str">
        <f>IF(A124="","",COUNTIFS('MP내역(중립)'!$A:$A,A124)-COUNTIFS('MP내역(중립)'!$A:$A,A124,'MP내역(중립)'!$B:$B,"현금")-COUNTIFS('MP내역(중립)'!$A:$A,A124,'MP내역(중립)'!$B:$B,"예수금")-COUNTIFS('MP내역(중립)'!$A:$A,A124,'MP내역(중립)'!$B:$B,"예탁금")-COUNTIFS('MP내역(중립)'!$A:$A,A124,'MP내역(중립)'!$B:$B,"합계"))</f>
        <v/>
      </c>
      <c r="I124" s="15" t="str">
        <f>IF(A124="","",IF(COUNTIFS('MP내역(중립)'!A:A,A124,'MP내역(중립)'!G:G,"&gt;"&amp;#REF!,'MP내역(중립)'!D:D,"&lt;&gt;"&amp;#REF!,'MP내역(중립)'!D:D,"&lt;&gt;"&amp;#REF!,'MP내역(중립)'!B:B,"&lt;&gt;현금",'MP내역(중립)'!B:B,"&lt;&gt;합계")=0,"O","X"))</f>
        <v/>
      </c>
      <c r="J124" s="15" t="str">
        <f>IF(A124="","",IF(AND(ABS(#REF!-SUMIFS('MP내역(중립)'!G:G,'MP내역(중립)'!A:A,A124,'MP내역(중립)'!F:F,"Y"))&lt;0.001,ABS(#REF!-SUMIFS('MP내역(중립)'!G:G,'MP내역(중립)'!A:A,A124,'MP내역(중립)'!B:B,"&lt;&gt;합계"))&lt;0.001),"O","X"))</f>
        <v/>
      </c>
      <c r="K124" s="15" t="str">
        <f>IF(A124="","",IF(COUNTIFS('MP내역(중립)'!A:A,A124,'MP내역(중립)'!H:H,"X")=0,"O","X"))</f>
        <v/>
      </c>
      <c r="L124" s="14"/>
    </row>
    <row r="125" spans="5:12" x14ac:dyDescent="0.3">
      <c r="E125" s="15"/>
      <c r="G125" s="15" t="str">
        <f>IF(A125="","",IFERROR(IF(#REF!&lt;VLOOKUP(A125,'포트변경내역(적극)'!A:C,10,0),"O","X"),""))</f>
        <v/>
      </c>
      <c r="H125" s="15" t="str">
        <f>IF(A125="","",COUNTIFS('MP내역(중립)'!$A:$A,A125)-COUNTIFS('MP내역(중립)'!$A:$A,A125,'MP내역(중립)'!$B:$B,"현금")-COUNTIFS('MP내역(중립)'!$A:$A,A125,'MP내역(중립)'!$B:$B,"예수금")-COUNTIFS('MP내역(중립)'!$A:$A,A125,'MP내역(중립)'!$B:$B,"예탁금")-COUNTIFS('MP내역(중립)'!$A:$A,A125,'MP내역(중립)'!$B:$B,"합계"))</f>
        <v/>
      </c>
      <c r="I125" s="15" t="str">
        <f>IF(A125="","",IF(COUNTIFS('MP내역(중립)'!A:A,A125,'MP내역(중립)'!G:G,"&gt;"&amp;#REF!,'MP내역(중립)'!D:D,"&lt;&gt;"&amp;#REF!,'MP내역(중립)'!D:D,"&lt;&gt;"&amp;#REF!,'MP내역(중립)'!B:B,"&lt;&gt;현금",'MP내역(중립)'!B:B,"&lt;&gt;합계")=0,"O","X"))</f>
        <v/>
      </c>
      <c r="J125" s="15" t="str">
        <f>IF(A125="","",IF(AND(ABS(#REF!-SUMIFS('MP내역(중립)'!G:G,'MP내역(중립)'!A:A,A125,'MP내역(중립)'!F:F,"Y"))&lt;0.001,ABS(#REF!-SUMIFS('MP내역(중립)'!G:G,'MP내역(중립)'!A:A,A125,'MP내역(중립)'!B:B,"&lt;&gt;합계"))&lt;0.001),"O","X"))</f>
        <v/>
      </c>
      <c r="K125" s="15" t="str">
        <f>IF(A125="","",IF(COUNTIFS('MP내역(중립)'!A:A,A125,'MP내역(중립)'!H:H,"X")=0,"O","X"))</f>
        <v/>
      </c>
      <c r="L125" s="14"/>
    </row>
    <row r="126" spans="5:12" x14ac:dyDescent="0.3">
      <c r="E126" s="15"/>
      <c r="G126" s="15" t="str">
        <f>IF(A126="","",IFERROR(IF(#REF!&lt;VLOOKUP(A126,'포트변경내역(적극)'!A:C,10,0),"O","X"),""))</f>
        <v/>
      </c>
      <c r="H126" s="15" t="str">
        <f>IF(A126="","",COUNTIFS('MP내역(중립)'!$A:$A,A126)-COUNTIFS('MP내역(중립)'!$A:$A,A126,'MP내역(중립)'!$B:$B,"현금")-COUNTIFS('MP내역(중립)'!$A:$A,A126,'MP내역(중립)'!$B:$B,"예수금")-COUNTIFS('MP내역(중립)'!$A:$A,A126,'MP내역(중립)'!$B:$B,"예탁금")-COUNTIFS('MP내역(중립)'!$A:$A,A126,'MP내역(중립)'!$B:$B,"합계"))</f>
        <v/>
      </c>
      <c r="I126" s="15" t="str">
        <f>IF(A126="","",IF(COUNTIFS('MP내역(중립)'!A:A,A126,'MP내역(중립)'!G:G,"&gt;"&amp;#REF!,'MP내역(중립)'!D:D,"&lt;&gt;"&amp;#REF!,'MP내역(중립)'!D:D,"&lt;&gt;"&amp;#REF!,'MP내역(중립)'!B:B,"&lt;&gt;현금",'MP내역(중립)'!B:B,"&lt;&gt;합계")=0,"O","X"))</f>
        <v/>
      </c>
      <c r="J126" s="15" t="str">
        <f>IF(A126="","",IF(AND(ABS(#REF!-SUMIFS('MP내역(중립)'!G:G,'MP내역(중립)'!A:A,A126,'MP내역(중립)'!F:F,"Y"))&lt;0.001,ABS(#REF!-SUMIFS('MP내역(중립)'!G:G,'MP내역(중립)'!A:A,A126,'MP내역(중립)'!B:B,"&lt;&gt;합계"))&lt;0.001),"O","X"))</f>
        <v/>
      </c>
      <c r="K126" s="15" t="str">
        <f>IF(A126="","",IF(COUNTIFS('MP내역(중립)'!A:A,A126,'MP내역(중립)'!H:H,"X")=0,"O","X"))</f>
        <v/>
      </c>
      <c r="L126" s="14"/>
    </row>
    <row r="127" spans="5:12" x14ac:dyDescent="0.3">
      <c r="E127" s="15"/>
      <c r="G127" s="15" t="str">
        <f>IF(A127="","",IFERROR(IF(#REF!&lt;VLOOKUP(A127,'포트변경내역(적극)'!A:C,10,0),"O","X"),""))</f>
        <v/>
      </c>
      <c r="H127" s="15" t="str">
        <f>IF(A127="","",COUNTIFS('MP내역(중립)'!$A:$A,A127)-COUNTIFS('MP내역(중립)'!$A:$A,A127,'MP내역(중립)'!$B:$B,"현금")-COUNTIFS('MP내역(중립)'!$A:$A,A127,'MP내역(중립)'!$B:$B,"예수금")-COUNTIFS('MP내역(중립)'!$A:$A,A127,'MP내역(중립)'!$B:$B,"예탁금")-COUNTIFS('MP내역(중립)'!$A:$A,A127,'MP내역(중립)'!$B:$B,"합계"))</f>
        <v/>
      </c>
      <c r="I127" s="15" t="str">
        <f>IF(A127="","",IF(COUNTIFS('MP내역(중립)'!A:A,A127,'MP내역(중립)'!G:G,"&gt;"&amp;#REF!,'MP내역(중립)'!D:D,"&lt;&gt;"&amp;#REF!,'MP내역(중립)'!D:D,"&lt;&gt;"&amp;#REF!,'MP내역(중립)'!B:B,"&lt;&gt;현금",'MP내역(중립)'!B:B,"&lt;&gt;합계")=0,"O","X"))</f>
        <v/>
      </c>
      <c r="J127" s="15" t="str">
        <f>IF(A127="","",IF(AND(ABS(#REF!-SUMIFS('MP내역(중립)'!G:G,'MP내역(중립)'!A:A,A127,'MP내역(중립)'!F:F,"Y"))&lt;0.001,ABS(#REF!-SUMIFS('MP내역(중립)'!G:G,'MP내역(중립)'!A:A,A127,'MP내역(중립)'!B:B,"&lt;&gt;합계"))&lt;0.001),"O","X"))</f>
        <v/>
      </c>
      <c r="K127" s="15" t="str">
        <f>IF(A127="","",IF(COUNTIFS('MP내역(중립)'!A:A,A127,'MP내역(중립)'!H:H,"X")=0,"O","X"))</f>
        <v/>
      </c>
      <c r="L127" s="14"/>
    </row>
    <row r="128" spans="5:12" x14ac:dyDescent="0.3">
      <c r="E128" s="15"/>
      <c r="G128" s="15" t="str">
        <f>IF(A128="","",IFERROR(IF(#REF!&lt;VLOOKUP(A128,'포트변경내역(적극)'!A:C,10,0),"O","X"),""))</f>
        <v/>
      </c>
      <c r="H128" s="15" t="str">
        <f>IF(A128="","",COUNTIFS('MP내역(중립)'!$A:$A,A128)-COUNTIFS('MP내역(중립)'!$A:$A,A128,'MP내역(중립)'!$B:$B,"현금")-COUNTIFS('MP내역(중립)'!$A:$A,A128,'MP내역(중립)'!$B:$B,"예수금")-COUNTIFS('MP내역(중립)'!$A:$A,A128,'MP내역(중립)'!$B:$B,"예탁금")-COUNTIFS('MP내역(중립)'!$A:$A,A128,'MP내역(중립)'!$B:$B,"합계"))</f>
        <v/>
      </c>
      <c r="I128" s="15" t="str">
        <f>IF(A128="","",IF(COUNTIFS('MP내역(중립)'!A:A,A128,'MP내역(중립)'!G:G,"&gt;"&amp;#REF!,'MP내역(중립)'!D:D,"&lt;&gt;"&amp;#REF!,'MP내역(중립)'!D:D,"&lt;&gt;"&amp;#REF!,'MP내역(중립)'!B:B,"&lt;&gt;현금",'MP내역(중립)'!B:B,"&lt;&gt;합계")=0,"O","X"))</f>
        <v/>
      </c>
      <c r="J128" s="15" t="str">
        <f>IF(A128="","",IF(AND(ABS(#REF!-SUMIFS('MP내역(중립)'!G:G,'MP내역(중립)'!A:A,A128,'MP내역(중립)'!F:F,"Y"))&lt;0.001,ABS(#REF!-SUMIFS('MP내역(중립)'!G:G,'MP내역(중립)'!A:A,A128,'MP내역(중립)'!B:B,"&lt;&gt;합계"))&lt;0.001),"O","X"))</f>
        <v/>
      </c>
      <c r="K128" s="15" t="str">
        <f>IF(A128="","",IF(COUNTIFS('MP내역(중립)'!A:A,A128,'MP내역(중립)'!H:H,"X")=0,"O","X"))</f>
        <v/>
      </c>
      <c r="L128" s="14"/>
    </row>
    <row r="129" spans="5:12" x14ac:dyDescent="0.3">
      <c r="E129" s="15"/>
      <c r="G129" s="15" t="str">
        <f>IF(A129="","",IFERROR(IF(#REF!&lt;VLOOKUP(A129,'포트변경내역(적극)'!A:C,10,0),"O","X"),""))</f>
        <v/>
      </c>
      <c r="H129" s="15" t="str">
        <f>IF(A129="","",COUNTIFS('MP내역(중립)'!$A:$A,A129)-COUNTIFS('MP내역(중립)'!$A:$A,A129,'MP내역(중립)'!$B:$B,"현금")-COUNTIFS('MP내역(중립)'!$A:$A,A129,'MP내역(중립)'!$B:$B,"예수금")-COUNTIFS('MP내역(중립)'!$A:$A,A129,'MP내역(중립)'!$B:$B,"예탁금")-COUNTIFS('MP내역(중립)'!$A:$A,A129,'MP내역(중립)'!$B:$B,"합계"))</f>
        <v/>
      </c>
      <c r="I129" s="15" t="str">
        <f>IF(A129="","",IF(COUNTIFS('MP내역(중립)'!A:A,A129,'MP내역(중립)'!G:G,"&gt;"&amp;#REF!,'MP내역(중립)'!D:D,"&lt;&gt;"&amp;#REF!,'MP내역(중립)'!D:D,"&lt;&gt;"&amp;#REF!,'MP내역(중립)'!B:B,"&lt;&gt;현금",'MP내역(중립)'!B:B,"&lt;&gt;합계")=0,"O","X"))</f>
        <v/>
      </c>
      <c r="J129" s="15" t="str">
        <f>IF(A129="","",IF(AND(ABS(#REF!-SUMIFS('MP내역(중립)'!G:G,'MP내역(중립)'!A:A,A129,'MP내역(중립)'!F:F,"Y"))&lt;0.001,ABS(#REF!-SUMIFS('MP내역(중립)'!G:G,'MP내역(중립)'!A:A,A129,'MP내역(중립)'!B:B,"&lt;&gt;합계"))&lt;0.001),"O","X"))</f>
        <v/>
      </c>
      <c r="K129" s="15" t="str">
        <f>IF(A129="","",IF(COUNTIFS('MP내역(중립)'!A:A,A129,'MP내역(중립)'!H:H,"X")=0,"O","X"))</f>
        <v/>
      </c>
      <c r="L129" s="14"/>
    </row>
    <row r="130" spans="5:12" x14ac:dyDescent="0.3">
      <c r="E130" s="15"/>
      <c r="G130" s="15" t="str">
        <f>IF(A130="","",IFERROR(IF(#REF!&lt;VLOOKUP(A130,'포트변경내역(적극)'!A:C,10,0),"O","X"),""))</f>
        <v/>
      </c>
      <c r="H130" s="15" t="str">
        <f>IF(A130="","",COUNTIFS('MP내역(중립)'!$A:$A,A130)-COUNTIFS('MP내역(중립)'!$A:$A,A130,'MP내역(중립)'!$B:$B,"현금")-COUNTIFS('MP내역(중립)'!$A:$A,A130,'MP내역(중립)'!$B:$B,"예수금")-COUNTIFS('MP내역(중립)'!$A:$A,A130,'MP내역(중립)'!$B:$B,"예탁금")-COUNTIFS('MP내역(중립)'!$A:$A,A130,'MP내역(중립)'!$B:$B,"합계"))</f>
        <v/>
      </c>
      <c r="I130" s="15" t="str">
        <f>IF(A130="","",IF(COUNTIFS('MP내역(중립)'!A:A,A130,'MP내역(중립)'!G:G,"&gt;"&amp;#REF!,'MP내역(중립)'!D:D,"&lt;&gt;"&amp;#REF!,'MP내역(중립)'!D:D,"&lt;&gt;"&amp;#REF!,'MP내역(중립)'!B:B,"&lt;&gt;현금",'MP내역(중립)'!B:B,"&lt;&gt;합계")=0,"O","X"))</f>
        <v/>
      </c>
      <c r="J130" s="15" t="str">
        <f>IF(A130="","",IF(AND(ABS(#REF!-SUMIFS('MP내역(중립)'!G:G,'MP내역(중립)'!A:A,A130,'MP내역(중립)'!F:F,"Y"))&lt;0.001,ABS(#REF!-SUMIFS('MP내역(중립)'!G:G,'MP내역(중립)'!A:A,A130,'MP내역(중립)'!B:B,"&lt;&gt;합계"))&lt;0.001),"O","X"))</f>
        <v/>
      </c>
      <c r="K130" s="15" t="str">
        <f>IF(A130="","",IF(COUNTIFS('MP내역(중립)'!A:A,A130,'MP내역(중립)'!H:H,"X")=0,"O","X"))</f>
        <v/>
      </c>
      <c r="L130" s="14"/>
    </row>
    <row r="131" spans="5:12" x14ac:dyDescent="0.3">
      <c r="E131" s="15"/>
      <c r="G131" s="15" t="str">
        <f>IF(A131="","",IFERROR(IF(#REF!&lt;VLOOKUP(A131,'포트변경내역(적극)'!A:C,10,0),"O","X"),""))</f>
        <v/>
      </c>
      <c r="H131" s="15" t="str">
        <f>IF(A131="","",COUNTIFS('MP내역(중립)'!$A:$A,A131)-COUNTIFS('MP내역(중립)'!$A:$A,A131,'MP내역(중립)'!$B:$B,"현금")-COUNTIFS('MP내역(중립)'!$A:$A,A131,'MP내역(중립)'!$B:$B,"예수금")-COUNTIFS('MP내역(중립)'!$A:$A,A131,'MP내역(중립)'!$B:$B,"예탁금")-COUNTIFS('MP내역(중립)'!$A:$A,A131,'MP내역(중립)'!$B:$B,"합계"))</f>
        <v/>
      </c>
      <c r="I131" s="15" t="str">
        <f>IF(A131="","",IF(COUNTIFS('MP내역(중립)'!A:A,A131,'MP내역(중립)'!G:G,"&gt;"&amp;#REF!,'MP내역(중립)'!D:D,"&lt;&gt;"&amp;#REF!,'MP내역(중립)'!D:D,"&lt;&gt;"&amp;#REF!,'MP내역(중립)'!B:B,"&lt;&gt;현금",'MP내역(중립)'!B:B,"&lt;&gt;합계")=0,"O","X"))</f>
        <v/>
      </c>
      <c r="J131" s="15" t="str">
        <f>IF(A131="","",IF(AND(ABS(#REF!-SUMIFS('MP내역(중립)'!G:G,'MP내역(중립)'!A:A,A131,'MP내역(중립)'!F:F,"Y"))&lt;0.001,ABS(#REF!-SUMIFS('MP내역(중립)'!G:G,'MP내역(중립)'!A:A,A131,'MP내역(중립)'!B:B,"&lt;&gt;합계"))&lt;0.001),"O","X"))</f>
        <v/>
      </c>
      <c r="K131" s="15" t="str">
        <f>IF(A131="","",IF(COUNTIFS('MP내역(중립)'!A:A,A131,'MP내역(중립)'!H:H,"X")=0,"O","X"))</f>
        <v/>
      </c>
      <c r="L131" s="14"/>
    </row>
    <row r="132" spans="5:12" x14ac:dyDescent="0.3">
      <c r="E132" s="15"/>
      <c r="G132" s="15" t="str">
        <f>IF(A132="","",IFERROR(IF(#REF!&lt;VLOOKUP(A132,'포트변경내역(적극)'!A:C,10,0),"O","X"),""))</f>
        <v/>
      </c>
      <c r="H132" s="15" t="str">
        <f>IF(A132="","",COUNTIFS('MP내역(중립)'!$A:$A,A132)-COUNTIFS('MP내역(중립)'!$A:$A,A132,'MP내역(중립)'!$B:$B,"현금")-COUNTIFS('MP내역(중립)'!$A:$A,A132,'MP내역(중립)'!$B:$B,"예수금")-COUNTIFS('MP내역(중립)'!$A:$A,A132,'MP내역(중립)'!$B:$B,"예탁금")-COUNTIFS('MP내역(중립)'!$A:$A,A132,'MP내역(중립)'!$B:$B,"합계"))</f>
        <v/>
      </c>
      <c r="I132" s="15" t="str">
        <f>IF(A132="","",IF(COUNTIFS('MP내역(중립)'!A:A,A132,'MP내역(중립)'!G:G,"&gt;"&amp;#REF!,'MP내역(중립)'!D:D,"&lt;&gt;"&amp;#REF!,'MP내역(중립)'!D:D,"&lt;&gt;"&amp;#REF!,'MP내역(중립)'!B:B,"&lt;&gt;현금",'MP내역(중립)'!B:B,"&lt;&gt;합계")=0,"O","X"))</f>
        <v/>
      </c>
      <c r="J132" s="15" t="str">
        <f>IF(A132="","",IF(AND(ABS(#REF!-SUMIFS('MP내역(중립)'!G:G,'MP내역(중립)'!A:A,A132,'MP내역(중립)'!F:F,"Y"))&lt;0.001,ABS(#REF!-SUMIFS('MP내역(중립)'!G:G,'MP내역(중립)'!A:A,A132,'MP내역(중립)'!B:B,"&lt;&gt;합계"))&lt;0.001),"O","X"))</f>
        <v/>
      </c>
      <c r="K132" s="15" t="str">
        <f>IF(A132="","",IF(COUNTIFS('MP내역(중립)'!A:A,A132,'MP내역(중립)'!H:H,"X")=0,"O","X"))</f>
        <v/>
      </c>
      <c r="L132" s="14"/>
    </row>
    <row r="133" spans="5:12" x14ac:dyDescent="0.3">
      <c r="E133" s="15"/>
      <c r="G133" s="15" t="str">
        <f>IF(A133="","",IFERROR(IF(#REF!&lt;VLOOKUP(A133,'포트변경내역(적극)'!A:C,10,0),"O","X"),""))</f>
        <v/>
      </c>
      <c r="H133" s="15" t="str">
        <f>IF(A133="","",COUNTIFS('MP내역(중립)'!$A:$A,A133)-COUNTIFS('MP내역(중립)'!$A:$A,A133,'MP내역(중립)'!$B:$B,"현금")-COUNTIFS('MP내역(중립)'!$A:$A,A133,'MP내역(중립)'!$B:$B,"예수금")-COUNTIFS('MP내역(중립)'!$A:$A,A133,'MP내역(중립)'!$B:$B,"예탁금")-COUNTIFS('MP내역(중립)'!$A:$A,A133,'MP내역(중립)'!$B:$B,"합계"))</f>
        <v/>
      </c>
      <c r="I133" s="15" t="str">
        <f>IF(A133="","",IF(COUNTIFS('MP내역(중립)'!A:A,A133,'MP내역(중립)'!G:G,"&gt;"&amp;#REF!,'MP내역(중립)'!D:D,"&lt;&gt;"&amp;#REF!,'MP내역(중립)'!D:D,"&lt;&gt;"&amp;#REF!,'MP내역(중립)'!B:B,"&lt;&gt;현금",'MP내역(중립)'!B:B,"&lt;&gt;합계")=0,"O","X"))</f>
        <v/>
      </c>
      <c r="J133" s="15" t="str">
        <f>IF(A133="","",IF(AND(ABS(#REF!-SUMIFS('MP내역(중립)'!G:G,'MP내역(중립)'!A:A,A133,'MP내역(중립)'!F:F,"Y"))&lt;0.001,ABS(#REF!-SUMIFS('MP내역(중립)'!G:G,'MP내역(중립)'!A:A,A133,'MP내역(중립)'!B:B,"&lt;&gt;합계"))&lt;0.001),"O","X"))</f>
        <v/>
      </c>
      <c r="K133" s="15" t="str">
        <f>IF(A133="","",IF(COUNTIFS('MP내역(중립)'!A:A,A133,'MP내역(중립)'!H:H,"X")=0,"O","X"))</f>
        <v/>
      </c>
      <c r="L133" s="14"/>
    </row>
    <row r="134" spans="5:12" x14ac:dyDescent="0.3">
      <c r="E134" s="15"/>
      <c r="G134" s="15" t="str">
        <f>IF(A134="","",IFERROR(IF(#REF!&lt;VLOOKUP(A134,'포트변경내역(적극)'!A:C,10,0),"O","X"),""))</f>
        <v/>
      </c>
      <c r="H134" s="15" t="str">
        <f>IF(A134="","",COUNTIFS('MP내역(중립)'!$A:$A,A134)-COUNTIFS('MP내역(중립)'!$A:$A,A134,'MP내역(중립)'!$B:$B,"현금")-COUNTIFS('MP내역(중립)'!$A:$A,A134,'MP내역(중립)'!$B:$B,"예수금")-COUNTIFS('MP내역(중립)'!$A:$A,A134,'MP내역(중립)'!$B:$B,"예탁금")-COUNTIFS('MP내역(중립)'!$A:$A,A134,'MP내역(중립)'!$B:$B,"합계"))</f>
        <v/>
      </c>
      <c r="I134" s="15" t="str">
        <f>IF(A134="","",IF(COUNTIFS('MP내역(중립)'!A:A,A134,'MP내역(중립)'!G:G,"&gt;"&amp;#REF!,'MP내역(중립)'!D:D,"&lt;&gt;"&amp;#REF!,'MP내역(중립)'!D:D,"&lt;&gt;"&amp;#REF!,'MP내역(중립)'!B:B,"&lt;&gt;현금",'MP내역(중립)'!B:B,"&lt;&gt;합계")=0,"O","X"))</f>
        <v/>
      </c>
      <c r="J134" s="15" t="str">
        <f>IF(A134="","",IF(AND(ABS(#REF!-SUMIFS('MP내역(중립)'!G:G,'MP내역(중립)'!A:A,A134,'MP내역(중립)'!F:F,"Y"))&lt;0.001,ABS(#REF!-SUMIFS('MP내역(중립)'!G:G,'MP내역(중립)'!A:A,A134,'MP내역(중립)'!B:B,"&lt;&gt;합계"))&lt;0.001),"O","X"))</f>
        <v/>
      </c>
      <c r="K134" s="15" t="str">
        <f>IF(A134="","",IF(COUNTIFS('MP내역(중립)'!A:A,A134,'MP내역(중립)'!H:H,"X")=0,"O","X"))</f>
        <v/>
      </c>
      <c r="L134" s="14"/>
    </row>
    <row r="135" spans="5:12" x14ac:dyDescent="0.3">
      <c r="E135" s="15"/>
      <c r="G135" s="15" t="str">
        <f>IF(A135="","",IFERROR(IF(#REF!&lt;VLOOKUP(A135,'포트변경내역(적극)'!A:C,10,0),"O","X"),""))</f>
        <v/>
      </c>
      <c r="H135" s="15" t="str">
        <f>IF(A135="","",COUNTIFS('MP내역(중립)'!$A:$A,A135)-COUNTIFS('MP내역(중립)'!$A:$A,A135,'MP내역(중립)'!$B:$B,"현금")-COUNTIFS('MP내역(중립)'!$A:$A,A135,'MP내역(중립)'!$B:$B,"예수금")-COUNTIFS('MP내역(중립)'!$A:$A,A135,'MP내역(중립)'!$B:$B,"예탁금")-COUNTIFS('MP내역(중립)'!$A:$A,A135,'MP내역(중립)'!$B:$B,"합계"))</f>
        <v/>
      </c>
      <c r="I135" s="15" t="str">
        <f>IF(A135="","",IF(COUNTIFS('MP내역(중립)'!A:A,A135,'MP내역(중립)'!G:G,"&gt;"&amp;#REF!,'MP내역(중립)'!D:D,"&lt;&gt;"&amp;#REF!,'MP내역(중립)'!D:D,"&lt;&gt;"&amp;#REF!,'MP내역(중립)'!B:B,"&lt;&gt;현금",'MP내역(중립)'!B:B,"&lt;&gt;합계")=0,"O","X"))</f>
        <v/>
      </c>
      <c r="J135" s="15" t="str">
        <f>IF(A135="","",IF(AND(ABS(#REF!-SUMIFS('MP내역(중립)'!G:G,'MP내역(중립)'!A:A,A135,'MP내역(중립)'!F:F,"Y"))&lt;0.001,ABS(#REF!-SUMIFS('MP내역(중립)'!G:G,'MP내역(중립)'!A:A,A135,'MP내역(중립)'!B:B,"&lt;&gt;합계"))&lt;0.001),"O","X"))</f>
        <v/>
      </c>
      <c r="K135" s="15" t="str">
        <f>IF(A135="","",IF(COUNTIFS('MP내역(중립)'!A:A,A135,'MP내역(중립)'!H:H,"X")=0,"O","X"))</f>
        <v/>
      </c>
      <c r="L135" s="14"/>
    </row>
    <row r="136" spans="5:12" x14ac:dyDescent="0.3">
      <c r="E136" s="15"/>
      <c r="G136" s="15" t="str">
        <f>IF(A136="","",IFERROR(IF(#REF!&lt;VLOOKUP(A136,'포트변경내역(적극)'!A:C,10,0),"O","X"),""))</f>
        <v/>
      </c>
      <c r="H136" s="15" t="str">
        <f>IF(A136="","",COUNTIFS('MP내역(중립)'!$A:$A,A136)-COUNTIFS('MP내역(중립)'!$A:$A,A136,'MP내역(중립)'!$B:$B,"현금")-COUNTIFS('MP내역(중립)'!$A:$A,A136,'MP내역(중립)'!$B:$B,"예수금")-COUNTIFS('MP내역(중립)'!$A:$A,A136,'MP내역(중립)'!$B:$B,"예탁금")-COUNTIFS('MP내역(중립)'!$A:$A,A136,'MP내역(중립)'!$B:$B,"합계"))</f>
        <v/>
      </c>
      <c r="I136" s="15" t="str">
        <f>IF(A136="","",IF(COUNTIFS('MP내역(중립)'!A:A,A136,'MP내역(중립)'!G:G,"&gt;"&amp;#REF!,'MP내역(중립)'!D:D,"&lt;&gt;"&amp;#REF!,'MP내역(중립)'!D:D,"&lt;&gt;"&amp;#REF!,'MP내역(중립)'!B:B,"&lt;&gt;현금",'MP내역(중립)'!B:B,"&lt;&gt;합계")=0,"O","X"))</f>
        <v/>
      </c>
      <c r="J136" s="15" t="str">
        <f>IF(A136="","",IF(AND(ABS(#REF!-SUMIFS('MP내역(중립)'!G:G,'MP내역(중립)'!A:A,A136,'MP내역(중립)'!F:F,"Y"))&lt;0.001,ABS(#REF!-SUMIFS('MP내역(중립)'!G:G,'MP내역(중립)'!A:A,A136,'MP내역(중립)'!B:B,"&lt;&gt;합계"))&lt;0.001),"O","X"))</f>
        <v/>
      </c>
      <c r="K136" s="15" t="str">
        <f>IF(A136="","",IF(COUNTIFS('MP내역(중립)'!A:A,A136,'MP내역(중립)'!H:H,"X")=0,"O","X"))</f>
        <v/>
      </c>
      <c r="L136" s="14"/>
    </row>
    <row r="137" spans="5:12" x14ac:dyDescent="0.3">
      <c r="E137" s="15"/>
      <c r="G137" s="15" t="str">
        <f>IF(A137="","",IFERROR(IF(#REF!&lt;VLOOKUP(A137,'포트변경내역(적극)'!A:C,10,0),"O","X"),""))</f>
        <v/>
      </c>
      <c r="H137" s="15" t="str">
        <f>IF(A137="","",COUNTIFS('MP내역(중립)'!$A:$A,A137)-COUNTIFS('MP내역(중립)'!$A:$A,A137,'MP내역(중립)'!$B:$B,"현금")-COUNTIFS('MP내역(중립)'!$A:$A,A137,'MP내역(중립)'!$B:$B,"예수금")-COUNTIFS('MP내역(중립)'!$A:$A,A137,'MP내역(중립)'!$B:$B,"예탁금")-COUNTIFS('MP내역(중립)'!$A:$A,A137,'MP내역(중립)'!$B:$B,"합계"))</f>
        <v/>
      </c>
      <c r="I137" s="15" t="str">
        <f>IF(A137="","",IF(COUNTIFS('MP내역(중립)'!A:A,A137,'MP내역(중립)'!G:G,"&gt;"&amp;#REF!,'MP내역(중립)'!D:D,"&lt;&gt;"&amp;#REF!,'MP내역(중립)'!D:D,"&lt;&gt;"&amp;#REF!,'MP내역(중립)'!B:B,"&lt;&gt;현금",'MP내역(중립)'!B:B,"&lt;&gt;합계")=0,"O","X"))</f>
        <v/>
      </c>
      <c r="J137" s="15" t="str">
        <f>IF(A137="","",IF(AND(ABS(#REF!-SUMIFS('MP내역(중립)'!G:G,'MP내역(중립)'!A:A,A137,'MP내역(중립)'!F:F,"Y"))&lt;0.001,ABS(#REF!-SUMIFS('MP내역(중립)'!G:G,'MP내역(중립)'!A:A,A137,'MP내역(중립)'!B:B,"&lt;&gt;합계"))&lt;0.001),"O","X"))</f>
        <v/>
      </c>
      <c r="K137" s="15" t="str">
        <f>IF(A137="","",IF(COUNTIFS('MP내역(중립)'!A:A,A137,'MP내역(중립)'!H:H,"X")=0,"O","X"))</f>
        <v/>
      </c>
      <c r="L137" s="14"/>
    </row>
    <row r="138" spans="5:12" x14ac:dyDescent="0.3">
      <c r="E138" s="15"/>
      <c r="G138" s="15" t="str">
        <f>IF(A138="","",IFERROR(IF(#REF!&lt;VLOOKUP(A138,'포트변경내역(적극)'!A:C,10,0),"O","X"),""))</f>
        <v/>
      </c>
      <c r="H138" s="15" t="str">
        <f>IF(A138="","",COUNTIFS('MP내역(중립)'!$A:$A,A138)-COUNTIFS('MP내역(중립)'!$A:$A,A138,'MP내역(중립)'!$B:$B,"현금")-COUNTIFS('MP내역(중립)'!$A:$A,A138,'MP내역(중립)'!$B:$B,"예수금")-COUNTIFS('MP내역(중립)'!$A:$A,A138,'MP내역(중립)'!$B:$B,"예탁금")-COUNTIFS('MP내역(중립)'!$A:$A,A138,'MP내역(중립)'!$B:$B,"합계"))</f>
        <v/>
      </c>
      <c r="I138" s="15" t="str">
        <f>IF(A138="","",IF(COUNTIFS('MP내역(중립)'!A:A,A138,'MP내역(중립)'!G:G,"&gt;"&amp;#REF!,'MP내역(중립)'!D:D,"&lt;&gt;"&amp;#REF!,'MP내역(중립)'!D:D,"&lt;&gt;"&amp;#REF!,'MP내역(중립)'!B:B,"&lt;&gt;현금",'MP내역(중립)'!B:B,"&lt;&gt;합계")=0,"O","X"))</f>
        <v/>
      </c>
      <c r="J138" s="15" t="str">
        <f>IF(A138="","",IF(AND(ABS(#REF!-SUMIFS('MP내역(중립)'!G:G,'MP내역(중립)'!A:A,A138,'MP내역(중립)'!F:F,"Y"))&lt;0.001,ABS(#REF!-SUMIFS('MP내역(중립)'!G:G,'MP내역(중립)'!A:A,A138,'MP내역(중립)'!B:B,"&lt;&gt;합계"))&lt;0.001),"O","X"))</f>
        <v/>
      </c>
      <c r="K138" s="15" t="str">
        <f>IF(A138="","",IF(COUNTIFS('MP내역(중립)'!A:A,A138,'MP내역(중립)'!H:H,"X")=0,"O","X"))</f>
        <v/>
      </c>
      <c r="L138" s="14"/>
    </row>
    <row r="139" spans="5:12" x14ac:dyDescent="0.3">
      <c r="E139" s="15"/>
      <c r="G139" s="15" t="str">
        <f>IF(A139="","",IFERROR(IF(#REF!&lt;VLOOKUP(A139,'포트변경내역(적극)'!A:C,10,0),"O","X"),""))</f>
        <v/>
      </c>
      <c r="H139" s="15" t="str">
        <f>IF(A139="","",COUNTIFS('MP내역(중립)'!$A:$A,A139)-COUNTIFS('MP내역(중립)'!$A:$A,A139,'MP내역(중립)'!$B:$B,"현금")-COUNTIFS('MP내역(중립)'!$A:$A,A139,'MP내역(중립)'!$B:$B,"예수금")-COUNTIFS('MP내역(중립)'!$A:$A,A139,'MP내역(중립)'!$B:$B,"예탁금")-COUNTIFS('MP내역(중립)'!$A:$A,A139,'MP내역(중립)'!$B:$B,"합계"))</f>
        <v/>
      </c>
      <c r="I139" s="15" t="str">
        <f>IF(A139="","",IF(COUNTIFS('MP내역(중립)'!A:A,A139,'MP내역(중립)'!G:G,"&gt;"&amp;#REF!,'MP내역(중립)'!D:D,"&lt;&gt;"&amp;#REF!,'MP내역(중립)'!D:D,"&lt;&gt;"&amp;#REF!,'MP내역(중립)'!B:B,"&lt;&gt;현금",'MP내역(중립)'!B:B,"&lt;&gt;합계")=0,"O","X"))</f>
        <v/>
      </c>
      <c r="J139" s="15" t="str">
        <f>IF(A139="","",IF(AND(ABS(#REF!-SUMIFS('MP내역(중립)'!G:G,'MP내역(중립)'!A:A,A139,'MP내역(중립)'!F:F,"Y"))&lt;0.001,ABS(#REF!-SUMIFS('MP내역(중립)'!G:G,'MP내역(중립)'!A:A,A139,'MP내역(중립)'!B:B,"&lt;&gt;합계"))&lt;0.001),"O","X"))</f>
        <v/>
      </c>
      <c r="K139" s="15" t="str">
        <f>IF(A139="","",IF(COUNTIFS('MP내역(중립)'!A:A,A139,'MP내역(중립)'!H:H,"X")=0,"O","X"))</f>
        <v/>
      </c>
      <c r="L139" s="14"/>
    </row>
    <row r="140" spans="5:12" x14ac:dyDescent="0.3">
      <c r="E140" s="15"/>
      <c r="G140" s="15" t="str">
        <f>IF(A140="","",IFERROR(IF(#REF!&lt;VLOOKUP(A140,'포트변경내역(적극)'!A:C,10,0),"O","X"),""))</f>
        <v/>
      </c>
      <c r="H140" s="15" t="str">
        <f>IF(A140="","",COUNTIFS('MP내역(중립)'!$A:$A,A140)-COUNTIFS('MP내역(중립)'!$A:$A,A140,'MP내역(중립)'!$B:$B,"현금")-COUNTIFS('MP내역(중립)'!$A:$A,A140,'MP내역(중립)'!$B:$B,"예수금")-COUNTIFS('MP내역(중립)'!$A:$A,A140,'MP내역(중립)'!$B:$B,"예탁금")-COUNTIFS('MP내역(중립)'!$A:$A,A140,'MP내역(중립)'!$B:$B,"합계"))</f>
        <v/>
      </c>
      <c r="I140" s="15" t="str">
        <f>IF(A140="","",IF(COUNTIFS('MP내역(중립)'!A:A,A140,'MP내역(중립)'!G:G,"&gt;"&amp;#REF!,'MP내역(중립)'!D:D,"&lt;&gt;"&amp;#REF!,'MP내역(중립)'!D:D,"&lt;&gt;"&amp;#REF!,'MP내역(중립)'!B:B,"&lt;&gt;현금",'MP내역(중립)'!B:B,"&lt;&gt;합계")=0,"O","X"))</f>
        <v/>
      </c>
      <c r="J140" s="15" t="str">
        <f>IF(A140="","",IF(AND(ABS(#REF!-SUMIFS('MP내역(중립)'!G:G,'MP내역(중립)'!A:A,A140,'MP내역(중립)'!F:F,"Y"))&lt;0.001,ABS(#REF!-SUMIFS('MP내역(중립)'!G:G,'MP내역(중립)'!A:A,A140,'MP내역(중립)'!B:B,"&lt;&gt;합계"))&lt;0.001),"O","X"))</f>
        <v/>
      </c>
      <c r="K140" s="15" t="str">
        <f>IF(A140="","",IF(COUNTIFS('MP내역(중립)'!A:A,A140,'MP내역(중립)'!H:H,"X")=0,"O","X"))</f>
        <v/>
      </c>
      <c r="L140" s="14"/>
    </row>
    <row r="141" spans="5:12" x14ac:dyDescent="0.3">
      <c r="E141" s="15"/>
      <c r="G141" s="15" t="str">
        <f>IF(A141="","",IFERROR(IF(#REF!&lt;VLOOKUP(A141,'포트변경내역(적극)'!A:C,10,0),"O","X"),""))</f>
        <v/>
      </c>
      <c r="H141" s="15" t="str">
        <f>IF(A141="","",COUNTIFS('MP내역(중립)'!$A:$A,A141)-COUNTIFS('MP내역(중립)'!$A:$A,A141,'MP내역(중립)'!$B:$B,"현금")-COUNTIFS('MP내역(중립)'!$A:$A,A141,'MP내역(중립)'!$B:$B,"예수금")-COUNTIFS('MP내역(중립)'!$A:$A,A141,'MP내역(중립)'!$B:$B,"예탁금")-COUNTIFS('MP내역(중립)'!$A:$A,A141,'MP내역(중립)'!$B:$B,"합계"))</f>
        <v/>
      </c>
      <c r="I141" s="15" t="str">
        <f>IF(A141="","",IF(COUNTIFS('MP내역(중립)'!A:A,A141,'MP내역(중립)'!G:G,"&gt;"&amp;#REF!,'MP내역(중립)'!D:D,"&lt;&gt;"&amp;#REF!,'MP내역(중립)'!D:D,"&lt;&gt;"&amp;#REF!,'MP내역(중립)'!B:B,"&lt;&gt;현금",'MP내역(중립)'!B:B,"&lt;&gt;합계")=0,"O","X"))</f>
        <v/>
      </c>
      <c r="J141" s="15" t="str">
        <f>IF(A141="","",IF(AND(ABS(#REF!-SUMIFS('MP내역(중립)'!G:G,'MP내역(중립)'!A:A,A141,'MP내역(중립)'!F:F,"Y"))&lt;0.001,ABS(#REF!-SUMIFS('MP내역(중립)'!G:G,'MP내역(중립)'!A:A,A141,'MP내역(중립)'!B:B,"&lt;&gt;합계"))&lt;0.001),"O","X"))</f>
        <v/>
      </c>
      <c r="K141" s="15" t="str">
        <f>IF(A141="","",IF(COUNTIFS('MP내역(중립)'!A:A,A141,'MP내역(중립)'!H:H,"X")=0,"O","X"))</f>
        <v/>
      </c>
      <c r="L141" s="14"/>
    </row>
    <row r="142" spans="5:12" x14ac:dyDescent="0.3">
      <c r="E142" s="15"/>
      <c r="G142" s="15" t="str">
        <f>IF(A142="","",IFERROR(IF(#REF!&lt;VLOOKUP(A142,'포트변경내역(적극)'!A:C,10,0),"O","X"),""))</f>
        <v/>
      </c>
      <c r="H142" s="15" t="str">
        <f>IF(A142="","",COUNTIFS('MP내역(중립)'!$A:$A,A142)-COUNTIFS('MP내역(중립)'!$A:$A,A142,'MP내역(중립)'!$B:$B,"현금")-COUNTIFS('MP내역(중립)'!$A:$A,A142,'MP내역(중립)'!$B:$B,"예수금")-COUNTIFS('MP내역(중립)'!$A:$A,A142,'MP내역(중립)'!$B:$B,"예탁금")-COUNTIFS('MP내역(중립)'!$A:$A,A142,'MP내역(중립)'!$B:$B,"합계"))</f>
        <v/>
      </c>
      <c r="I142" s="15" t="str">
        <f>IF(A142="","",IF(COUNTIFS('MP내역(중립)'!A:A,A142,'MP내역(중립)'!G:G,"&gt;"&amp;#REF!,'MP내역(중립)'!D:D,"&lt;&gt;"&amp;#REF!,'MP내역(중립)'!D:D,"&lt;&gt;"&amp;#REF!,'MP내역(중립)'!B:B,"&lt;&gt;현금",'MP내역(중립)'!B:B,"&lt;&gt;합계")=0,"O","X"))</f>
        <v/>
      </c>
      <c r="J142" s="15" t="str">
        <f>IF(A142="","",IF(AND(ABS(#REF!-SUMIFS('MP내역(중립)'!G:G,'MP내역(중립)'!A:A,A142,'MP내역(중립)'!F:F,"Y"))&lt;0.001,ABS(#REF!-SUMIFS('MP내역(중립)'!G:G,'MP내역(중립)'!A:A,A142,'MP내역(중립)'!B:B,"&lt;&gt;합계"))&lt;0.001),"O","X"))</f>
        <v/>
      </c>
      <c r="K142" s="15" t="str">
        <f>IF(A142="","",IF(COUNTIFS('MP내역(중립)'!A:A,A142,'MP내역(중립)'!H:H,"X")=0,"O","X"))</f>
        <v/>
      </c>
      <c r="L142" s="14"/>
    </row>
    <row r="143" spans="5:12" x14ac:dyDescent="0.3">
      <c r="E143" s="15"/>
      <c r="G143" s="15" t="str">
        <f>IF(A143="","",IFERROR(IF(#REF!&lt;VLOOKUP(A143,'포트변경내역(적극)'!A:C,10,0),"O","X"),""))</f>
        <v/>
      </c>
      <c r="H143" s="15" t="str">
        <f>IF(A143="","",COUNTIFS('MP내역(중립)'!$A:$A,A143)-COUNTIFS('MP내역(중립)'!$A:$A,A143,'MP내역(중립)'!$B:$B,"현금")-COUNTIFS('MP내역(중립)'!$A:$A,A143,'MP내역(중립)'!$B:$B,"예수금")-COUNTIFS('MP내역(중립)'!$A:$A,A143,'MP내역(중립)'!$B:$B,"예탁금")-COUNTIFS('MP내역(중립)'!$A:$A,A143,'MP내역(중립)'!$B:$B,"합계"))</f>
        <v/>
      </c>
      <c r="I143" s="15" t="str">
        <f>IF(A143="","",IF(COUNTIFS('MP내역(중립)'!A:A,A143,'MP내역(중립)'!G:G,"&gt;"&amp;#REF!,'MP내역(중립)'!D:D,"&lt;&gt;"&amp;#REF!,'MP내역(중립)'!D:D,"&lt;&gt;"&amp;#REF!,'MP내역(중립)'!B:B,"&lt;&gt;현금",'MP내역(중립)'!B:B,"&lt;&gt;합계")=0,"O","X"))</f>
        <v/>
      </c>
      <c r="J143" s="15" t="str">
        <f>IF(A143="","",IF(AND(ABS(#REF!-SUMIFS('MP내역(중립)'!G:G,'MP내역(중립)'!A:A,A143,'MP내역(중립)'!F:F,"Y"))&lt;0.001,ABS(#REF!-SUMIFS('MP내역(중립)'!G:G,'MP내역(중립)'!A:A,A143,'MP내역(중립)'!B:B,"&lt;&gt;합계"))&lt;0.001),"O","X"))</f>
        <v/>
      </c>
      <c r="K143" s="15" t="str">
        <f>IF(A143="","",IF(COUNTIFS('MP내역(중립)'!A:A,A143,'MP내역(중립)'!H:H,"X")=0,"O","X"))</f>
        <v/>
      </c>
      <c r="L143" s="14"/>
    </row>
    <row r="144" spans="5:12" x14ac:dyDescent="0.3">
      <c r="E144" s="15"/>
      <c r="G144" s="15" t="str">
        <f>IF(A144="","",IFERROR(IF(#REF!&lt;VLOOKUP(A144,'포트변경내역(적극)'!A:C,10,0),"O","X"),""))</f>
        <v/>
      </c>
      <c r="H144" s="15" t="str">
        <f>IF(A144="","",COUNTIFS('MP내역(중립)'!$A:$A,A144)-COUNTIFS('MP내역(중립)'!$A:$A,A144,'MP내역(중립)'!$B:$B,"현금")-COUNTIFS('MP내역(중립)'!$A:$A,A144,'MP내역(중립)'!$B:$B,"예수금")-COUNTIFS('MP내역(중립)'!$A:$A,A144,'MP내역(중립)'!$B:$B,"예탁금")-COUNTIFS('MP내역(중립)'!$A:$A,A144,'MP내역(중립)'!$B:$B,"합계"))</f>
        <v/>
      </c>
      <c r="I144" s="15" t="str">
        <f>IF(A144="","",IF(COUNTIFS('MP내역(중립)'!A:A,A144,'MP내역(중립)'!G:G,"&gt;"&amp;#REF!,'MP내역(중립)'!D:D,"&lt;&gt;"&amp;#REF!,'MP내역(중립)'!D:D,"&lt;&gt;"&amp;#REF!,'MP내역(중립)'!B:B,"&lt;&gt;현금",'MP내역(중립)'!B:B,"&lt;&gt;합계")=0,"O","X"))</f>
        <v/>
      </c>
      <c r="J144" s="15" t="str">
        <f>IF(A144="","",IF(AND(ABS(#REF!-SUMIFS('MP내역(중립)'!G:G,'MP내역(중립)'!A:A,A144,'MP내역(중립)'!F:F,"Y"))&lt;0.001,ABS(#REF!-SUMIFS('MP내역(중립)'!G:G,'MP내역(중립)'!A:A,A144,'MP내역(중립)'!B:B,"&lt;&gt;합계"))&lt;0.001),"O","X"))</f>
        <v/>
      </c>
      <c r="K144" s="15" t="str">
        <f>IF(A144="","",IF(COUNTIFS('MP내역(중립)'!A:A,A144,'MP내역(중립)'!H:H,"X")=0,"O","X"))</f>
        <v/>
      </c>
      <c r="L144" s="14"/>
    </row>
    <row r="145" spans="5:12" x14ac:dyDescent="0.3">
      <c r="E145" s="15"/>
      <c r="G145" s="15" t="str">
        <f>IF(A145="","",IFERROR(IF(#REF!&lt;VLOOKUP(A145,'포트변경내역(적극)'!A:C,10,0),"O","X"),""))</f>
        <v/>
      </c>
      <c r="H145" s="15" t="str">
        <f>IF(A145="","",COUNTIFS('MP내역(중립)'!$A:$A,A145)-COUNTIFS('MP내역(중립)'!$A:$A,A145,'MP내역(중립)'!$B:$B,"현금")-COUNTIFS('MP내역(중립)'!$A:$A,A145,'MP내역(중립)'!$B:$B,"예수금")-COUNTIFS('MP내역(중립)'!$A:$A,A145,'MP내역(중립)'!$B:$B,"예탁금")-COUNTIFS('MP내역(중립)'!$A:$A,A145,'MP내역(중립)'!$B:$B,"합계"))</f>
        <v/>
      </c>
      <c r="I145" s="15" t="str">
        <f>IF(A145="","",IF(COUNTIFS('MP내역(중립)'!A:A,A145,'MP내역(중립)'!G:G,"&gt;"&amp;#REF!,'MP내역(중립)'!D:D,"&lt;&gt;"&amp;#REF!,'MP내역(중립)'!D:D,"&lt;&gt;"&amp;#REF!,'MP내역(중립)'!B:B,"&lt;&gt;현금",'MP내역(중립)'!B:B,"&lt;&gt;합계")=0,"O","X"))</f>
        <v/>
      </c>
      <c r="J145" s="15" t="str">
        <f>IF(A145="","",IF(AND(ABS(#REF!-SUMIFS('MP내역(중립)'!G:G,'MP내역(중립)'!A:A,A145,'MP내역(중립)'!F:F,"Y"))&lt;0.001,ABS(#REF!-SUMIFS('MP내역(중립)'!G:G,'MP내역(중립)'!A:A,A145,'MP내역(중립)'!B:B,"&lt;&gt;합계"))&lt;0.001),"O","X"))</f>
        <v/>
      </c>
      <c r="K145" s="15" t="str">
        <f>IF(A145="","",IF(COUNTIFS('MP내역(중립)'!A:A,A145,'MP내역(중립)'!H:H,"X")=0,"O","X"))</f>
        <v/>
      </c>
      <c r="L145" s="14"/>
    </row>
    <row r="146" spans="5:12" x14ac:dyDescent="0.3">
      <c r="E146" s="15"/>
      <c r="G146" s="15" t="str">
        <f>IF(A146="","",IFERROR(IF(#REF!&lt;VLOOKUP(A146,'포트변경내역(적극)'!A:C,10,0),"O","X"),""))</f>
        <v/>
      </c>
      <c r="H146" s="15" t="str">
        <f>IF(A146="","",COUNTIFS('MP내역(중립)'!$A:$A,A146)-COUNTIFS('MP내역(중립)'!$A:$A,A146,'MP내역(중립)'!$B:$B,"현금")-COUNTIFS('MP내역(중립)'!$A:$A,A146,'MP내역(중립)'!$B:$B,"예수금")-COUNTIFS('MP내역(중립)'!$A:$A,A146,'MP내역(중립)'!$B:$B,"예탁금")-COUNTIFS('MP내역(중립)'!$A:$A,A146,'MP내역(중립)'!$B:$B,"합계"))</f>
        <v/>
      </c>
      <c r="I146" s="15" t="str">
        <f>IF(A146="","",IF(COUNTIFS('MP내역(중립)'!A:A,A146,'MP내역(중립)'!G:G,"&gt;"&amp;#REF!,'MP내역(중립)'!D:D,"&lt;&gt;"&amp;#REF!,'MP내역(중립)'!D:D,"&lt;&gt;"&amp;#REF!,'MP내역(중립)'!B:B,"&lt;&gt;현금",'MP내역(중립)'!B:B,"&lt;&gt;합계")=0,"O","X"))</f>
        <v/>
      </c>
      <c r="J146" s="15" t="str">
        <f>IF(A146="","",IF(AND(ABS(#REF!-SUMIFS('MP내역(중립)'!G:G,'MP내역(중립)'!A:A,A146,'MP내역(중립)'!F:F,"Y"))&lt;0.001,ABS(#REF!-SUMIFS('MP내역(중립)'!G:G,'MP내역(중립)'!A:A,A146,'MP내역(중립)'!B:B,"&lt;&gt;합계"))&lt;0.001),"O","X"))</f>
        <v/>
      </c>
      <c r="K146" s="15" t="str">
        <f>IF(A146="","",IF(COUNTIFS('MP내역(중립)'!A:A,A146,'MP내역(중립)'!H:H,"X")=0,"O","X"))</f>
        <v/>
      </c>
      <c r="L146" s="14"/>
    </row>
    <row r="147" spans="5:12" x14ac:dyDescent="0.3">
      <c r="E147" s="15"/>
      <c r="G147" s="15" t="str">
        <f>IF(A147="","",IFERROR(IF(#REF!&lt;VLOOKUP(A147,'포트변경내역(적극)'!A:C,10,0),"O","X"),""))</f>
        <v/>
      </c>
      <c r="H147" s="15" t="str">
        <f>IF(A147="","",COUNTIFS('MP내역(중립)'!$A:$A,A147)-COUNTIFS('MP내역(중립)'!$A:$A,A147,'MP내역(중립)'!$B:$B,"현금")-COUNTIFS('MP내역(중립)'!$A:$A,A147,'MP내역(중립)'!$B:$B,"예수금")-COUNTIFS('MP내역(중립)'!$A:$A,A147,'MP내역(중립)'!$B:$B,"예탁금")-COUNTIFS('MP내역(중립)'!$A:$A,A147,'MP내역(중립)'!$B:$B,"합계"))</f>
        <v/>
      </c>
      <c r="I147" s="15" t="str">
        <f>IF(A147="","",IF(COUNTIFS('MP내역(중립)'!A:A,A147,'MP내역(중립)'!G:G,"&gt;"&amp;#REF!,'MP내역(중립)'!D:D,"&lt;&gt;"&amp;#REF!,'MP내역(중립)'!D:D,"&lt;&gt;"&amp;#REF!,'MP내역(중립)'!B:B,"&lt;&gt;현금",'MP내역(중립)'!B:B,"&lt;&gt;합계")=0,"O","X"))</f>
        <v/>
      </c>
      <c r="J147" s="15" t="str">
        <f>IF(A147="","",IF(AND(ABS(#REF!-SUMIFS('MP내역(중립)'!G:G,'MP내역(중립)'!A:A,A147,'MP내역(중립)'!F:F,"Y"))&lt;0.001,ABS(#REF!-SUMIFS('MP내역(중립)'!G:G,'MP내역(중립)'!A:A,A147,'MP내역(중립)'!B:B,"&lt;&gt;합계"))&lt;0.001),"O","X"))</f>
        <v/>
      </c>
      <c r="K147" s="15" t="str">
        <f>IF(A147="","",IF(COUNTIFS('MP내역(중립)'!A:A,A147,'MP내역(중립)'!H:H,"X")=0,"O","X"))</f>
        <v/>
      </c>
      <c r="L147" s="14"/>
    </row>
    <row r="148" spans="5:12" x14ac:dyDescent="0.3">
      <c r="E148" s="15"/>
      <c r="G148" s="15" t="str">
        <f>IF(A148="","",IFERROR(IF(#REF!&lt;VLOOKUP(A148,'포트변경내역(적극)'!A:C,10,0),"O","X"),""))</f>
        <v/>
      </c>
      <c r="H148" s="15" t="str">
        <f>IF(A148="","",COUNTIFS('MP내역(중립)'!$A:$A,A148)-COUNTIFS('MP내역(중립)'!$A:$A,A148,'MP내역(중립)'!$B:$B,"현금")-COUNTIFS('MP내역(중립)'!$A:$A,A148,'MP내역(중립)'!$B:$B,"예수금")-COUNTIFS('MP내역(중립)'!$A:$A,A148,'MP내역(중립)'!$B:$B,"예탁금")-COUNTIFS('MP내역(중립)'!$A:$A,A148,'MP내역(중립)'!$B:$B,"합계"))</f>
        <v/>
      </c>
      <c r="I148" s="15" t="str">
        <f>IF(A148="","",IF(COUNTIFS('MP내역(중립)'!A:A,A148,'MP내역(중립)'!G:G,"&gt;"&amp;#REF!,'MP내역(중립)'!D:D,"&lt;&gt;"&amp;#REF!,'MP내역(중립)'!D:D,"&lt;&gt;"&amp;#REF!,'MP내역(중립)'!B:B,"&lt;&gt;현금",'MP내역(중립)'!B:B,"&lt;&gt;합계")=0,"O","X"))</f>
        <v/>
      </c>
      <c r="J148" s="15" t="str">
        <f>IF(A148="","",IF(AND(ABS(#REF!-SUMIFS('MP내역(중립)'!G:G,'MP내역(중립)'!A:A,A148,'MP내역(중립)'!F:F,"Y"))&lt;0.001,ABS(#REF!-SUMIFS('MP내역(중립)'!G:G,'MP내역(중립)'!A:A,A148,'MP내역(중립)'!B:B,"&lt;&gt;합계"))&lt;0.001),"O","X"))</f>
        <v/>
      </c>
      <c r="K148" s="15" t="str">
        <f>IF(A148="","",IF(COUNTIFS('MP내역(중립)'!A:A,A148,'MP내역(중립)'!H:H,"X")=0,"O","X"))</f>
        <v/>
      </c>
      <c r="L148" s="14"/>
    </row>
    <row r="149" spans="5:12" x14ac:dyDescent="0.3">
      <c r="E149" s="15"/>
      <c r="G149" s="15" t="str">
        <f>IF(A149="","",IFERROR(IF(#REF!&lt;VLOOKUP(A149,'포트변경내역(적극)'!A:C,10,0),"O","X"),""))</f>
        <v/>
      </c>
      <c r="H149" s="15" t="str">
        <f>IF(A149="","",COUNTIFS('MP내역(중립)'!$A:$A,A149)-COUNTIFS('MP내역(중립)'!$A:$A,A149,'MP내역(중립)'!$B:$B,"현금")-COUNTIFS('MP내역(중립)'!$A:$A,A149,'MP내역(중립)'!$B:$B,"예수금")-COUNTIFS('MP내역(중립)'!$A:$A,A149,'MP내역(중립)'!$B:$B,"예탁금")-COUNTIFS('MP내역(중립)'!$A:$A,A149,'MP내역(중립)'!$B:$B,"합계"))</f>
        <v/>
      </c>
      <c r="I149" s="15" t="str">
        <f>IF(A149="","",IF(COUNTIFS('MP내역(중립)'!A:A,A149,'MP내역(중립)'!G:G,"&gt;"&amp;#REF!,'MP내역(중립)'!D:D,"&lt;&gt;"&amp;#REF!,'MP내역(중립)'!D:D,"&lt;&gt;"&amp;#REF!,'MP내역(중립)'!B:B,"&lt;&gt;현금",'MP내역(중립)'!B:B,"&lt;&gt;합계")=0,"O","X"))</f>
        <v/>
      </c>
      <c r="J149" s="15" t="str">
        <f>IF(A149="","",IF(AND(ABS(#REF!-SUMIFS('MP내역(중립)'!G:G,'MP내역(중립)'!A:A,A149,'MP내역(중립)'!F:F,"Y"))&lt;0.001,ABS(#REF!-SUMIFS('MP내역(중립)'!G:G,'MP내역(중립)'!A:A,A149,'MP내역(중립)'!B:B,"&lt;&gt;합계"))&lt;0.001),"O","X"))</f>
        <v/>
      </c>
      <c r="K149" s="15" t="str">
        <f>IF(A149="","",IF(COUNTIFS('MP내역(중립)'!A:A,A149,'MP내역(중립)'!H:H,"X")=0,"O","X"))</f>
        <v/>
      </c>
      <c r="L149" s="14"/>
    </row>
    <row r="150" spans="5:12" x14ac:dyDescent="0.3">
      <c r="E150" s="15"/>
      <c r="G150" s="15" t="str">
        <f>IF(A150="","",IFERROR(IF(#REF!&lt;VLOOKUP(A150,'포트변경내역(적극)'!A:C,10,0),"O","X"),""))</f>
        <v/>
      </c>
      <c r="H150" s="15" t="str">
        <f>IF(A150="","",COUNTIFS('MP내역(중립)'!$A:$A,A150)-COUNTIFS('MP내역(중립)'!$A:$A,A150,'MP내역(중립)'!$B:$B,"현금")-COUNTIFS('MP내역(중립)'!$A:$A,A150,'MP내역(중립)'!$B:$B,"예수금")-COUNTIFS('MP내역(중립)'!$A:$A,A150,'MP내역(중립)'!$B:$B,"예탁금")-COUNTIFS('MP내역(중립)'!$A:$A,A150,'MP내역(중립)'!$B:$B,"합계"))</f>
        <v/>
      </c>
      <c r="I150" s="15" t="str">
        <f>IF(A150="","",IF(COUNTIFS('MP내역(중립)'!A:A,A150,'MP내역(중립)'!G:G,"&gt;"&amp;#REF!,'MP내역(중립)'!D:D,"&lt;&gt;"&amp;#REF!,'MP내역(중립)'!D:D,"&lt;&gt;"&amp;#REF!,'MP내역(중립)'!B:B,"&lt;&gt;현금",'MP내역(중립)'!B:B,"&lt;&gt;합계")=0,"O","X"))</f>
        <v/>
      </c>
      <c r="J150" s="15" t="str">
        <f>IF(A150="","",IF(AND(ABS(#REF!-SUMIFS('MP내역(중립)'!G:G,'MP내역(중립)'!A:A,A150,'MP내역(중립)'!F:F,"Y"))&lt;0.001,ABS(#REF!-SUMIFS('MP내역(중립)'!G:G,'MP내역(중립)'!A:A,A150,'MP내역(중립)'!B:B,"&lt;&gt;합계"))&lt;0.001),"O","X"))</f>
        <v/>
      </c>
      <c r="K150" s="15" t="str">
        <f>IF(A150="","",IF(COUNTIFS('MP내역(중립)'!A:A,A150,'MP내역(중립)'!H:H,"X")=0,"O","X"))</f>
        <v/>
      </c>
      <c r="L150" s="14"/>
    </row>
    <row r="151" spans="5:12" x14ac:dyDescent="0.3">
      <c r="E151" s="15"/>
      <c r="G151" s="15" t="str">
        <f>IF(A151="","",IFERROR(IF(#REF!&lt;VLOOKUP(A151,'포트변경내역(적극)'!A:C,10,0),"O","X"),""))</f>
        <v/>
      </c>
      <c r="H151" s="15" t="str">
        <f>IF(A151="","",COUNTIFS('MP내역(중립)'!$A:$A,A151)-COUNTIFS('MP내역(중립)'!$A:$A,A151,'MP내역(중립)'!$B:$B,"현금")-COUNTIFS('MP내역(중립)'!$A:$A,A151,'MP내역(중립)'!$B:$B,"예수금")-COUNTIFS('MP내역(중립)'!$A:$A,A151,'MP내역(중립)'!$B:$B,"예탁금")-COUNTIFS('MP내역(중립)'!$A:$A,A151,'MP내역(중립)'!$B:$B,"합계"))</f>
        <v/>
      </c>
      <c r="I151" s="15" t="str">
        <f>IF(A151="","",IF(COUNTIFS('MP내역(중립)'!A:A,A151,'MP내역(중립)'!G:G,"&gt;"&amp;#REF!,'MP내역(중립)'!D:D,"&lt;&gt;"&amp;#REF!,'MP내역(중립)'!D:D,"&lt;&gt;"&amp;#REF!,'MP내역(중립)'!B:B,"&lt;&gt;현금",'MP내역(중립)'!B:B,"&lt;&gt;합계")=0,"O","X"))</f>
        <v/>
      </c>
      <c r="J151" s="15" t="str">
        <f>IF(A151="","",IF(AND(ABS(#REF!-SUMIFS('MP내역(중립)'!G:G,'MP내역(중립)'!A:A,A151,'MP내역(중립)'!F:F,"Y"))&lt;0.001,ABS(#REF!-SUMIFS('MP내역(중립)'!G:G,'MP내역(중립)'!A:A,A151,'MP내역(중립)'!B:B,"&lt;&gt;합계"))&lt;0.001),"O","X"))</f>
        <v/>
      </c>
      <c r="K151" s="15" t="str">
        <f>IF(A151="","",IF(COUNTIFS('MP내역(중립)'!A:A,A151,'MP내역(중립)'!H:H,"X")=0,"O","X"))</f>
        <v/>
      </c>
      <c r="L151" s="14"/>
    </row>
    <row r="152" spans="5:12" x14ac:dyDescent="0.3">
      <c r="E152" s="15"/>
      <c r="G152" s="15" t="str">
        <f>IF(A152="","",IFERROR(IF(#REF!&lt;VLOOKUP(A152,'포트변경내역(적극)'!A:C,10,0),"O","X"),""))</f>
        <v/>
      </c>
      <c r="H152" s="15" t="str">
        <f>IF(A152="","",COUNTIFS('MP내역(중립)'!$A:$A,A152)-COUNTIFS('MP내역(중립)'!$A:$A,A152,'MP내역(중립)'!$B:$B,"현금")-COUNTIFS('MP내역(중립)'!$A:$A,A152,'MP내역(중립)'!$B:$B,"예수금")-COUNTIFS('MP내역(중립)'!$A:$A,A152,'MP내역(중립)'!$B:$B,"예탁금")-COUNTIFS('MP내역(중립)'!$A:$A,A152,'MP내역(중립)'!$B:$B,"합계"))</f>
        <v/>
      </c>
      <c r="I152" s="15" t="str">
        <f>IF(A152="","",IF(COUNTIFS('MP내역(중립)'!A:A,A152,'MP내역(중립)'!G:G,"&gt;"&amp;#REF!,'MP내역(중립)'!D:D,"&lt;&gt;"&amp;#REF!,'MP내역(중립)'!D:D,"&lt;&gt;"&amp;#REF!,'MP내역(중립)'!B:B,"&lt;&gt;현금",'MP내역(중립)'!B:B,"&lt;&gt;합계")=0,"O","X"))</f>
        <v/>
      </c>
      <c r="J152" s="15" t="str">
        <f>IF(A152="","",IF(AND(ABS(#REF!-SUMIFS('MP내역(중립)'!G:G,'MP내역(중립)'!A:A,A152,'MP내역(중립)'!F:F,"Y"))&lt;0.001,ABS(#REF!-SUMIFS('MP내역(중립)'!G:G,'MP내역(중립)'!A:A,A152,'MP내역(중립)'!B:B,"&lt;&gt;합계"))&lt;0.001),"O","X"))</f>
        <v/>
      </c>
      <c r="K152" s="15" t="str">
        <f>IF(A152="","",IF(COUNTIFS('MP내역(중립)'!A:A,A152,'MP내역(중립)'!H:H,"X")=0,"O","X"))</f>
        <v/>
      </c>
      <c r="L152" s="14"/>
    </row>
    <row r="153" spans="5:12" x14ac:dyDescent="0.3">
      <c r="E153" s="15"/>
      <c r="G153" s="15" t="str">
        <f>IF(A153="","",IFERROR(IF(#REF!&lt;VLOOKUP(A153,'포트변경내역(적극)'!A:C,10,0),"O","X"),""))</f>
        <v/>
      </c>
      <c r="H153" s="15" t="str">
        <f>IF(A153="","",COUNTIFS('MP내역(중립)'!$A:$A,A153)-COUNTIFS('MP내역(중립)'!$A:$A,A153,'MP내역(중립)'!$B:$B,"현금")-COUNTIFS('MP내역(중립)'!$A:$A,A153,'MP내역(중립)'!$B:$B,"예수금")-COUNTIFS('MP내역(중립)'!$A:$A,A153,'MP내역(중립)'!$B:$B,"예탁금")-COUNTIFS('MP내역(중립)'!$A:$A,A153,'MP내역(중립)'!$B:$B,"합계"))</f>
        <v/>
      </c>
      <c r="I153" s="15" t="str">
        <f>IF(A153="","",IF(COUNTIFS('MP내역(중립)'!A:A,A153,'MP내역(중립)'!G:G,"&gt;"&amp;#REF!,'MP내역(중립)'!D:D,"&lt;&gt;"&amp;#REF!,'MP내역(중립)'!D:D,"&lt;&gt;"&amp;#REF!,'MP내역(중립)'!B:B,"&lt;&gt;현금",'MP내역(중립)'!B:B,"&lt;&gt;합계")=0,"O","X"))</f>
        <v/>
      </c>
      <c r="J153" s="15" t="str">
        <f>IF(A153="","",IF(AND(ABS(#REF!-SUMIFS('MP내역(중립)'!G:G,'MP내역(중립)'!A:A,A153,'MP내역(중립)'!F:F,"Y"))&lt;0.001,ABS(#REF!-SUMIFS('MP내역(중립)'!G:G,'MP내역(중립)'!A:A,A153,'MP내역(중립)'!B:B,"&lt;&gt;합계"))&lt;0.001),"O","X"))</f>
        <v/>
      </c>
      <c r="K153" s="15" t="str">
        <f>IF(A153="","",IF(COUNTIFS('MP내역(중립)'!A:A,A153,'MP내역(중립)'!H:H,"X")=0,"O","X"))</f>
        <v/>
      </c>
      <c r="L153" s="14"/>
    </row>
    <row r="154" spans="5:12" x14ac:dyDescent="0.3">
      <c r="E154" s="15"/>
      <c r="G154" s="15" t="str">
        <f>IF(A154="","",IFERROR(IF(#REF!&lt;VLOOKUP(A154,'포트변경내역(적극)'!A:C,10,0),"O","X"),""))</f>
        <v/>
      </c>
      <c r="H154" s="15" t="str">
        <f>IF(A154="","",COUNTIFS('MP내역(중립)'!$A:$A,A154)-COUNTIFS('MP내역(중립)'!$A:$A,A154,'MP내역(중립)'!$B:$B,"현금")-COUNTIFS('MP내역(중립)'!$A:$A,A154,'MP내역(중립)'!$B:$B,"예수금")-COUNTIFS('MP내역(중립)'!$A:$A,A154,'MP내역(중립)'!$B:$B,"예탁금")-COUNTIFS('MP내역(중립)'!$A:$A,A154,'MP내역(중립)'!$B:$B,"합계"))</f>
        <v/>
      </c>
      <c r="I154" s="15" t="str">
        <f>IF(A154="","",IF(COUNTIFS('MP내역(중립)'!A:A,A154,'MP내역(중립)'!G:G,"&gt;"&amp;#REF!,'MP내역(중립)'!D:D,"&lt;&gt;"&amp;#REF!,'MP내역(중립)'!D:D,"&lt;&gt;"&amp;#REF!,'MP내역(중립)'!B:B,"&lt;&gt;현금",'MP내역(중립)'!B:B,"&lt;&gt;합계")=0,"O","X"))</f>
        <v/>
      </c>
      <c r="J154" s="15" t="str">
        <f>IF(A154="","",IF(AND(ABS(#REF!-SUMIFS('MP내역(중립)'!G:G,'MP내역(중립)'!A:A,A154,'MP내역(중립)'!F:F,"Y"))&lt;0.001,ABS(#REF!-SUMIFS('MP내역(중립)'!G:G,'MP내역(중립)'!A:A,A154,'MP내역(중립)'!B:B,"&lt;&gt;합계"))&lt;0.001),"O","X"))</f>
        <v/>
      </c>
      <c r="K154" s="15" t="str">
        <f>IF(A154="","",IF(COUNTIFS('MP내역(중립)'!A:A,A154,'MP내역(중립)'!H:H,"X")=0,"O","X"))</f>
        <v/>
      </c>
      <c r="L154" s="14"/>
    </row>
    <row r="155" spans="5:12" x14ac:dyDescent="0.3">
      <c r="E155" s="15"/>
      <c r="G155" s="15" t="str">
        <f>IF(A155="","",IFERROR(IF(#REF!&lt;VLOOKUP(A155,'포트변경내역(적극)'!A:C,10,0),"O","X"),""))</f>
        <v/>
      </c>
      <c r="H155" s="15" t="str">
        <f>IF(A155="","",COUNTIFS('MP내역(중립)'!$A:$A,A155)-COUNTIFS('MP내역(중립)'!$A:$A,A155,'MP내역(중립)'!$B:$B,"현금")-COUNTIFS('MP내역(중립)'!$A:$A,A155,'MP내역(중립)'!$B:$B,"예수금")-COUNTIFS('MP내역(중립)'!$A:$A,A155,'MP내역(중립)'!$B:$B,"예탁금")-COUNTIFS('MP내역(중립)'!$A:$A,A155,'MP내역(중립)'!$B:$B,"합계"))</f>
        <v/>
      </c>
      <c r="I155" s="15" t="str">
        <f>IF(A155="","",IF(COUNTIFS('MP내역(중립)'!A:A,A155,'MP내역(중립)'!G:G,"&gt;"&amp;#REF!,'MP내역(중립)'!D:D,"&lt;&gt;"&amp;#REF!,'MP내역(중립)'!D:D,"&lt;&gt;"&amp;#REF!,'MP내역(중립)'!B:B,"&lt;&gt;현금",'MP내역(중립)'!B:B,"&lt;&gt;합계")=0,"O","X"))</f>
        <v/>
      </c>
      <c r="J155" s="15" t="str">
        <f>IF(A155="","",IF(AND(ABS(#REF!-SUMIFS('MP내역(중립)'!G:G,'MP내역(중립)'!A:A,A155,'MP내역(중립)'!F:F,"Y"))&lt;0.001,ABS(#REF!-SUMIFS('MP내역(중립)'!G:G,'MP내역(중립)'!A:A,A155,'MP내역(중립)'!B:B,"&lt;&gt;합계"))&lt;0.001),"O","X"))</f>
        <v/>
      </c>
      <c r="K155" s="15" t="str">
        <f>IF(A155="","",IF(COUNTIFS('MP내역(중립)'!A:A,A155,'MP내역(중립)'!H:H,"X")=0,"O","X"))</f>
        <v/>
      </c>
      <c r="L155" s="14"/>
    </row>
    <row r="156" spans="5:12" x14ac:dyDescent="0.3">
      <c r="E156" s="15"/>
      <c r="G156" s="15" t="str">
        <f>IF(A156="","",IFERROR(IF(#REF!&lt;VLOOKUP(A156,'포트변경내역(적극)'!A:C,10,0),"O","X"),""))</f>
        <v/>
      </c>
      <c r="H156" s="15" t="str">
        <f>IF(A156="","",COUNTIFS('MP내역(중립)'!$A:$A,A156)-COUNTIFS('MP내역(중립)'!$A:$A,A156,'MP내역(중립)'!$B:$B,"현금")-COUNTIFS('MP내역(중립)'!$A:$A,A156,'MP내역(중립)'!$B:$B,"예수금")-COUNTIFS('MP내역(중립)'!$A:$A,A156,'MP내역(중립)'!$B:$B,"예탁금")-COUNTIFS('MP내역(중립)'!$A:$A,A156,'MP내역(중립)'!$B:$B,"합계"))</f>
        <v/>
      </c>
      <c r="I156" s="15" t="str">
        <f>IF(A156="","",IF(COUNTIFS('MP내역(중립)'!A:A,A156,'MP내역(중립)'!G:G,"&gt;"&amp;#REF!,'MP내역(중립)'!D:D,"&lt;&gt;"&amp;#REF!,'MP내역(중립)'!D:D,"&lt;&gt;"&amp;#REF!,'MP내역(중립)'!B:B,"&lt;&gt;현금",'MP내역(중립)'!B:B,"&lt;&gt;합계")=0,"O","X"))</f>
        <v/>
      </c>
      <c r="J156" s="15" t="str">
        <f>IF(A156="","",IF(AND(ABS(#REF!-SUMIFS('MP내역(중립)'!G:G,'MP내역(중립)'!A:A,A156,'MP내역(중립)'!F:F,"Y"))&lt;0.001,ABS(#REF!-SUMIFS('MP내역(중립)'!G:G,'MP내역(중립)'!A:A,A156,'MP내역(중립)'!B:B,"&lt;&gt;합계"))&lt;0.001),"O","X"))</f>
        <v/>
      </c>
      <c r="K156" s="15" t="str">
        <f>IF(A156="","",IF(COUNTIFS('MP내역(중립)'!A:A,A156,'MP내역(중립)'!H:H,"X")=0,"O","X"))</f>
        <v/>
      </c>
      <c r="L156" s="14"/>
    </row>
    <row r="157" spans="5:12" x14ac:dyDescent="0.3">
      <c r="E157" s="15"/>
      <c r="G157" s="15" t="str">
        <f>IF(A157="","",IFERROR(IF(#REF!&lt;VLOOKUP(A157,'포트변경내역(적극)'!A:C,10,0),"O","X"),""))</f>
        <v/>
      </c>
      <c r="H157" s="15" t="str">
        <f>IF(A157="","",COUNTIFS('MP내역(중립)'!$A:$A,A157)-COUNTIFS('MP내역(중립)'!$A:$A,A157,'MP내역(중립)'!$B:$B,"현금")-COUNTIFS('MP내역(중립)'!$A:$A,A157,'MP내역(중립)'!$B:$B,"예수금")-COUNTIFS('MP내역(중립)'!$A:$A,A157,'MP내역(중립)'!$B:$B,"예탁금")-COUNTIFS('MP내역(중립)'!$A:$A,A157,'MP내역(중립)'!$B:$B,"합계"))</f>
        <v/>
      </c>
      <c r="I157" s="15" t="str">
        <f>IF(A157="","",IF(COUNTIFS('MP내역(중립)'!A:A,A157,'MP내역(중립)'!G:G,"&gt;"&amp;#REF!,'MP내역(중립)'!D:D,"&lt;&gt;"&amp;#REF!,'MP내역(중립)'!D:D,"&lt;&gt;"&amp;#REF!,'MP내역(중립)'!B:B,"&lt;&gt;현금",'MP내역(중립)'!B:B,"&lt;&gt;합계")=0,"O","X"))</f>
        <v/>
      </c>
      <c r="J157" s="15" t="str">
        <f>IF(A157="","",IF(AND(ABS(#REF!-SUMIFS('MP내역(중립)'!G:G,'MP내역(중립)'!A:A,A157,'MP내역(중립)'!F:F,"Y"))&lt;0.001,ABS(#REF!-SUMIFS('MP내역(중립)'!G:G,'MP내역(중립)'!A:A,A157,'MP내역(중립)'!B:B,"&lt;&gt;합계"))&lt;0.001),"O","X"))</f>
        <v/>
      </c>
      <c r="K157" s="15" t="str">
        <f>IF(A157="","",IF(COUNTIFS('MP내역(중립)'!A:A,A157,'MP내역(중립)'!H:H,"X")=0,"O","X"))</f>
        <v/>
      </c>
      <c r="L157" s="14"/>
    </row>
    <row r="158" spans="5:12" x14ac:dyDescent="0.3">
      <c r="E158" s="15"/>
      <c r="G158" s="15" t="str">
        <f>IF(A158="","",IFERROR(IF(#REF!&lt;VLOOKUP(A158,'포트변경내역(적극)'!A:C,10,0),"O","X"),""))</f>
        <v/>
      </c>
      <c r="H158" s="15" t="str">
        <f>IF(A158="","",COUNTIFS('MP내역(중립)'!$A:$A,A158)-COUNTIFS('MP내역(중립)'!$A:$A,A158,'MP내역(중립)'!$B:$B,"현금")-COUNTIFS('MP내역(중립)'!$A:$A,A158,'MP내역(중립)'!$B:$B,"예수금")-COUNTIFS('MP내역(중립)'!$A:$A,A158,'MP내역(중립)'!$B:$B,"예탁금")-COUNTIFS('MP내역(중립)'!$A:$A,A158,'MP내역(중립)'!$B:$B,"합계"))</f>
        <v/>
      </c>
      <c r="I158" s="15" t="str">
        <f>IF(A158="","",IF(COUNTIFS('MP내역(중립)'!A:A,A158,'MP내역(중립)'!G:G,"&gt;"&amp;#REF!,'MP내역(중립)'!D:D,"&lt;&gt;"&amp;#REF!,'MP내역(중립)'!D:D,"&lt;&gt;"&amp;#REF!,'MP내역(중립)'!B:B,"&lt;&gt;현금",'MP내역(중립)'!B:B,"&lt;&gt;합계")=0,"O","X"))</f>
        <v/>
      </c>
      <c r="J158" s="15" t="str">
        <f>IF(A158="","",IF(AND(ABS(#REF!-SUMIFS('MP내역(중립)'!G:G,'MP내역(중립)'!A:A,A158,'MP내역(중립)'!F:F,"Y"))&lt;0.001,ABS(#REF!-SUMIFS('MP내역(중립)'!G:G,'MP내역(중립)'!A:A,A158,'MP내역(중립)'!B:B,"&lt;&gt;합계"))&lt;0.001),"O","X"))</f>
        <v/>
      </c>
      <c r="K158" s="15" t="str">
        <f>IF(A158="","",IF(COUNTIFS('MP내역(중립)'!A:A,A158,'MP내역(중립)'!H:H,"X")=0,"O","X"))</f>
        <v/>
      </c>
      <c r="L158" s="14"/>
    </row>
    <row r="159" spans="5:12" x14ac:dyDescent="0.3">
      <c r="E159" s="15"/>
      <c r="G159" s="15" t="str">
        <f>IF(A159="","",IFERROR(IF(#REF!&lt;VLOOKUP(A159,'포트변경내역(적극)'!A:C,10,0),"O","X"),""))</f>
        <v/>
      </c>
      <c r="H159" s="15" t="str">
        <f>IF(A159="","",COUNTIFS('MP내역(중립)'!$A:$A,A159)-COUNTIFS('MP내역(중립)'!$A:$A,A159,'MP내역(중립)'!$B:$B,"현금")-COUNTIFS('MP내역(중립)'!$A:$A,A159,'MP내역(중립)'!$B:$B,"예수금")-COUNTIFS('MP내역(중립)'!$A:$A,A159,'MP내역(중립)'!$B:$B,"예탁금")-COUNTIFS('MP내역(중립)'!$A:$A,A159,'MP내역(중립)'!$B:$B,"합계"))</f>
        <v/>
      </c>
      <c r="I159" s="15" t="str">
        <f>IF(A159="","",IF(COUNTIFS('MP내역(중립)'!A:A,A159,'MP내역(중립)'!G:G,"&gt;"&amp;#REF!,'MP내역(중립)'!D:D,"&lt;&gt;"&amp;#REF!,'MP내역(중립)'!D:D,"&lt;&gt;"&amp;#REF!,'MP내역(중립)'!B:B,"&lt;&gt;현금",'MP내역(중립)'!B:B,"&lt;&gt;합계")=0,"O","X"))</f>
        <v/>
      </c>
      <c r="J159" s="15" t="str">
        <f>IF(A159="","",IF(AND(ABS(#REF!-SUMIFS('MP내역(중립)'!G:G,'MP내역(중립)'!A:A,A159,'MP내역(중립)'!F:F,"Y"))&lt;0.001,ABS(#REF!-SUMIFS('MP내역(중립)'!G:G,'MP내역(중립)'!A:A,A159,'MP내역(중립)'!B:B,"&lt;&gt;합계"))&lt;0.001),"O","X"))</f>
        <v/>
      </c>
      <c r="K159" s="15" t="str">
        <f>IF(A159="","",IF(COUNTIFS('MP내역(중립)'!A:A,A159,'MP내역(중립)'!H:H,"X")=0,"O","X"))</f>
        <v/>
      </c>
      <c r="L159" s="14"/>
    </row>
    <row r="160" spans="5:12" x14ac:dyDescent="0.3">
      <c r="E160" s="15"/>
      <c r="G160" s="15" t="str">
        <f>IF(A160="","",IFERROR(IF(#REF!&lt;VLOOKUP(A160,'포트변경내역(적극)'!A:C,10,0),"O","X"),""))</f>
        <v/>
      </c>
      <c r="H160" s="15" t="str">
        <f>IF(A160="","",COUNTIFS('MP내역(중립)'!$A:$A,A160)-COUNTIFS('MP내역(중립)'!$A:$A,A160,'MP내역(중립)'!$B:$B,"현금")-COUNTIFS('MP내역(중립)'!$A:$A,A160,'MP내역(중립)'!$B:$B,"예수금")-COUNTIFS('MP내역(중립)'!$A:$A,A160,'MP내역(중립)'!$B:$B,"예탁금")-COUNTIFS('MP내역(중립)'!$A:$A,A160,'MP내역(중립)'!$B:$B,"합계"))</f>
        <v/>
      </c>
      <c r="I160" s="15" t="str">
        <f>IF(A160="","",IF(COUNTIFS('MP내역(중립)'!A:A,A160,'MP내역(중립)'!G:G,"&gt;"&amp;#REF!,'MP내역(중립)'!D:D,"&lt;&gt;"&amp;#REF!,'MP내역(중립)'!D:D,"&lt;&gt;"&amp;#REF!,'MP내역(중립)'!B:B,"&lt;&gt;현금",'MP내역(중립)'!B:B,"&lt;&gt;합계")=0,"O","X"))</f>
        <v/>
      </c>
      <c r="J160" s="15" t="str">
        <f>IF(A160="","",IF(AND(ABS(#REF!-SUMIFS('MP내역(중립)'!G:G,'MP내역(중립)'!A:A,A160,'MP내역(중립)'!F:F,"Y"))&lt;0.001,ABS(#REF!-SUMIFS('MP내역(중립)'!G:G,'MP내역(중립)'!A:A,A160,'MP내역(중립)'!B:B,"&lt;&gt;합계"))&lt;0.001),"O","X"))</f>
        <v/>
      </c>
      <c r="K160" s="15" t="str">
        <f>IF(A160="","",IF(COUNTIFS('MP내역(중립)'!A:A,A160,'MP내역(중립)'!H:H,"X")=0,"O","X"))</f>
        <v/>
      </c>
      <c r="L160" s="14"/>
    </row>
    <row r="161" spans="5:12" x14ac:dyDescent="0.3">
      <c r="E161" s="15"/>
      <c r="G161" s="15" t="str">
        <f>IF(A161="","",IFERROR(IF(#REF!&lt;VLOOKUP(A161,'포트변경내역(적극)'!A:C,10,0),"O","X"),""))</f>
        <v/>
      </c>
      <c r="H161" s="15" t="str">
        <f>IF(A161="","",COUNTIFS('MP내역(중립)'!$A:$A,A161)-COUNTIFS('MP내역(중립)'!$A:$A,A161,'MP내역(중립)'!$B:$B,"현금")-COUNTIFS('MP내역(중립)'!$A:$A,A161,'MP내역(중립)'!$B:$B,"예수금")-COUNTIFS('MP내역(중립)'!$A:$A,A161,'MP내역(중립)'!$B:$B,"예탁금")-COUNTIFS('MP내역(중립)'!$A:$A,A161,'MP내역(중립)'!$B:$B,"합계"))</f>
        <v/>
      </c>
      <c r="I161" s="15" t="str">
        <f>IF(A161="","",IF(COUNTIFS('MP내역(중립)'!A:A,A161,'MP내역(중립)'!G:G,"&gt;"&amp;#REF!,'MP내역(중립)'!D:D,"&lt;&gt;"&amp;#REF!,'MP내역(중립)'!D:D,"&lt;&gt;"&amp;#REF!,'MP내역(중립)'!B:B,"&lt;&gt;현금",'MP내역(중립)'!B:B,"&lt;&gt;합계")=0,"O","X"))</f>
        <v/>
      </c>
      <c r="J161" s="15" t="str">
        <f>IF(A161="","",IF(AND(ABS(#REF!-SUMIFS('MP내역(중립)'!G:G,'MP내역(중립)'!A:A,A161,'MP내역(중립)'!F:F,"Y"))&lt;0.001,ABS(#REF!-SUMIFS('MP내역(중립)'!G:G,'MP내역(중립)'!A:A,A161,'MP내역(중립)'!B:B,"&lt;&gt;합계"))&lt;0.001),"O","X"))</f>
        <v/>
      </c>
      <c r="K161" s="15" t="str">
        <f>IF(A161="","",IF(COUNTIFS('MP내역(중립)'!A:A,A161,'MP내역(중립)'!H:H,"X")=0,"O","X"))</f>
        <v/>
      </c>
      <c r="L161" s="14"/>
    </row>
    <row r="162" spans="5:12" x14ac:dyDescent="0.3">
      <c r="E162" s="15"/>
      <c r="G162" s="15" t="str">
        <f>IF(A162="","",IFERROR(IF(#REF!&lt;VLOOKUP(A162,'포트변경내역(적극)'!A:C,10,0),"O","X"),""))</f>
        <v/>
      </c>
      <c r="H162" s="15" t="str">
        <f>IF(A162="","",COUNTIFS('MP내역(중립)'!$A:$A,A162)-COUNTIFS('MP내역(중립)'!$A:$A,A162,'MP내역(중립)'!$B:$B,"현금")-COUNTIFS('MP내역(중립)'!$A:$A,A162,'MP내역(중립)'!$B:$B,"예수금")-COUNTIFS('MP내역(중립)'!$A:$A,A162,'MP내역(중립)'!$B:$B,"예탁금")-COUNTIFS('MP내역(중립)'!$A:$A,A162,'MP내역(중립)'!$B:$B,"합계"))</f>
        <v/>
      </c>
      <c r="I162" s="15" t="str">
        <f>IF(A162="","",IF(COUNTIFS('MP내역(중립)'!A:A,A162,'MP내역(중립)'!G:G,"&gt;"&amp;#REF!,'MP내역(중립)'!D:D,"&lt;&gt;"&amp;#REF!,'MP내역(중립)'!D:D,"&lt;&gt;"&amp;#REF!,'MP내역(중립)'!B:B,"&lt;&gt;현금",'MP내역(중립)'!B:B,"&lt;&gt;합계")=0,"O","X"))</f>
        <v/>
      </c>
      <c r="J162" s="15" t="str">
        <f>IF(A162="","",IF(AND(ABS(#REF!-SUMIFS('MP내역(중립)'!G:G,'MP내역(중립)'!A:A,A162,'MP내역(중립)'!F:F,"Y"))&lt;0.001,ABS(#REF!-SUMIFS('MP내역(중립)'!G:G,'MP내역(중립)'!A:A,A162,'MP내역(중립)'!B:B,"&lt;&gt;합계"))&lt;0.001),"O","X"))</f>
        <v/>
      </c>
      <c r="K162" s="15" t="str">
        <f>IF(A162="","",IF(COUNTIFS('MP내역(중립)'!A:A,A162,'MP내역(중립)'!H:H,"X")=0,"O","X"))</f>
        <v/>
      </c>
      <c r="L162" s="14"/>
    </row>
    <row r="163" spans="5:12" x14ac:dyDescent="0.3">
      <c r="E163" s="15"/>
      <c r="G163" s="15" t="str">
        <f>IF(A163="","",IFERROR(IF(#REF!&lt;VLOOKUP(A163,'포트변경내역(적극)'!A:C,10,0),"O","X"),""))</f>
        <v/>
      </c>
      <c r="H163" s="15" t="str">
        <f>IF(A163="","",COUNTIFS('MP내역(중립)'!$A:$A,A163)-COUNTIFS('MP내역(중립)'!$A:$A,A163,'MP내역(중립)'!$B:$B,"현금")-COUNTIFS('MP내역(중립)'!$A:$A,A163,'MP내역(중립)'!$B:$B,"예수금")-COUNTIFS('MP내역(중립)'!$A:$A,A163,'MP내역(중립)'!$B:$B,"예탁금")-COUNTIFS('MP내역(중립)'!$A:$A,A163,'MP내역(중립)'!$B:$B,"합계"))</f>
        <v/>
      </c>
      <c r="I163" s="15" t="str">
        <f>IF(A163="","",IF(COUNTIFS('MP내역(중립)'!A:A,A163,'MP내역(중립)'!G:G,"&gt;"&amp;#REF!,'MP내역(중립)'!D:D,"&lt;&gt;"&amp;#REF!,'MP내역(중립)'!D:D,"&lt;&gt;"&amp;#REF!,'MP내역(중립)'!B:B,"&lt;&gt;현금",'MP내역(중립)'!B:B,"&lt;&gt;합계")=0,"O","X"))</f>
        <v/>
      </c>
      <c r="J163" s="15" t="str">
        <f>IF(A163="","",IF(AND(ABS(#REF!-SUMIFS('MP내역(중립)'!G:G,'MP내역(중립)'!A:A,A163,'MP내역(중립)'!F:F,"Y"))&lt;0.001,ABS(#REF!-SUMIFS('MP내역(중립)'!G:G,'MP내역(중립)'!A:A,A163,'MP내역(중립)'!B:B,"&lt;&gt;합계"))&lt;0.001),"O","X"))</f>
        <v/>
      </c>
      <c r="K163" s="15" t="str">
        <f>IF(A163="","",IF(COUNTIFS('MP내역(중립)'!A:A,A163,'MP내역(중립)'!H:H,"X")=0,"O","X"))</f>
        <v/>
      </c>
      <c r="L163" s="14"/>
    </row>
    <row r="164" spans="5:12" x14ac:dyDescent="0.3">
      <c r="E164" s="15"/>
      <c r="G164" s="15" t="str">
        <f>IF(A164="","",IFERROR(IF(#REF!&lt;VLOOKUP(A164,'포트변경내역(적극)'!A:C,10,0),"O","X"),""))</f>
        <v/>
      </c>
      <c r="H164" s="15" t="str">
        <f>IF(A164="","",COUNTIFS('MP내역(중립)'!$A:$A,A164)-COUNTIFS('MP내역(중립)'!$A:$A,A164,'MP내역(중립)'!$B:$B,"현금")-COUNTIFS('MP내역(중립)'!$A:$A,A164,'MP내역(중립)'!$B:$B,"예수금")-COUNTIFS('MP내역(중립)'!$A:$A,A164,'MP내역(중립)'!$B:$B,"예탁금")-COUNTIFS('MP내역(중립)'!$A:$A,A164,'MP내역(중립)'!$B:$B,"합계"))</f>
        <v/>
      </c>
      <c r="I164" s="15" t="str">
        <f>IF(A164="","",IF(COUNTIFS('MP내역(중립)'!A:A,A164,'MP내역(중립)'!G:G,"&gt;"&amp;#REF!,'MP내역(중립)'!D:D,"&lt;&gt;"&amp;#REF!,'MP내역(중립)'!D:D,"&lt;&gt;"&amp;#REF!,'MP내역(중립)'!B:B,"&lt;&gt;현금",'MP내역(중립)'!B:B,"&lt;&gt;합계")=0,"O","X"))</f>
        <v/>
      </c>
      <c r="J164" s="15" t="str">
        <f>IF(A164="","",IF(AND(ABS(#REF!-SUMIFS('MP내역(중립)'!G:G,'MP내역(중립)'!A:A,A164,'MP내역(중립)'!F:F,"Y"))&lt;0.001,ABS(#REF!-SUMIFS('MP내역(중립)'!G:G,'MP내역(중립)'!A:A,A164,'MP내역(중립)'!B:B,"&lt;&gt;합계"))&lt;0.001),"O","X"))</f>
        <v/>
      </c>
      <c r="K164" s="15" t="str">
        <f>IF(A164="","",IF(COUNTIFS('MP내역(중립)'!A:A,A164,'MP내역(중립)'!H:H,"X")=0,"O","X"))</f>
        <v/>
      </c>
      <c r="L164" s="14"/>
    </row>
    <row r="165" spans="5:12" x14ac:dyDescent="0.3">
      <c r="E165" s="15"/>
      <c r="G165" s="15" t="str">
        <f>IF(A165="","",IFERROR(IF(#REF!&lt;VLOOKUP(A165,'포트변경내역(적극)'!A:C,10,0),"O","X"),""))</f>
        <v/>
      </c>
      <c r="H165" s="15" t="str">
        <f>IF(A165="","",COUNTIFS('MP내역(중립)'!$A:$A,A165)-COUNTIFS('MP내역(중립)'!$A:$A,A165,'MP내역(중립)'!$B:$B,"현금")-COUNTIFS('MP내역(중립)'!$A:$A,A165,'MP내역(중립)'!$B:$B,"예수금")-COUNTIFS('MP내역(중립)'!$A:$A,A165,'MP내역(중립)'!$B:$B,"예탁금")-COUNTIFS('MP내역(중립)'!$A:$A,A165,'MP내역(중립)'!$B:$B,"합계"))</f>
        <v/>
      </c>
      <c r="I165" s="15" t="str">
        <f>IF(A165="","",IF(COUNTIFS('MP내역(중립)'!A:A,A165,'MP내역(중립)'!G:G,"&gt;"&amp;#REF!,'MP내역(중립)'!D:D,"&lt;&gt;"&amp;#REF!,'MP내역(중립)'!D:D,"&lt;&gt;"&amp;#REF!,'MP내역(중립)'!B:B,"&lt;&gt;현금",'MP내역(중립)'!B:B,"&lt;&gt;합계")=0,"O","X"))</f>
        <v/>
      </c>
      <c r="J165" s="15" t="str">
        <f>IF(A165="","",IF(AND(ABS(#REF!-SUMIFS('MP내역(중립)'!G:G,'MP내역(중립)'!A:A,A165,'MP내역(중립)'!F:F,"Y"))&lt;0.001,ABS(#REF!-SUMIFS('MP내역(중립)'!G:G,'MP내역(중립)'!A:A,A165,'MP내역(중립)'!B:B,"&lt;&gt;합계"))&lt;0.001),"O","X"))</f>
        <v/>
      </c>
      <c r="K165" s="15" t="str">
        <f>IF(A165="","",IF(COUNTIFS('MP내역(중립)'!A:A,A165,'MP내역(중립)'!H:H,"X")=0,"O","X"))</f>
        <v/>
      </c>
      <c r="L165" s="14"/>
    </row>
    <row r="166" spans="5:12" x14ac:dyDescent="0.3">
      <c r="E166" s="15"/>
      <c r="G166" s="15" t="str">
        <f>IF(A166="","",IFERROR(IF(#REF!&lt;VLOOKUP(A166,'포트변경내역(적극)'!A:C,10,0),"O","X"),""))</f>
        <v/>
      </c>
      <c r="H166" s="15" t="str">
        <f>IF(A166="","",COUNTIFS('MP내역(중립)'!$A:$A,A166)-COUNTIFS('MP내역(중립)'!$A:$A,A166,'MP내역(중립)'!$B:$B,"현금")-COUNTIFS('MP내역(중립)'!$A:$A,A166,'MP내역(중립)'!$B:$B,"예수금")-COUNTIFS('MP내역(중립)'!$A:$A,A166,'MP내역(중립)'!$B:$B,"예탁금")-COUNTIFS('MP내역(중립)'!$A:$A,A166,'MP내역(중립)'!$B:$B,"합계"))</f>
        <v/>
      </c>
      <c r="I166" s="15" t="str">
        <f>IF(A166="","",IF(COUNTIFS('MP내역(중립)'!A:A,A166,'MP내역(중립)'!G:G,"&gt;"&amp;#REF!,'MP내역(중립)'!D:D,"&lt;&gt;"&amp;#REF!,'MP내역(중립)'!D:D,"&lt;&gt;"&amp;#REF!,'MP내역(중립)'!B:B,"&lt;&gt;현금",'MP내역(중립)'!B:B,"&lt;&gt;합계")=0,"O","X"))</f>
        <v/>
      </c>
      <c r="J166" s="15" t="str">
        <f>IF(A166="","",IF(AND(ABS(#REF!-SUMIFS('MP내역(중립)'!G:G,'MP내역(중립)'!A:A,A166,'MP내역(중립)'!F:F,"Y"))&lt;0.001,ABS(#REF!-SUMIFS('MP내역(중립)'!G:G,'MP내역(중립)'!A:A,A166,'MP내역(중립)'!B:B,"&lt;&gt;합계"))&lt;0.001),"O","X"))</f>
        <v/>
      </c>
      <c r="K166" s="15" t="str">
        <f>IF(A166="","",IF(COUNTIFS('MP내역(중립)'!A:A,A166,'MP내역(중립)'!H:H,"X")=0,"O","X"))</f>
        <v/>
      </c>
      <c r="L166" s="14"/>
    </row>
    <row r="167" spans="5:12" x14ac:dyDescent="0.3">
      <c r="E167" s="15"/>
      <c r="G167" s="15" t="str">
        <f>IF(A167="","",IFERROR(IF(#REF!&lt;VLOOKUP(A167,'포트변경내역(적극)'!A:C,10,0),"O","X"),""))</f>
        <v/>
      </c>
      <c r="H167" s="15" t="str">
        <f>IF(A167="","",COUNTIFS('MP내역(중립)'!$A:$A,A167)-COUNTIFS('MP내역(중립)'!$A:$A,A167,'MP내역(중립)'!$B:$B,"현금")-COUNTIFS('MP내역(중립)'!$A:$A,A167,'MP내역(중립)'!$B:$B,"예수금")-COUNTIFS('MP내역(중립)'!$A:$A,A167,'MP내역(중립)'!$B:$B,"예탁금")-COUNTIFS('MP내역(중립)'!$A:$A,A167,'MP내역(중립)'!$B:$B,"합계"))</f>
        <v/>
      </c>
      <c r="I167" s="15" t="str">
        <f>IF(A167="","",IF(COUNTIFS('MP내역(중립)'!A:A,A167,'MP내역(중립)'!G:G,"&gt;"&amp;#REF!,'MP내역(중립)'!D:D,"&lt;&gt;"&amp;#REF!,'MP내역(중립)'!D:D,"&lt;&gt;"&amp;#REF!,'MP내역(중립)'!B:B,"&lt;&gt;현금",'MP내역(중립)'!B:B,"&lt;&gt;합계")=0,"O","X"))</f>
        <v/>
      </c>
      <c r="J167" s="15" t="str">
        <f>IF(A167="","",IF(AND(ABS(#REF!-SUMIFS('MP내역(중립)'!G:G,'MP내역(중립)'!A:A,A167,'MP내역(중립)'!F:F,"Y"))&lt;0.001,ABS(#REF!-SUMIFS('MP내역(중립)'!G:G,'MP내역(중립)'!A:A,A167,'MP내역(중립)'!B:B,"&lt;&gt;합계"))&lt;0.001),"O","X"))</f>
        <v/>
      </c>
      <c r="K167" s="15" t="str">
        <f>IF(A167="","",IF(COUNTIFS('MP내역(중립)'!A:A,A167,'MP내역(중립)'!H:H,"X")=0,"O","X"))</f>
        <v/>
      </c>
      <c r="L167" s="14"/>
    </row>
    <row r="168" spans="5:12" x14ac:dyDescent="0.3">
      <c r="E168" s="15"/>
      <c r="G168" s="15" t="str">
        <f>IF(A168="","",IFERROR(IF(#REF!&lt;VLOOKUP(A168,'포트변경내역(적극)'!A:C,10,0),"O","X"),""))</f>
        <v/>
      </c>
      <c r="H168" s="15" t="str">
        <f>IF(A168="","",COUNTIFS('MP내역(중립)'!$A:$A,A168)-COUNTIFS('MP내역(중립)'!$A:$A,A168,'MP내역(중립)'!$B:$B,"현금")-COUNTIFS('MP내역(중립)'!$A:$A,A168,'MP내역(중립)'!$B:$B,"예수금")-COUNTIFS('MP내역(중립)'!$A:$A,A168,'MP내역(중립)'!$B:$B,"예탁금")-COUNTIFS('MP내역(중립)'!$A:$A,A168,'MP내역(중립)'!$B:$B,"합계"))</f>
        <v/>
      </c>
      <c r="I168" s="15" t="str">
        <f>IF(A168="","",IF(COUNTIFS('MP내역(중립)'!A:A,A168,'MP내역(중립)'!G:G,"&gt;"&amp;#REF!,'MP내역(중립)'!D:D,"&lt;&gt;"&amp;#REF!,'MP내역(중립)'!D:D,"&lt;&gt;"&amp;#REF!,'MP내역(중립)'!B:B,"&lt;&gt;현금",'MP내역(중립)'!B:B,"&lt;&gt;합계")=0,"O","X"))</f>
        <v/>
      </c>
      <c r="J168" s="15" t="str">
        <f>IF(A168="","",IF(AND(ABS(#REF!-SUMIFS('MP내역(중립)'!G:G,'MP내역(중립)'!A:A,A168,'MP내역(중립)'!F:F,"Y"))&lt;0.001,ABS(#REF!-SUMIFS('MP내역(중립)'!G:G,'MP내역(중립)'!A:A,A168,'MP내역(중립)'!B:B,"&lt;&gt;합계"))&lt;0.001),"O","X"))</f>
        <v/>
      </c>
      <c r="K168" s="15" t="str">
        <f>IF(A168="","",IF(COUNTIFS('MP내역(중립)'!A:A,A168,'MP내역(중립)'!H:H,"X")=0,"O","X"))</f>
        <v/>
      </c>
      <c r="L168" s="14"/>
    </row>
    <row r="169" spans="5:12" x14ac:dyDescent="0.3">
      <c r="E169" s="15"/>
      <c r="G169" s="15" t="str">
        <f>IF(A169="","",IFERROR(IF(#REF!&lt;VLOOKUP(A169,'포트변경내역(적극)'!A:C,10,0),"O","X"),""))</f>
        <v/>
      </c>
      <c r="H169" s="15" t="str">
        <f>IF(A169="","",COUNTIFS('MP내역(중립)'!$A:$A,A169)-COUNTIFS('MP내역(중립)'!$A:$A,A169,'MP내역(중립)'!$B:$B,"현금")-COUNTIFS('MP내역(중립)'!$A:$A,A169,'MP내역(중립)'!$B:$B,"예수금")-COUNTIFS('MP내역(중립)'!$A:$A,A169,'MP내역(중립)'!$B:$B,"예탁금")-COUNTIFS('MP내역(중립)'!$A:$A,A169,'MP내역(중립)'!$B:$B,"합계"))</f>
        <v/>
      </c>
      <c r="I169" s="15" t="str">
        <f>IF(A169="","",IF(COUNTIFS('MP내역(중립)'!A:A,A169,'MP내역(중립)'!G:G,"&gt;"&amp;#REF!,'MP내역(중립)'!D:D,"&lt;&gt;"&amp;#REF!,'MP내역(중립)'!D:D,"&lt;&gt;"&amp;#REF!,'MP내역(중립)'!B:B,"&lt;&gt;현금",'MP내역(중립)'!B:B,"&lt;&gt;합계")=0,"O","X"))</f>
        <v/>
      </c>
      <c r="J169" s="15" t="str">
        <f>IF(A169="","",IF(AND(ABS(#REF!-SUMIFS('MP내역(중립)'!G:G,'MP내역(중립)'!A:A,A169,'MP내역(중립)'!F:F,"Y"))&lt;0.001,ABS(#REF!-SUMIFS('MP내역(중립)'!G:G,'MP내역(중립)'!A:A,A169,'MP내역(중립)'!B:B,"&lt;&gt;합계"))&lt;0.001),"O","X"))</f>
        <v/>
      </c>
      <c r="K169" s="15" t="str">
        <f>IF(A169="","",IF(COUNTIFS('MP내역(중립)'!A:A,A169,'MP내역(중립)'!H:H,"X")=0,"O","X"))</f>
        <v/>
      </c>
      <c r="L169" s="14"/>
    </row>
    <row r="170" spans="5:12" x14ac:dyDescent="0.3">
      <c r="E170" s="15"/>
      <c r="G170" s="15" t="str">
        <f>IF(A170="","",IFERROR(IF(#REF!&lt;VLOOKUP(A170,'포트변경내역(적극)'!A:C,10,0),"O","X"),""))</f>
        <v/>
      </c>
      <c r="H170" s="15" t="str">
        <f>IF(A170="","",COUNTIFS('MP내역(중립)'!$A:$A,A170)-COUNTIFS('MP내역(중립)'!$A:$A,A170,'MP내역(중립)'!$B:$B,"현금")-COUNTIFS('MP내역(중립)'!$A:$A,A170,'MP내역(중립)'!$B:$B,"예수금")-COUNTIFS('MP내역(중립)'!$A:$A,A170,'MP내역(중립)'!$B:$B,"예탁금")-COUNTIFS('MP내역(중립)'!$A:$A,A170,'MP내역(중립)'!$B:$B,"합계"))</f>
        <v/>
      </c>
      <c r="I170" s="15" t="str">
        <f>IF(A170="","",IF(COUNTIFS('MP내역(중립)'!A:A,A170,'MP내역(중립)'!G:G,"&gt;"&amp;#REF!,'MP내역(중립)'!D:D,"&lt;&gt;"&amp;#REF!,'MP내역(중립)'!D:D,"&lt;&gt;"&amp;#REF!,'MP내역(중립)'!B:B,"&lt;&gt;현금",'MP내역(중립)'!B:B,"&lt;&gt;합계")=0,"O","X"))</f>
        <v/>
      </c>
      <c r="J170" s="15" t="str">
        <f>IF(A170="","",IF(AND(ABS(#REF!-SUMIFS('MP내역(중립)'!G:G,'MP내역(중립)'!A:A,A170,'MP내역(중립)'!F:F,"Y"))&lt;0.001,ABS(#REF!-SUMIFS('MP내역(중립)'!G:G,'MP내역(중립)'!A:A,A170,'MP내역(중립)'!B:B,"&lt;&gt;합계"))&lt;0.001),"O","X"))</f>
        <v/>
      </c>
      <c r="K170" s="15" t="str">
        <f>IF(A170="","",IF(COUNTIFS('MP내역(중립)'!A:A,A170,'MP내역(중립)'!H:H,"X")=0,"O","X"))</f>
        <v/>
      </c>
      <c r="L170" s="14"/>
    </row>
    <row r="171" spans="5:12" x14ac:dyDescent="0.3">
      <c r="E171" s="15"/>
      <c r="G171" s="15" t="str">
        <f>IF(A171="","",IFERROR(IF(#REF!&lt;VLOOKUP(A171,'포트변경내역(적극)'!A:C,10,0),"O","X"),""))</f>
        <v/>
      </c>
      <c r="H171" s="15" t="str">
        <f>IF(A171="","",COUNTIFS('MP내역(중립)'!$A:$A,A171)-COUNTIFS('MP내역(중립)'!$A:$A,A171,'MP내역(중립)'!$B:$B,"현금")-COUNTIFS('MP내역(중립)'!$A:$A,A171,'MP내역(중립)'!$B:$B,"예수금")-COUNTIFS('MP내역(중립)'!$A:$A,A171,'MP내역(중립)'!$B:$B,"예탁금")-COUNTIFS('MP내역(중립)'!$A:$A,A171,'MP내역(중립)'!$B:$B,"합계"))</f>
        <v/>
      </c>
      <c r="I171" s="15" t="str">
        <f>IF(A171="","",IF(COUNTIFS('MP내역(중립)'!A:A,A171,'MP내역(중립)'!G:G,"&gt;"&amp;#REF!,'MP내역(중립)'!D:D,"&lt;&gt;"&amp;#REF!,'MP내역(중립)'!D:D,"&lt;&gt;"&amp;#REF!,'MP내역(중립)'!B:B,"&lt;&gt;현금",'MP내역(중립)'!B:B,"&lt;&gt;합계")=0,"O","X"))</f>
        <v/>
      </c>
      <c r="J171" s="15" t="str">
        <f>IF(A171="","",IF(AND(ABS(#REF!-SUMIFS('MP내역(중립)'!G:G,'MP내역(중립)'!A:A,A171,'MP내역(중립)'!F:F,"Y"))&lt;0.001,ABS(#REF!-SUMIFS('MP내역(중립)'!G:G,'MP내역(중립)'!A:A,A171,'MP내역(중립)'!B:B,"&lt;&gt;합계"))&lt;0.001),"O","X"))</f>
        <v/>
      </c>
      <c r="K171" s="15" t="str">
        <f>IF(A171="","",IF(COUNTIFS('MP내역(중립)'!A:A,A171,'MP내역(중립)'!H:H,"X")=0,"O","X"))</f>
        <v/>
      </c>
      <c r="L171" s="14"/>
    </row>
    <row r="172" spans="5:12" x14ac:dyDescent="0.3">
      <c r="E172" s="15"/>
      <c r="G172" s="15" t="str">
        <f>IF(A172="","",IFERROR(IF(#REF!&lt;VLOOKUP(A172,'포트변경내역(적극)'!A:C,10,0),"O","X"),""))</f>
        <v/>
      </c>
      <c r="H172" s="15" t="str">
        <f>IF(A172="","",COUNTIFS('MP내역(중립)'!$A:$A,A172)-COUNTIFS('MP내역(중립)'!$A:$A,A172,'MP내역(중립)'!$B:$B,"현금")-COUNTIFS('MP내역(중립)'!$A:$A,A172,'MP내역(중립)'!$B:$B,"예수금")-COUNTIFS('MP내역(중립)'!$A:$A,A172,'MP내역(중립)'!$B:$B,"예탁금")-COUNTIFS('MP내역(중립)'!$A:$A,A172,'MP내역(중립)'!$B:$B,"합계"))</f>
        <v/>
      </c>
      <c r="I172" s="15" t="str">
        <f>IF(A172="","",IF(COUNTIFS('MP내역(중립)'!A:A,A172,'MP내역(중립)'!G:G,"&gt;"&amp;#REF!,'MP내역(중립)'!D:D,"&lt;&gt;"&amp;#REF!,'MP내역(중립)'!D:D,"&lt;&gt;"&amp;#REF!,'MP내역(중립)'!B:B,"&lt;&gt;현금",'MP내역(중립)'!B:B,"&lt;&gt;합계")=0,"O","X"))</f>
        <v/>
      </c>
      <c r="J172" s="15" t="str">
        <f>IF(A172="","",IF(AND(ABS(#REF!-SUMIFS('MP내역(중립)'!G:G,'MP내역(중립)'!A:A,A172,'MP내역(중립)'!F:F,"Y"))&lt;0.001,ABS(#REF!-SUMIFS('MP내역(중립)'!G:G,'MP내역(중립)'!A:A,A172,'MP내역(중립)'!B:B,"&lt;&gt;합계"))&lt;0.001),"O","X"))</f>
        <v/>
      </c>
      <c r="K172" s="15" t="str">
        <f>IF(A172="","",IF(COUNTIFS('MP내역(중립)'!A:A,A172,'MP내역(중립)'!H:H,"X")=0,"O","X"))</f>
        <v/>
      </c>
      <c r="L172" s="14"/>
    </row>
    <row r="173" spans="5:12" x14ac:dyDescent="0.3">
      <c r="E173" s="15"/>
      <c r="G173" s="15" t="str">
        <f>IF(A173="","",IFERROR(IF(#REF!&lt;VLOOKUP(A173,'포트변경내역(적극)'!A:C,10,0),"O","X"),""))</f>
        <v/>
      </c>
      <c r="H173" s="15" t="str">
        <f>IF(A173="","",COUNTIFS('MP내역(중립)'!$A:$A,A173)-COUNTIFS('MP내역(중립)'!$A:$A,A173,'MP내역(중립)'!$B:$B,"현금")-COUNTIFS('MP내역(중립)'!$A:$A,A173,'MP내역(중립)'!$B:$B,"예수금")-COUNTIFS('MP내역(중립)'!$A:$A,A173,'MP내역(중립)'!$B:$B,"예탁금")-COUNTIFS('MP내역(중립)'!$A:$A,A173,'MP내역(중립)'!$B:$B,"합계"))</f>
        <v/>
      </c>
      <c r="I173" s="15" t="str">
        <f>IF(A173="","",IF(COUNTIFS('MP내역(중립)'!A:A,A173,'MP내역(중립)'!G:G,"&gt;"&amp;#REF!,'MP내역(중립)'!D:D,"&lt;&gt;"&amp;#REF!,'MP내역(중립)'!D:D,"&lt;&gt;"&amp;#REF!,'MP내역(중립)'!B:B,"&lt;&gt;현금",'MP내역(중립)'!B:B,"&lt;&gt;합계")=0,"O","X"))</f>
        <v/>
      </c>
      <c r="J173" s="15" t="str">
        <f>IF(A173="","",IF(AND(ABS(#REF!-SUMIFS('MP내역(중립)'!G:G,'MP내역(중립)'!A:A,A173,'MP내역(중립)'!F:F,"Y"))&lt;0.001,ABS(#REF!-SUMIFS('MP내역(중립)'!G:G,'MP내역(중립)'!A:A,A173,'MP내역(중립)'!B:B,"&lt;&gt;합계"))&lt;0.001),"O","X"))</f>
        <v/>
      </c>
      <c r="K173" s="15" t="str">
        <f>IF(A173="","",IF(COUNTIFS('MP내역(중립)'!A:A,A173,'MP내역(중립)'!H:H,"X")=0,"O","X"))</f>
        <v/>
      </c>
      <c r="L173" s="14"/>
    </row>
    <row r="174" spans="5:12" x14ac:dyDescent="0.3">
      <c r="E174" s="15"/>
      <c r="G174" s="15" t="str">
        <f>IF(A174="","",IFERROR(IF(#REF!&lt;VLOOKUP(A174,'포트변경내역(적극)'!A:C,10,0),"O","X"),""))</f>
        <v/>
      </c>
      <c r="H174" s="15" t="str">
        <f>IF(A174="","",COUNTIFS('MP내역(중립)'!$A:$A,A174)-COUNTIFS('MP내역(중립)'!$A:$A,A174,'MP내역(중립)'!$B:$B,"현금")-COUNTIFS('MP내역(중립)'!$A:$A,A174,'MP내역(중립)'!$B:$B,"예수금")-COUNTIFS('MP내역(중립)'!$A:$A,A174,'MP내역(중립)'!$B:$B,"예탁금")-COUNTIFS('MP내역(중립)'!$A:$A,A174,'MP내역(중립)'!$B:$B,"합계"))</f>
        <v/>
      </c>
      <c r="I174" s="15" t="str">
        <f>IF(A174="","",IF(COUNTIFS('MP내역(중립)'!A:A,A174,'MP내역(중립)'!G:G,"&gt;"&amp;#REF!,'MP내역(중립)'!D:D,"&lt;&gt;"&amp;#REF!,'MP내역(중립)'!D:D,"&lt;&gt;"&amp;#REF!,'MP내역(중립)'!B:B,"&lt;&gt;현금",'MP내역(중립)'!B:B,"&lt;&gt;합계")=0,"O","X"))</f>
        <v/>
      </c>
      <c r="J174" s="15" t="str">
        <f>IF(A174="","",IF(AND(ABS(#REF!-SUMIFS('MP내역(중립)'!G:G,'MP내역(중립)'!A:A,A174,'MP내역(중립)'!F:F,"Y"))&lt;0.001,ABS(#REF!-SUMIFS('MP내역(중립)'!G:G,'MP내역(중립)'!A:A,A174,'MP내역(중립)'!B:B,"&lt;&gt;합계"))&lt;0.001),"O","X"))</f>
        <v/>
      </c>
      <c r="K174" s="15" t="str">
        <f>IF(A174="","",IF(COUNTIFS('MP내역(중립)'!A:A,A174,'MP내역(중립)'!H:H,"X")=0,"O","X"))</f>
        <v/>
      </c>
      <c r="L174" s="14"/>
    </row>
    <row r="175" spans="5:12" x14ac:dyDescent="0.3">
      <c r="E175" s="15"/>
      <c r="G175" s="15" t="str">
        <f>IF(A175="","",IFERROR(IF(#REF!&lt;VLOOKUP(A175,'포트변경내역(적극)'!A:C,10,0),"O","X"),""))</f>
        <v/>
      </c>
      <c r="H175" s="15" t="str">
        <f>IF(A175="","",COUNTIFS('MP내역(중립)'!$A:$A,A175)-COUNTIFS('MP내역(중립)'!$A:$A,A175,'MP내역(중립)'!$B:$B,"현금")-COUNTIFS('MP내역(중립)'!$A:$A,A175,'MP내역(중립)'!$B:$B,"예수금")-COUNTIFS('MP내역(중립)'!$A:$A,A175,'MP내역(중립)'!$B:$B,"예탁금")-COUNTIFS('MP내역(중립)'!$A:$A,A175,'MP내역(중립)'!$B:$B,"합계"))</f>
        <v/>
      </c>
      <c r="I175" s="15" t="str">
        <f>IF(A175="","",IF(COUNTIFS('MP내역(중립)'!A:A,A175,'MP내역(중립)'!G:G,"&gt;"&amp;#REF!,'MP내역(중립)'!D:D,"&lt;&gt;"&amp;#REF!,'MP내역(중립)'!D:D,"&lt;&gt;"&amp;#REF!,'MP내역(중립)'!B:B,"&lt;&gt;현금",'MP내역(중립)'!B:B,"&lt;&gt;합계")=0,"O","X"))</f>
        <v/>
      </c>
      <c r="J175" s="15" t="str">
        <f>IF(A175="","",IF(AND(ABS(#REF!-SUMIFS('MP내역(중립)'!G:G,'MP내역(중립)'!A:A,A175,'MP내역(중립)'!F:F,"Y"))&lt;0.001,ABS(#REF!-SUMIFS('MP내역(중립)'!G:G,'MP내역(중립)'!A:A,A175,'MP내역(중립)'!B:B,"&lt;&gt;합계"))&lt;0.001),"O","X"))</f>
        <v/>
      </c>
      <c r="K175" s="15" t="str">
        <f>IF(A175="","",IF(COUNTIFS('MP내역(중립)'!A:A,A175,'MP내역(중립)'!H:H,"X")=0,"O","X"))</f>
        <v/>
      </c>
      <c r="L175" s="14"/>
    </row>
    <row r="176" spans="5:12" x14ac:dyDescent="0.3">
      <c r="E176" s="15"/>
      <c r="G176" s="15" t="str">
        <f>IF(A176="","",IFERROR(IF(#REF!&lt;VLOOKUP(A176,'포트변경내역(적극)'!A:C,10,0),"O","X"),""))</f>
        <v/>
      </c>
      <c r="H176" s="15" t="str">
        <f>IF(A176="","",COUNTIFS('MP내역(중립)'!$A:$A,A176)-COUNTIFS('MP내역(중립)'!$A:$A,A176,'MP내역(중립)'!$B:$B,"현금")-COUNTIFS('MP내역(중립)'!$A:$A,A176,'MP내역(중립)'!$B:$B,"예수금")-COUNTIFS('MP내역(중립)'!$A:$A,A176,'MP내역(중립)'!$B:$B,"예탁금")-COUNTIFS('MP내역(중립)'!$A:$A,A176,'MP내역(중립)'!$B:$B,"합계"))</f>
        <v/>
      </c>
      <c r="I176" s="15" t="str">
        <f>IF(A176="","",IF(COUNTIFS('MP내역(중립)'!A:A,A176,'MP내역(중립)'!G:G,"&gt;"&amp;#REF!,'MP내역(중립)'!D:D,"&lt;&gt;"&amp;#REF!,'MP내역(중립)'!D:D,"&lt;&gt;"&amp;#REF!,'MP내역(중립)'!B:B,"&lt;&gt;현금",'MP내역(중립)'!B:B,"&lt;&gt;합계")=0,"O","X"))</f>
        <v/>
      </c>
      <c r="J176" s="15" t="str">
        <f>IF(A176="","",IF(AND(ABS(#REF!-SUMIFS('MP내역(중립)'!G:G,'MP내역(중립)'!A:A,A176,'MP내역(중립)'!F:F,"Y"))&lt;0.001,ABS(#REF!-SUMIFS('MP내역(중립)'!G:G,'MP내역(중립)'!A:A,A176,'MP내역(중립)'!B:B,"&lt;&gt;합계"))&lt;0.001),"O","X"))</f>
        <v/>
      </c>
      <c r="K176" s="15" t="str">
        <f>IF(A176="","",IF(COUNTIFS('MP내역(중립)'!A:A,A176,'MP내역(중립)'!H:H,"X")=0,"O","X"))</f>
        <v/>
      </c>
      <c r="L176" s="14"/>
    </row>
    <row r="177" spans="5:12" x14ac:dyDescent="0.3">
      <c r="E177" s="15"/>
      <c r="G177" s="15" t="str">
        <f>IF(A177="","",IFERROR(IF(#REF!&lt;VLOOKUP(A177,'포트변경내역(적극)'!A:C,10,0),"O","X"),""))</f>
        <v/>
      </c>
      <c r="H177" s="15" t="str">
        <f>IF(A177="","",COUNTIFS('MP내역(중립)'!$A:$A,A177)-COUNTIFS('MP내역(중립)'!$A:$A,A177,'MP내역(중립)'!$B:$B,"현금")-COUNTIFS('MP내역(중립)'!$A:$A,A177,'MP내역(중립)'!$B:$B,"예수금")-COUNTIFS('MP내역(중립)'!$A:$A,A177,'MP내역(중립)'!$B:$B,"예탁금")-COUNTIFS('MP내역(중립)'!$A:$A,A177,'MP내역(중립)'!$B:$B,"합계"))</f>
        <v/>
      </c>
      <c r="I177" s="15" t="str">
        <f>IF(A177="","",IF(COUNTIFS('MP내역(중립)'!A:A,A177,'MP내역(중립)'!G:G,"&gt;"&amp;#REF!,'MP내역(중립)'!D:D,"&lt;&gt;"&amp;#REF!,'MP내역(중립)'!D:D,"&lt;&gt;"&amp;#REF!,'MP내역(중립)'!B:B,"&lt;&gt;현금",'MP내역(중립)'!B:B,"&lt;&gt;합계")=0,"O","X"))</f>
        <v/>
      </c>
      <c r="J177" s="15" t="str">
        <f>IF(A177="","",IF(AND(ABS(#REF!-SUMIFS('MP내역(중립)'!G:G,'MP내역(중립)'!A:A,A177,'MP내역(중립)'!F:F,"Y"))&lt;0.001,ABS(#REF!-SUMIFS('MP내역(중립)'!G:G,'MP내역(중립)'!A:A,A177,'MP내역(중립)'!B:B,"&lt;&gt;합계"))&lt;0.001),"O","X"))</f>
        <v/>
      </c>
      <c r="K177" s="15" t="str">
        <f>IF(A177="","",IF(COUNTIFS('MP내역(중립)'!A:A,A177,'MP내역(중립)'!H:H,"X")=0,"O","X"))</f>
        <v/>
      </c>
      <c r="L177" s="14"/>
    </row>
    <row r="178" spans="5:12" x14ac:dyDescent="0.3">
      <c r="E178" s="15"/>
      <c r="G178" s="15" t="str">
        <f>IF(A178="","",IFERROR(IF(#REF!&lt;VLOOKUP(A178,'포트변경내역(적극)'!A:C,10,0),"O","X"),""))</f>
        <v/>
      </c>
      <c r="H178" s="15" t="str">
        <f>IF(A178="","",COUNTIFS('MP내역(중립)'!$A:$A,A178)-COUNTIFS('MP내역(중립)'!$A:$A,A178,'MP내역(중립)'!$B:$B,"현금")-COUNTIFS('MP내역(중립)'!$A:$A,A178,'MP내역(중립)'!$B:$B,"예수금")-COUNTIFS('MP내역(중립)'!$A:$A,A178,'MP내역(중립)'!$B:$B,"예탁금")-COUNTIFS('MP내역(중립)'!$A:$A,A178,'MP내역(중립)'!$B:$B,"합계"))</f>
        <v/>
      </c>
      <c r="I178" s="15" t="str">
        <f>IF(A178="","",IF(COUNTIFS('MP내역(중립)'!A:A,A178,'MP내역(중립)'!G:G,"&gt;"&amp;#REF!,'MP내역(중립)'!D:D,"&lt;&gt;"&amp;#REF!,'MP내역(중립)'!D:D,"&lt;&gt;"&amp;#REF!,'MP내역(중립)'!B:B,"&lt;&gt;현금",'MP내역(중립)'!B:B,"&lt;&gt;합계")=0,"O","X"))</f>
        <v/>
      </c>
      <c r="J178" s="15" t="str">
        <f>IF(A178="","",IF(AND(ABS(#REF!-SUMIFS('MP내역(중립)'!G:G,'MP내역(중립)'!A:A,A178,'MP내역(중립)'!F:F,"Y"))&lt;0.001,ABS(#REF!-SUMIFS('MP내역(중립)'!G:G,'MP내역(중립)'!A:A,A178,'MP내역(중립)'!B:B,"&lt;&gt;합계"))&lt;0.001),"O","X"))</f>
        <v/>
      </c>
      <c r="K178" s="15" t="str">
        <f>IF(A178="","",IF(COUNTIFS('MP내역(중립)'!A:A,A178,'MP내역(중립)'!H:H,"X")=0,"O","X"))</f>
        <v/>
      </c>
      <c r="L178" s="14"/>
    </row>
    <row r="179" spans="5:12" x14ac:dyDescent="0.3">
      <c r="E179" s="15"/>
      <c r="G179" s="15" t="str">
        <f>IF(A179="","",IFERROR(IF(#REF!&lt;VLOOKUP(A179,'포트변경내역(적극)'!A:C,10,0),"O","X"),""))</f>
        <v/>
      </c>
      <c r="H179" s="15" t="str">
        <f>IF(A179="","",COUNTIFS('MP내역(중립)'!$A:$A,A179)-COUNTIFS('MP내역(중립)'!$A:$A,A179,'MP내역(중립)'!$B:$B,"현금")-COUNTIFS('MP내역(중립)'!$A:$A,A179,'MP내역(중립)'!$B:$B,"예수금")-COUNTIFS('MP내역(중립)'!$A:$A,A179,'MP내역(중립)'!$B:$B,"예탁금")-COUNTIFS('MP내역(중립)'!$A:$A,A179,'MP내역(중립)'!$B:$B,"합계"))</f>
        <v/>
      </c>
      <c r="I179" s="15" t="str">
        <f>IF(A179="","",IF(COUNTIFS('MP내역(중립)'!A:A,A179,'MP내역(중립)'!G:G,"&gt;"&amp;#REF!,'MP내역(중립)'!D:D,"&lt;&gt;"&amp;#REF!,'MP내역(중립)'!D:D,"&lt;&gt;"&amp;#REF!,'MP내역(중립)'!B:B,"&lt;&gt;현금",'MP내역(중립)'!B:B,"&lt;&gt;합계")=0,"O","X"))</f>
        <v/>
      </c>
      <c r="J179" s="15" t="str">
        <f>IF(A179="","",IF(AND(ABS(#REF!-SUMIFS('MP내역(중립)'!G:G,'MP내역(중립)'!A:A,A179,'MP내역(중립)'!F:F,"Y"))&lt;0.001,ABS(#REF!-SUMIFS('MP내역(중립)'!G:G,'MP내역(중립)'!A:A,A179,'MP내역(중립)'!B:B,"&lt;&gt;합계"))&lt;0.001),"O","X"))</f>
        <v/>
      </c>
      <c r="K179" s="15" t="str">
        <f>IF(A179="","",IF(COUNTIFS('MP내역(중립)'!A:A,A179,'MP내역(중립)'!H:H,"X")=0,"O","X"))</f>
        <v/>
      </c>
      <c r="L179" s="14"/>
    </row>
    <row r="180" spans="5:12" x14ac:dyDescent="0.3">
      <c r="E180" s="15"/>
      <c r="G180" s="15" t="str">
        <f>IF(A180="","",IFERROR(IF(#REF!&lt;VLOOKUP(A180,'포트변경내역(적극)'!A:C,10,0),"O","X"),""))</f>
        <v/>
      </c>
      <c r="H180" s="15" t="str">
        <f>IF(A180="","",COUNTIFS('MP내역(중립)'!$A:$A,A180)-COUNTIFS('MP내역(중립)'!$A:$A,A180,'MP내역(중립)'!$B:$B,"현금")-COUNTIFS('MP내역(중립)'!$A:$A,A180,'MP내역(중립)'!$B:$B,"예수금")-COUNTIFS('MP내역(중립)'!$A:$A,A180,'MP내역(중립)'!$B:$B,"예탁금")-COUNTIFS('MP내역(중립)'!$A:$A,A180,'MP내역(중립)'!$B:$B,"합계"))</f>
        <v/>
      </c>
      <c r="I180" s="15" t="str">
        <f>IF(A180="","",IF(COUNTIFS('MP내역(중립)'!A:A,A180,'MP내역(중립)'!G:G,"&gt;"&amp;#REF!,'MP내역(중립)'!D:D,"&lt;&gt;"&amp;#REF!,'MP내역(중립)'!D:D,"&lt;&gt;"&amp;#REF!,'MP내역(중립)'!B:B,"&lt;&gt;현금",'MP내역(중립)'!B:B,"&lt;&gt;합계")=0,"O","X"))</f>
        <v/>
      </c>
      <c r="J180" s="15" t="str">
        <f>IF(A180="","",IF(AND(ABS(#REF!-SUMIFS('MP내역(중립)'!G:G,'MP내역(중립)'!A:A,A180,'MP내역(중립)'!F:F,"Y"))&lt;0.001,ABS(#REF!-SUMIFS('MP내역(중립)'!G:G,'MP내역(중립)'!A:A,A180,'MP내역(중립)'!B:B,"&lt;&gt;합계"))&lt;0.001),"O","X"))</f>
        <v/>
      </c>
      <c r="K180" s="15" t="str">
        <f>IF(A180="","",IF(COUNTIFS('MP내역(중립)'!A:A,A180,'MP내역(중립)'!H:H,"X")=0,"O","X"))</f>
        <v/>
      </c>
      <c r="L180" s="14"/>
    </row>
    <row r="181" spans="5:12" x14ac:dyDescent="0.3">
      <c r="E181" s="15"/>
      <c r="G181" s="15" t="str">
        <f>IF(A181="","",IFERROR(IF(#REF!&lt;VLOOKUP(A181,'포트변경내역(적극)'!A:C,10,0),"O","X"),""))</f>
        <v/>
      </c>
      <c r="H181" s="15" t="str">
        <f>IF(A181="","",COUNTIFS('MP내역(중립)'!$A:$A,A181)-COUNTIFS('MP내역(중립)'!$A:$A,A181,'MP내역(중립)'!$B:$B,"현금")-COUNTIFS('MP내역(중립)'!$A:$A,A181,'MP내역(중립)'!$B:$B,"예수금")-COUNTIFS('MP내역(중립)'!$A:$A,A181,'MP내역(중립)'!$B:$B,"예탁금")-COUNTIFS('MP내역(중립)'!$A:$A,A181,'MP내역(중립)'!$B:$B,"합계"))</f>
        <v/>
      </c>
      <c r="I181" s="15" t="str">
        <f>IF(A181="","",IF(COUNTIFS('MP내역(중립)'!A:A,A181,'MP내역(중립)'!G:G,"&gt;"&amp;#REF!,'MP내역(중립)'!D:D,"&lt;&gt;"&amp;#REF!,'MP내역(중립)'!D:D,"&lt;&gt;"&amp;#REF!,'MP내역(중립)'!B:B,"&lt;&gt;현금",'MP내역(중립)'!B:B,"&lt;&gt;합계")=0,"O","X"))</f>
        <v/>
      </c>
      <c r="J181" s="15" t="str">
        <f>IF(A181="","",IF(AND(ABS(#REF!-SUMIFS('MP내역(중립)'!G:G,'MP내역(중립)'!A:A,A181,'MP내역(중립)'!F:F,"Y"))&lt;0.001,ABS(#REF!-SUMIFS('MP내역(중립)'!G:G,'MP내역(중립)'!A:A,A181,'MP내역(중립)'!B:B,"&lt;&gt;합계"))&lt;0.001),"O","X"))</f>
        <v/>
      </c>
      <c r="K181" s="15" t="str">
        <f>IF(A181="","",IF(COUNTIFS('MP내역(중립)'!A:A,A181,'MP내역(중립)'!H:H,"X")=0,"O","X"))</f>
        <v/>
      </c>
      <c r="L181" s="14"/>
    </row>
    <row r="182" spans="5:12" x14ac:dyDescent="0.3">
      <c r="E182" s="15"/>
      <c r="G182" s="15" t="str">
        <f>IF(A182="","",IFERROR(IF(#REF!&lt;VLOOKUP(A182,'포트변경내역(적극)'!A:C,10,0),"O","X"),""))</f>
        <v/>
      </c>
      <c r="H182" s="15" t="str">
        <f>IF(A182="","",COUNTIFS('MP내역(중립)'!$A:$A,A182)-COUNTIFS('MP내역(중립)'!$A:$A,A182,'MP내역(중립)'!$B:$B,"현금")-COUNTIFS('MP내역(중립)'!$A:$A,A182,'MP내역(중립)'!$B:$B,"예수금")-COUNTIFS('MP내역(중립)'!$A:$A,A182,'MP내역(중립)'!$B:$B,"예탁금")-COUNTIFS('MP내역(중립)'!$A:$A,A182,'MP내역(중립)'!$B:$B,"합계"))</f>
        <v/>
      </c>
      <c r="I182" s="15" t="str">
        <f>IF(A182="","",IF(COUNTIFS('MP내역(중립)'!A:A,A182,'MP내역(중립)'!G:G,"&gt;"&amp;#REF!,'MP내역(중립)'!D:D,"&lt;&gt;"&amp;#REF!,'MP내역(중립)'!D:D,"&lt;&gt;"&amp;#REF!,'MP내역(중립)'!B:B,"&lt;&gt;현금",'MP내역(중립)'!B:B,"&lt;&gt;합계")=0,"O","X"))</f>
        <v/>
      </c>
      <c r="J182" s="15" t="str">
        <f>IF(A182="","",IF(AND(ABS(#REF!-SUMIFS('MP내역(중립)'!G:G,'MP내역(중립)'!A:A,A182,'MP내역(중립)'!F:F,"Y"))&lt;0.001,ABS(#REF!-SUMIFS('MP내역(중립)'!G:G,'MP내역(중립)'!A:A,A182,'MP내역(중립)'!B:B,"&lt;&gt;합계"))&lt;0.001),"O","X"))</f>
        <v/>
      </c>
      <c r="K182" s="15" t="str">
        <f>IF(A182="","",IF(COUNTIFS('MP내역(중립)'!A:A,A182,'MP내역(중립)'!H:H,"X")=0,"O","X"))</f>
        <v/>
      </c>
      <c r="L182" s="14"/>
    </row>
    <row r="183" spans="5:12" x14ac:dyDescent="0.3">
      <c r="E183" s="15"/>
      <c r="G183" s="15" t="str">
        <f>IF(A183="","",IFERROR(IF(#REF!&lt;VLOOKUP(A183,'포트변경내역(적극)'!A:C,10,0),"O","X"),""))</f>
        <v/>
      </c>
      <c r="H183" s="15" t="str">
        <f>IF(A183="","",COUNTIFS('MP내역(중립)'!$A:$A,A183)-COUNTIFS('MP내역(중립)'!$A:$A,A183,'MP내역(중립)'!$B:$B,"현금")-COUNTIFS('MP내역(중립)'!$A:$A,A183,'MP내역(중립)'!$B:$B,"예수금")-COUNTIFS('MP내역(중립)'!$A:$A,A183,'MP내역(중립)'!$B:$B,"예탁금")-COUNTIFS('MP내역(중립)'!$A:$A,A183,'MP내역(중립)'!$B:$B,"합계"))</f>
        <v/>
      </c>
      <c r="I183" s="15" t="str">
        <f>IF(A183="","",IF(COUNTIFS('MP내역(중립)'!A:A,A183,'MP내역(중립)'!G:G,"&gt;"&amp;#REF!,'MP내역(중립)'!D:D,"&lt;&gt;"&amp;#REF!,'MP내역(중립)'!D:D,"&lt;&gt;"&amp;#REF!,'MP내역(중립)'!B:B,"&lt;&gt;현금",'MP내역(중립)'!B:B,"&lt;&gt;합계")=0,"O","X"))</f>
        <v/>
      </c>
      <c r="J183" s="15" t="str">
        <f>IF(A183="","",IF(AND(ABS(#REF!-SUMIFS('MP내역(중립)'!G:G,'MP내역(중립)'!A:A,A183,'MP내역(중립)'!F:F,"Y"))&lt;0.001,ABS(#REF!-SUMIFS('MP내역(중립)'!G:G,'MP내역(중립)'!A:A,A183,'MP내역(중립)'!B:B,"&lt;&gt;합계"))&lt;0.001),"O","X"))</f>
        <v/>
      </c>
      <c r="K183" s="15" t="str">
        <f>IF(A183="","",IF(COUNTIFS('MP내역(중립)'!A:A,A183,'MP내역(중립)'!H:H,"X")=0,"O","X"))</f>
        <v/>
      </c>
      <c r="L183" s="14"/>
    </row>
    <row r="184" spans="5:12" x14ac:dyDescent="0.3">
      <c r="E184" s="15"/>
      <c r="G184" s="15" t="str">
        <f>IF(A184="","",IFERROR(IF(#REF!&lt;VLOOKUP(A184,'포트변경내역(적극)'!A:C,10,0),"O","X"),""))</f>
        <v/>
      </c>
      <c r="H184" s="15" t="str">
        <f>IF(A184="","",COUNTIFS('MP내역(중립)'!$A:$A,A184)-COUNTIFS('MP내역(중립)'!$A:$A,A184,'MP내역(중립)'!$B:$B,"현금")-COUNTIFS('MP내역(중립)'!$A:$A,A184,'MP내역(중립)'!$B:$B,"예수금")-COUNTIFS('MP내역(중립)'!$A:$A,A184,'MP내역(중립)'!$B:$B,"예탁금")-COUNTIFS('MP내역(중립)'!$A:$A,A184,'MP내역(중립)'!$B:$B,"합계"))</f>
        <v/>
      </c>
      <c r="I184" s="15" t="str">
        <f>IF(A184="","",IF(COUNTIFS('MP내역(중립)'!A:A,A184,'MP내역(중립)'!G:G,"&gt;"&amp;#REF!,'MP내역(중립)'!D:D,"&lt;&gt;"&amp;#REF!,'MP내역(중립)'!D:D,"&lt;&gt;"&amp;#REF!,'MP내역(중립)'!B:B,"&lt;&gt;현금",'MP내역(중립)'!B:B,"&lt;&gt;합계")=0,"O","X"))</f>
        <v/>
      </c>
      <c r="J184" s="15" t="str">
        <f>IF(A184="","",IF(AND(ABS(#REF!-SUMIFS('MP내역(중립)'!G:G,'MP내역(중립)'!A:A,A184,'MP내역(중립)'!F:F,"Y"))&lt;0.001,ABS(#REF!-SUMIFS('MP내역(중립)'!G:G,'MP내역(중립)'!A:A,A184,'MP내역(중립)'!B:B,"&lt;&gt;합계"))&lt;0.001),"O","X"))</f>
        <v/>
      </c>
      <c r="K184" s="15" t="str">
        <f>IF(A184="","",IF(COUNTIFS('MP내역(중립)'!A:A,A184,'MP내역(중립)'!H:H,"X")=0,"O","X"))</f>
        <v/>
      </c>
      <c r="L184" s="14"/>
    </row>
    <row r="185" spans="5:12" x14ac:dyDescent="0.3">
      <c r="E185" s="15"/>
      <c r="G185" s="15" t="str">
        <f>IF(A185="","",IFERROR(IF(#REF!&lt;VLOOKUP(A185,'포트변경내역(적극)'!A:C,10,0),"O","X"),""))</f>
        <v/>
      </c>
      <c r="H185" s="15" t="str">
        <f>IF(A185="","",COUNTIFS('MP내역(중립)'!$A:$A,A185)-COUNTIFS('MP내역(중립)'!$A:$A,A185,'MP내역(중립)'!$B:$B,"현금")-COUNTIFS('MP내역(중립)'!$A:$A,A185,'MP내역(중립)'!$B:$B,"예수금")-COUNTIFS('MP내역(중립)'!$A:$A,A185,'MP내역(중립)'!$B:$B,"예탁금")-COUNTIFS('MP내역(중립)'!$A:$A,A185,'MP내역(중립)'!$B:$B,"합계"))</f>
        <v/>
      </c>
      <c r="I185" s="15" t="str">
        <f>IF(A185="","",IF(COUNTIFS('MP내역(중립)'!A:A,A185,'MP내역(중립)'!G:G,"&gt;"&amp;#REF!,'MP내역(중립)'!D:D,"&lt;&gt;"&amp;#REF!,'MP내역(중립)'!D:D,"&lt;&gt;"&amp;#REF!,'MP내역(중립)'!B:B,"&lt;&gt;현금",'MP내역(중립)'!B:B,"&lt;&gt;합계")=0,"O","X"))</f>
        <v/>
      </c>
      <c r="J185" s="15" t="str">
        <f>IF(A185="","",IF(AND(ABS(#REF!-SUMIFS('MP내역(중립)'!G:G,'MP내역(중립)'!A:A,A185,'MP내역(중립)'!F:F,"Y"))&lt;0.001,ABS(#REF!-SUMIFS('MP내역(중립)'!G:G,'MP내역(중립)'!A:A,A185,'MP내역(중립)'!B:B,"&lt;&gt;합계"))&lt;0.001),"O","X"))</f>
        <v/>
      </c>
      <c r="K185" s="15" t="str">
        <f>IF(A185="","",IF(COUNTIFS('MP내역(중립)'!A:A,A185,'MP내역(중립)'!H:H,"X")=0,"O","X"))</f>
        <v/>
      </c>
      <c r="L185" s="14"/>
    </row>
    <row r="186" spans="5:12" x14ac:dyDescent="0.3">
      <c r="E186" s="15"/>
      <c r="G186" s="15" t="str">
        <f>IF(A186="","",IFERROR(IF(#REF!&lt;VLOOKUP(A186,'포트변경내역(적극)'!A:C,10,0),"O","X"),""))</f>
        <v/>
      </c>
      <c r="H186" s="15" t="str">
        <f>IF(A186="","",COUNTIFS('MP내역(중립)'!$A:$A,A186)-COUNTIFS('MP내역(중립)'!$A:$A,A186,'MP내역(중립)'!$B:$B,"현금")-COUNTIFS('MP내역(중립)'!$A:$A,A186,'MP내역(중립)'!$B:$B,"예수금")-COUNTIFS('MP내역(중립)'!$A:$A,A186,'MP내역(중립)'!$B:$B,"예탁금")-COUNTIFS('MP내역(중립)'!$A:$A,A186,'MP내역(중립)'!$B:$B,"합계"))</f>
        <v/>
      </c>
      <c r="I186" s="15" t="str">
        <f>IF(A186="","",IF(COUNTIFS('MP내역(중립)'!A:A,A186,'MP내역(중립)'!G:G,"&gt;"&amp;#REF!,'MP내역(중립)'!D:D,"&lt;&gt;"&amp;#REF!,'MP내역(중립)'!D:D,"&lt;&gt;"&amp;#REF!,'MP내역(중립)'!B:B,"&lt;&gt;현금",'MP내역(중립)'!B:B,"&lt;&gt;합계")=0,"O","X"))</f>
        <v/>
      </c>
      <c r="J186" s="15" t="str">
        <f>IF(A186="","",IF(AND(ABS(#REF!-SUMIFS('MP내역(중립)'!G:G,'MP내역(중립)'!A:A,A186,'MP내역(중립)'!F:F,"Y"))&lt;0.001,ABS(#REF!-SUMIFS('MP내역(중립)'!G:G,'MP내역(중립)'!A:A,A186,'MP내역(중립)'!B:B,"&lt;&gt;합계"))&lt;0.001),"O","X"))</f>
        <v/>
      </c>
      <c r="K186" s="15" t="str">
        <f>IF(A186="","",IF(COUNTIFS('MP내역(중립)'!A:A,A186,'MP내역(중립)'!H:H,"X")=0,"O","X"))</f>
        <v/>
      </c>
      <c r="L186" s="14"/>
    </row>
    <row r="187" spans="5:12" x14ac:dyDescent="0.3">
      <c r="E187" s="15"/>
      <c r="G187" s="15" t="str">
        <f>IF(A187="","",IFERROR(IF(#REF!&lt;VLOOKUP(A187,'포트변경내역(적극)'!A:C,10,0),"O","X"),""))</f>
        <v/>
      </c>
      <c r="H187" s="15" t="str">
        <f>IF(A187="","",COUNTIFS('MP내역(중립)'!$A:$A,A187)-COUNTIFS('MP내역(중립)'!$A:$A,A187,'MP내역(중립)'!$B:$B,"현금")-COUNTIFS('MP내역(중립)'!$A:$A,A187,'MP내역(중립)'!$B:$B,"예수금")-COUNTIFS('MP내역(중립)'!$A:$A,A187,'MP내역(중립)'!$B:$B,"예탁금")-COUNTIFS('MP내역(중립)'!$A:$A,A187,'MP내역(중립)'!$B:$B,"합계"))</f>
        <v/>
      </c>
      <c r="I187" s="15" t="str">
        <f>IF(A187="","",IF(COUNTIFS('MP내역(중립)'!A:A,A187,'MP내역(중립)'!G:G,"&gt;"&amp;#REF!,'MP내역(중립)'!D:D,"&lt;&gt;"&amp;#REF!,'MP내역(중립)'!D:D,"&lt;&gt;"&amp;#REF!,'MP내역(중립)'!B:B,"&lt;&gt;현금",'MP내역(중립)'!B:B,"&lt;&gt;합계")=0,"O","X"))</f>
        <v/>
      </c>
      <c r="J187" s="15" t="str">
        <f>IF(A187="","",IF(AND(ABS(#REF!-SUMIFS('MP내역(중립)'!G:G,'MP내역(중립)'!A:A,A187,'MP내역(중립)'!F:F,"Y"))&lt;0.001,ABS(#REF!-SUMIFS('MP내역(중립)'!G:G,'MP내역(중립)'!A:A,A187,'MP내역(중립)'!B:B,"&lt;&gt;합계"))&lt;0.001),"O","X"))</f>
        <v/>
      </c>
      <c r="K187" s="15" t="str">
        <f>IF(A187="","",IF(COUNTIFS('MP내역(중립)'!A:A,A187,'MP내역(중립)'!H:H,"X")=0,"O","X"))</f>
        <v/>
      </c>
      <c r="L187" s="14"/>
    </row>
    <row r="188" spans="5:12" x14ac:dyDescent="0.3">
      <c r="E188" s="15"/>
      <c r="G188" s="15" t="str">
        <f>IF(A188="","",IFERROR(IF(#REF!&lt;VLOOKUP(A188,'포트변경내역(적극)'!A:C,10,0),"O","X"),""))</f>
        <v/>
      </c>
      <c r="H188" s="15" t="str">
        <f>IF(A188="","",COUNTIFS('MP내역(중립)'!$A:$A,A188)-COUNTIFS('MP내역(중립)'!$A:$A,A188,'MP내역(중립)'!$B:$B,"현금")-COUNTIFS('MP내역(중립)'!$A:$A,A188,'MP내역(중립)'!$B:$B,"예수금")-COUNTIFS('MP내역(중립)'!$A:$A,A188,'MP내역(중립)'!$B:$B,"예탁금")-COUNTIFS('MP내역(중립)'!$A:$A,A188,'MP내역(중립)'!$B:$B,"합계"))</f>
        <v/>
      </c>
      <c r="I188" s="15" t="str">
        <f>IF(A188="","",IF(COUNTIFS('MP내역(중립)'!A:A,A188,'MP내역(중립)'!G:G,"&gt;"&amp;#REF!,'MP내역(중립)'!D:D,"&lt;&gt;"&amp;#REF!,'MP내역(중립)'!D:D,"&lt;&gt;"&amp;#REF!,'MP내역(중립)'!B:B,"&lt;&gt;현금",'MP내역(중립)'!B:B,"&lt;&gt;합계")=0,"O","X"))</f>
        <v/>
      </c>
      <c r="J188" s="15" t="str">
        <f>IF(A188="","",IF(AND(ABS(#REF!-SUMIFS('MP내역(중립)'!G:G,'MP내역(중립)'!A:A,A188,'MP내역(중립)'!F:F,"Y"))&lt;0.001,ABS(#REF!-SUMIFS('MP내역(중립)'!G:G,'MP내역(중립)'!A:A,A188,'MP내역(중립)'!B:B,"&lt;&gt;합계"))&lt;0.001),"O","X"))</f>
        <v/>
      </c>
      <c r="K188" s="15" t="str">
        <f>IF(A188="","",IF(COUNTIFS('MP내역(중립)'!A:A,A188,'MP내역(중립)'!H:H,"X")=0,"O","X"))</f>
        <v/>
      </c>
      <c r="L188" s="14"/>
    </row>
    <row r="189" spans="5:12" x14ac:dyDescent="0.3">
      <c r="E189" s="15"/>
      <c r="G189" s="15" t="str">
        <f>IF(A189="","",IFERROR(IF(#REF!&lt;VLOOKUP(A189,'포트변경내역(적극)'!A:C,10,0),"O","X"),""))</f>
        <v/>
      </c>
      <c r="H189" s="15" t="str">
        <f>IF(A189="","",COUNTIFS('MP내역(중립)'!$A:$A,A189)-COUNTIFS('MP내역(중립)'!$A:$A,A189,'MP내역(중립)'!$B:$B,"현금")-COUNTIFS('MP내역(중립)'!$A:$A,A189,'MP내역(중립)'!$B:$B,"예수금")-COUNTIFS('MP내역(중립)'!$A:$A,A189,'MP내역(중립)'!$B:$B,"예탁금")-COUNTIFS('MP내역(중립)'!$A:$A,A189,'MP내역(중립)'!$B:$B,"합계"))</f>
        <v/>
      </c>
      <c r="I189" s="15" t="str">
        <f>IF(A189="","",IF(COUNTIFS('MP내역(중립)'!A:A,A189,'MP내역(중립)'!G:G,"&gt;"&amp;#REF!,'MP내역(중립)'!D:D,"&lt;&gt;"&amp;#REF!,'MP내역(중립)'!D:D,"&lt;&gt;"&amp;#REF!,'MP내역(중립)'!B:B,"&lt;&gt;현금",'MP내역(중립)'!B:B,"&lt;&gt;합계")=0,"O","X"))</f>
        <v/>
      </c>
      <c r="J189" s="15" t="str">
        <f>IF(A189="","",IF(AND(ABS(#REF!-SUMIFS('MP내역(중립)'!G:G,'MP내역(중립)'!A:A,A189,'MP내역(중립)'!F:F,"Y"))&lt;0.001,ABS(#REF!-SUMIFS('MP내역(중립)'!G:G,'MP내역(중립)'!A:A,A189,'MP내역(중립)'!B:B,"&lt;&gt;합계"))&lt;0.001),"O","X"))</f>
        <v/>
      </c>
      <c r="K189" s="15" t="str">
        <f>IF(A189="","",IF(COUNTIFS('MP내역(중립)'!A:A,A189,'MP내역(중립)'!H:H,"X")=0,"O","X"))</f>
        <v/>
      </c>
      <c r="L189" s="14"/>
    </row>
    <row r="190" spans="5:12" x14ac:dyDescent="0.3">
      <c r="E190" s="15"/>
      <c r="G190" s="15" t="str">
        <f>IF(A190="","",IFERROR(IF(#REF!&lt;VLOOKUP(A190,'포트변경내역(적극)'!A:C,10,0),"O","X"),""))</f>
        <v/>
      </c>
      <c r="H190" s="15" t="str">
        <f>IF(A190="","",COUNTIFS('MP내역(중립)'!$A:$A,A190)-COUNTIFS('MP내역(중립)'!$A:$A,A190,'MP내역(중립)'!$B:$B,"현금")-COUNTIFS('MP내역(중립)'!$A:$A,A190,'MP내역(중립)'!$B:$B,"예수금")-COUNTIFS('MP내역(중립)'!$A:$A,A190,'MP내역(중립)'!$B:$B,"예탁금")-COUNTIFS('MP내역(중립)'!$A:$A,A190,'MP내역(중립)'!$B:$B,"합계"))</f>
        <v/>
      </c>
      <c r="I190" s="15" t="str">
        <f>IF(A190="","",IF(COUNTIFS('MP내역(중립)'!A:A,A190,'MP내역(중립)'!G:G,"&gt;"&amp;#REF!,'MP내역(중립)'!D:D,"&lt;&gt;"&amp;#REF!,'MP내역(중립)'!D:D,"&lt;&gt;"&amp;#REF!,'MP내역(중립)'!B:B,"&lt;&gt;현금",'MP내역(중립)'!B:B,"&lt;&gt;합계")=0,"O","X"))</f>
        <v/>
      </c>
      <c r="J190" s="15" t="str">
        <f>IF(A190="","",IF(AND(ABS(#REF!-SUMIFS('MP내역(중립)'!G:G,'MP내역(중립)'!A:A,A190,'MP내역(중립)'!F:F,"Y"))&lt;0.001,ABS(#REF!-SUMIFS('MP내역(중립)'!G:G,'MP내역(중립)'!A:A,A190,'MP내역(중립)'!B:B,"&lt;&gt;합계"))&lt;0.001),"O","X"))</f>
        <v/>
      </c>
      <c r="K190" s="15" t="str">
        <f>IF(A190="","",IF(COUNTIFS('MP내역(중립)'!A:A,A190,'MP내역(중립)'!H:H,"X")=0,"O","X"))</f>
        <v/>
      </c>
      <c r="L190" s="14"/>
    </row>
    <row r="191" spans="5:12" x14ac:dyDescent="0.3">
      <c r="E191" s="15"/>
      <c r="G191" s="15" t="str">
        <f>IF(A191="","",IFERROR(IF(#REF!&lt;VLOOKUP(A191,'포트변경내역(적극)'!A:C,10,0),"O","X"),""))</f>
        <v/>
      </c>
      <c r="H191" s="15" t="str">
        <f>IF(A191="","",COUNTIFS('MP내역(중립)'!$A:$A,A191)-COUNTIFS('MP내역(중립)'!$A:$A,A191,'MP내역(중립)'!$B:$B,"현금")-COUNTIFS('MP내역(중립)'!$A:$A,A191,'MP내역(중립)'!$B:$B,"예수금")-COUNTIFS('MP내역(중립)'!$A:$A,A191,'MP내역(중립)'!$B:$B,"예탁금")-COUNTIFS('MP내역(중립)'!$A:$A,A191,'MP내역(중립)'!$B:$B,"합계"))</f>
        <v/>
      </c>
      <c r="I191" s="15" t="str">
        <f>IF(A191="","",IF(COUNTIFS('MP내역(중립)'!A:A,A191,'MP내역(중립)'!G:G,"&gt;"&amp;#REF!,'MP내역(중립)'!D:D,"&lt;&gt;"&amp;#REF!,'MP내역(중립)'!D:D,"&lt;&gt;"&amp;#REF!,'MP내역(중립)'!B:B,"&lt;&gt;현금",'MP내역(중립)'!B:B,"&lt;&gt;합계")=0,"O","X"))</f>
        <v/>
      </c>
      <c r="J191" s="15" t="str">
        <f>IF(A191="","",IF(AND(ABS(#REF!-SUMIFS('MP내역(중립)'!G:G,'MP내역(중립)'!A:A,A191,'MP내역(중립)'!F:F,"Y"))&lt;0.001,ABS(#REF!-SUMIFS('MP내역(중립)'!G:G,'MP내역(중립)'!A:A,A191,'MP내역(중립)'!B:B,"&lt;&gt;합계"))&lt;0.001),"O","X"))</f>
        <v/>
      </c>
      <c r="K191" s="15" t="str">
        <f>IF(A191="","",IF(COUNTIFS('MP내역(중립)'!A:A,A191,'MP내역(중립)'!H:H,"X")=0,"O","X"))</f>
        <v/>
      </c>
      <c r="L191" s="14"/>
    </row>
    <row r="192" spans="5:12" x14ac:dyDescent="0.3">
      <c r="E192" s="15"/>
      <c r="G192" s="15" t="str">
        <f>IF(A192="","",IFERROR(IF(#REF!&lt;VLOOKUP(A192,'포트변경내역(적극)'!A:C,10,0),"O","X"),""))</f>
        <v/>
      </c>
      <c r="H192" s="15" t="str">
        <f>IF(A192="","",COUNTIFS('MP내역(중립)'!$A:$A,A192)-COUNTIFS('MP내역(중립)'!$A:$A,A192,'MP내역(중립)'!$B:$B,"현금")-COUNTIFS('MP내역(중립)'!$A:$A,A192,'MP내역(중립)'!$B:$B,"예수금")-COUNTIFS('MP내역(중립)'!$A:$A,A192,'MP내역(중립)'!$B:$B,"예탁금")-COUNTIFS('MP내역(중립)'!$A:$A,A192,'MP내역(중립)'!$B:$B,"합계"))</f>
        <v/>
      </c>
      <c r="I192" s="15" t="str">
        <f>IF(A192="","",IF(COUNTIFS('MP내역(중립)'!A:A,A192,'MP내역(중립)'!G:G,"&gt;"&amp;#REF!,'MP내역(중립)'!D:D,"&lt;&gt;"&amp;#REF!,'MP내역(중립)'!D:D,"&lt;&gt;"&amp;#REF!,'MP내역(중립)'!B:B,"&lt;&gt;현금",'MP내역(중립)'!B:B,"&lt;&gt;합계")=0,"O","X"))</f>
        <v/>
      </c>
      <c r="J192" s="15" t="str">
        <f>IF(A192="","",IF(AND(ABS(#REF!-SUMIFS('MP내역(중립)'!G:G,'MP내역(중립)'!A:A,A192,'MP내역(중립)'!F:F,"Y"))&lt;0.001,ABS(#REF!-SUMIFS('MP내역(중립)'!G:G,'MP내역(중립)'!A:A,A192,'MP내역(중립)'!B:B,"&lt;&gt;합계"))&lt;0.001),"O","X"))</f>
        <v/>
      </c>
      <c r="K192" s="15" t="str">
        <f>IF(A192="","",IF(COUNTIFS('MP내역(중립)'!A:A,A192,'MP내역(중립)'!H:H,"X")=0,"O","X"))</f>
        <v/>
      </c>
      <c r="L192" s="14"/>
    </row>
    <row r="193" spans="5:12" x14ac:dyDescent="0.3">
      <c r="E193" s="15"/>
      <c r="G193" s="15" t="str">
        <f>IF(A193="","",IFERROR(IF(#REF!&lt;VLOOKUP(A193,'포트변경내역(적극)'!A:C,10,0),"O","X"),""))</f>
        <v/>
      </c>
      <c r="H193" s="15" t="str">
        <f>IF(A193="","",COUNTIFS('MP내역(중립)'!$A:$A,A193)-COUNTIFS('MP내역(중립)'!$A:$A,A193,'MP내역(중립)'!$B:$B,"현금")-COUNTIFS('MP내역(중립)'!$A:$A,A193,'MP내역(중립)'!$B:$B,"예수금")-COUNTIFS('MP내역(중립)'!$A:$A,A193,'MP내역(중립)'!$B:$B,"예탁금")-COUNTIFS('MP내역(중립)'!$A:$A,A193,'MP내역(중립)'!$B:$B,"합계"))</f>
        <v/>
      </c>
      <c r="I193" s="15" t="str">
        <f>IF(A193="","",IF(COUNTIFS('MP내역(중립)'!A:A,A193,'MP내역(중립)'!G:G,"&gt;"&amp;#REF!,'MP내역(중립)'!D:D,"&lt;&gt;"&amp;#REF!,'MP내역(중립)'!D:D,"&lt;&gt;"&amp;#REF!,'MP내역(중립)'!B:B,"&lt;&gt;현금",'MP내역(중립)'!B:B,"&lt;&gt;합계")=0,"O","X"))</f>
        <v/>
      </c>
      <c r="J193" s="15" t="str">
        <f>IF(A193="","",IF(AND(ABS(#REF!-SUMIFS('MP내역(중립)'!G:G,'MP내역(중립)'!A:A,A193,'MP내역(중립)'!F:F,"Y"))&lt;0.001,ABS(#REF!-SUMIFS('MP내역(중립)'!G:G,'MP내역(중립)'!A:A,A193,'MP내역(중립)'!B:B,"&lt;&gt;합계"))&lt;0.001),"O","X"))</f>
        <v/>
      </c>
      <c r="K193" s="15" t="str">
        <f>IF(A193="","",IF(COUNTIFS('MP내역(중립)'!A:A,A193,'MP내역(중립)'!H:H,"X")=0,"O","X"))</f>
        <v/>
      </c>
      <c r="L193" s="14"/>
    </row>
    <row r="194" spans="5:12" x14ac:dyDescent="0.3">
      <c r="E194" s="15"/>
      <c r="G194" s="15" t="str">
        <f>IF(A194="","",IFERROR(IF(#REF!&lt;VLOOKUP(A194,'포트변경내역(적극)'!A:C,10,0),"O","X"),""))</f>
        <v/>
      </c>
      <c r="H194" s="15" t="str">
        <f>IF(A194="","",COUNTIFS('MP내역(중립)'!$A:$A,A194)-COUNTIFS('MP내역(중립)'!$A:$A,A194,'MP내역(중립)'!$B:$B,"현금")-COUNTIFS('MP내역(중립)'!$A:$A,A194,'MP내역(중립)'!$B:$B,"예수금")-COUNTIFS('MP내역(중립)'!$A:$A,A194,'MP내역(중립)'!$B:$B,"예탁금")-COUNTIFS('MP내역(중립)'!$A:$A,A194,'MP내역(중립)'!$B:$B,"합계"))</f>
        <v/>
      </c>
      <c r="I194" s="15" t="str">
        <f>IF(A194="","",IF(COUNTIFS('MP내역(중립)'!A:A,A194,'MP내역(중립)'!G:G,"&gt;"&amp;#REF!,'MP내역(중립)'!D:D,"&lt;&gt;"&amp;#REF!,'MP내역(중립)'!D:D,"&lt;&gt;"&amp;#REF!,'MP내역(중립)'!B:B,"&lt;&gt;현금",'MP내역(중립)'!B:B,"&lt;&gt;합계")=0,"O","X"))</f>
        <v/>
      </c>
      <c r="J194" s="15" t="str">
        <f>IF(A194="","",IF(AND(ABS(#REF!-SUMIFS('MP내역(중립)'!G:G,'MP내역(중립)'!A:A,A194,'MP내역(중립)'!F:F,"Y"))&lt;0.001,ABS(#REF!-SUMIFS('MP내역(중립)'!G:G,'MP내역(중립)'!A:A,A194,'MP내역(중립)'!B:B,"&lt;&gt;합계"))&lt;0.001),"O","X"))</f>
        <v/>
      </c>
      <c r="K194" s="15" t="str">
        <f>IF(A194="","",IF(COUNTIFS('MP내역(중립)'!A:A,A194,'MP내역(중립)'!H:H,"X")=0,"O","X"))</f>
        <v/>
      </c>
      <c r="L194" s="14"/>
    </row>
    <row r="195" spans="5:12" x14ac:dyDescent="0.3">
      <c r="E195" s="15"/>
      <c r="G195" s="15" t="str">
        <f>IF(A195="","",IFERROR(IF(#REF!&lt;VLOOKUP(A195,'포트변경내역(적극)'!A:C,10,0),"O","X"),""))</f>
        <v/>
      </c>
      <c r="H195" s="15" t="str">
        <f>IF(A195="","",COUNTIFS('MP내역(중립)'!$A:$A,A195)-COUNTIFS('MP내역(중립)'!$A:$A,A195,'MP내역(중립)'!$B:$B,"현금")-COUNTIFS('MP내역(중립)'!$A:$A,A195,'MP내역(중립)'!$B:$B,"예수금")-COUNTIFS('MP내역(중립)'!$A:$A,A195,'MP내역(중립)'!$B:$B,"예탁금")-COUNTIFS('MP내역(중립)'!$A:$A,A195,'MP내역(중립)'!$B:$B,"합계"))</f>
        <v/>
      </c>
      <c r="I195" s="15" t="str">
        <f>IF(A195="","",IF(COUNTIFS('MP내역(중립)'!A:A,A195,'MP내역(중립)'!G:G,"&gt;"&amp;#REF!,'MP내역(중립)'!D:D,"&lt;&gt;"&amp;#REF!,'MP내역(중립)'!D:D,"&lt;&gt;"&amp;#REF!,'MP내역(중립)'!B:B,"&lt;&gt;현금",'MP내역(중립)'!B:B,"&lt;&gt;합계")=0,"O","X"))</f>
        <v/>
      </c>
      <c r="J195" s="15" t="str">
        <f>IF(A195="","",IF(AND(ABS(#REF!-SUMIFS('MP내역(중립)'!G:G,'MP내역(중립)'!A:A,A195,'MP내역(중립)'!F:F,"Y"))&lt;0.001,ABS(#REF!-SUMIFS('MP내역(중립)'!G:G,'MP내역(중립)'!A:A,A195,'MP내역(중립)'!B:B,"&lt;&gt;합계"))&lt;0.001),"O","X"))</f>
        <v/>
      </c>
      <c r="K195" s="15" t="str">
        <f>IF(A195="","",IF(COUNTIFS('MP내역(중립)'!A:A,A195,'MP내역(중립)'!H:H,"X")=0,"O","X"))</f>
        <v/>
      </c>
      <c r="L195" s="14"/>
    </row>
    <row r="196" spans="5:12" x14ac:dyDescent="0.3">
      <c r="E196" s="15"/>
      <c r="G196" s="15" t="str">
        <f>IF(A196="","",IFERROR(IF(#REF!&lt;VLOOKUP(A196,'포트변경내역(적극)'!A:C,10,0),"O","X"),""))</f>
        <v/>
      </c>
      <c r="H196" s="15" t="str">
        <f>IF(A196="","",COUNTIFS('MP내역(중립)'!$A:$A,A196)-COUNTIFS('MP내역(중립)'!$A:$A,A196,'MP내역(중립)'!$B:$B,"현금")-COUNTIFS('MP내역(중립)'!$A:$A,A196,'MP내역(중립)'!$B:$B,"예수금")-COUNTIFS('MP내역(중립)'!$A:$A,A196,'MP내역(중립)'!$B:$B,"예탁금")-COUNTIFS('MP내역(중립)'!$A:$A,A196,'MP내역(중립)'!$B:$B,"합계"))</f>
        <v/>
      </c>
      <c r="I196" s="15" t="str">
        <f>IF(A196="","",IF(COUNTIFS('MP내역(중립)'!A:A,A196,'MP내역(중립)'!G:G,"&gt;"&amp;#REF!,'MP내역(중립)'!D:D,"&lt;&gt;"&amp;#REF!,'MP내역(중립)'!D:D,"&lt;&gt;"&amp;#REF!,'MP내역(중립)'!B:B,"&lt;&gt;현금",'MP내역(중립)'!B:B,"&lt;&gt;합계")=0,"O","X"))</f>
        <v/>
      </c>
      <c r="J196" s="15" t="str">
        <f>IF(A196="","",IF(AND(ABS(#REF!-SUMIFS('MP내역(중립)'!G:G,'MP내역(중립)'!A:A,A196,'MP내역(중립)'!F:F,"Y"))&lt;0.001,ABS(#REF!-SUMIFS('MP내역(중립)'!G:G,'MP내역(중립)'!A:A,A196,'MP내역(중립)'!B:B,"&lt;&gt;합계"))&lt;0.001),"O","X"))</f>
        <v/>
      </c>
      <c r="K196" s="15" t="str">
        <f>IF(A196="","",IF(COUNTIFS('MP내역(중립)'!A:A,A196,'MP내역(중립)'!H:H,"X")=0,"O","X"))</f>
        <v/>
      </c>
      <c r="L196" s="14"/>
    </row>
    <row r="197" spans="5:12" x14ac:dyDescent="0.3">
      <c r="E197" s="15"/>
      <c r="G197" s="15" t="str">
        <f>IF(A197="","",IFERROR(IF(#REF!&lt;VLOOKUP(A197,'포트변경내역(적극)'!A:C,10,0),"O","X"),""))</f>
        <v/>
      </c>
      <c r="H197" s="15" t="str">
        <f>IF(A197="","",COUNTIFS('MP내역(중립)'!$A:$A,A197)-COUNTIFS('MP내역(중립)'!$A:$A,A197,'MP내역(중립)'!$B:$B,"현금")-COUNTIFS('MP내역(중립)'!$A:$A,A197,'MP내역(중립)'!$B:$B,"예수금")-COUNTIFS('MP내역(중립)'!$A:$A,A197,'MP내역(중립)'!$B:$B,"예탁금")-COUNTIFS('MP내역(중립)'!$A:$A,A197,'MP내역(중립)'!$B:$B,"합계"))</f>
        <v/>
      </c>
      <c r="I197" s="15" t="str">
        <f>IF(A197="","",IF(COUNTIFS('MP내역(중립)'!A:A,A197,'MP내역(중립)'!G:G,"&gt;"&amp;#REF!,'MP내역(중립)'!D:D,"&lt;&gt;"&amp;#REF!,'MP내역(중립)'!D:D,"&lt;&gt;"&amp;#REF!,'MP내역(중립)'!B:B,"&lt;&gt;현금",'MP내역(중립)'!B:B,"&lt;&gt;합계")=0,"O","X"))</f>
        <v/>
      </c>
      <c r="J197" s="15" t="str">
        <f>IF(A197="","",IF(AND(ABS(#REF!-SUMIFS('MP내역(중립)'!G:G,'MP내역(중립)'!A:A,A197,'MP내역(중립)'!F:F,"Y"))&lt;0.001,ABS(#REF!-SUMIFS('MP내역(중립)'!G:G,'MP내역(중립)'!A:A,A197,'MP내역(중립)'!B:B,"&lt;&gt;합계"))&lt;0.001),"O","X"))</f>
        <v/>
      </c>
      <c r="K197" s="15" t="str">
        <f>IF(A197="","",IF(COUNTIFS('MP내역(중립)'!A:A,A197,'MP내역(중립)'!H:H,"X")=0,"O","X"))</f>
        <v/>
      </c>
      <c r="L197" s="14"/>
    </row>
    <row r="198" spans="5:12" x14ac:dyDescent="0.3">
      <c r="E198" s="15"/>
      <c r="G198" s="15" t="str">
        <f>IF(A198="","",IFERROR(IF(#REF!&lt;VLOOKUP(A198,'포트변경내역(적극)'!A:C,10,0),"O","X"),""))</f>
        <v/>
      </c>
      <c r="H198" s="15" t="str">
        <f>IF(A198="","",COUNTIFS('MP내역(중립)'!$A:$A,A198)-COUNTIFS('MP내역(중립)'!$A:$A,A198,'MP내역(중립)'!$B:$B,"현금")-COUNTIFS('MP내역(중립)'!$A:$A,A198,'MP내역(중립)'!$B:$B,"예수금")-COUNTIFS('MP내역(중립)'!$A:$A,A198,'MP내역(중립)'!$B:$B,"예탁금")-COUNTIFS('MP내역(중립)'!$A:$A,A198,'MP내역(중립)'!$B:$B,"합계"))</f>
        <v/>
      </c>
      <c r="I198" s="15" t="str">
        <f>IF(A198="","",IF(COUNTIFS('MP내역(중립)'!A:A,A198,'MP내역(중립)'!G:G,"&gt;"&amp;#REF!,'MP내역(중립)'!D:D,"&lt;&gt;"&amp;#REF!,'MP내역(중립)'!D:D,"&lt;&gt;"&amp;#REF!,'MP내역(중립)'!B:B,"&lt;&gt;현금",'MP내역(중립)'!B:B,"&lt;&gt;합계")=0,"O","X"))</f>
        <v/>
      </c>
      <c r="J198" s="15" t="str">
        <f>IF(A198="","",IF(AND(ABS(#REF!-SUMIFS('MP내역(중립)'!G:G,'MP내역(중립)'!A:A,A198,'MP내역(중립)'!F:F,"Y"))&lt;0.001,ABS(#REF!-SUMIFS('MP내역(중립)'!G:G,'MP내역(중립)'!A:A,A198,'MP내역(중립)'!B:B,"&lt;&gt;합계"))&lt;0.001),"O","X"))</f>
        <v/>
      </c>
      <c r="K198" s="15" t="str">
        <f>IF(A198="","",IF(COUNTIFS('MP내역(중립)'!A:A,A198,'MP내역(중립)'!H:H,"X")=0,"O","X"))</f>
        <v/>
      </c>
      <c r="L198" s="14"/>
    </row>
    <row r="199" spans="5:12" x14ac:dyDescent="0.3">
      <c r="E199" s="15"/>
      <c r="G199" s="15" t="str">
        <f>IF(A199="","",IFERROR(IF(#REF!&lt;VLOOKUP(A199,'포트변경내역(적극)'!A:C,10,0),"O","X"),""))</f>
        <v/>
      </c>
      <c r="H199" s="15" t="str">
        <f>IF(A199="","",COUNTIFS('MP내역(중립)'!$A:$A,A199)-COUNTIFS('MP내역(중립)'!$A:$A,A199,'MP내역(중립)'!$B:$B,"현금")-COUNTIFS('MP내역(중립)'!$A:$A,A199,'MP내역(중립)'!$B:$B,"예수금")-COUNTIFS('MP내역(중립)'!$A:$A,A199,'MP내역(중립)'!$B:$B,"예탁금")-COUNTIFS('MP내역(중립)'!$A:$A,A199,'MP내역(중립)'!$B:$B,"합계"))</f>
        <v/>
      </c>
      <c r="I199" s="15" t="str">
        <f>IF(A199="","",IF(COUNTIFS('MP내역(중립)'!A:A,A199,'MP내역(중립)'!G:G,"&gt;"&amp;#REF!,'MP내역(중립)'!D:D,"&lt;&gt;"&amp;#REF!,'MP내역(중립)'!D:D,"&lt;&gt;"&amp;#REF!,'MP내역(중립)'!B:B,"&lt;&gt;현금",'MP내역(중립)'!B:B,"&lt;&gt;합계")=0,"O","X"))</f>
        <v/>
      </c>
      <c r="J199" s="15" t="str">
        <f>IF(A199="","",IF(AND(ABS(#REF!-SUMIFS('MP내역(중립)'!G:G,'MP내역(중립)'!A:A,A199,'MP내역(중립)'!F:F,"Y"))&lt;0.001,ABS(#REF!-SUMIFS('MP내역(중립)'!G:G,'MP내역(중립)'!A:A,A199,'MP내역(중립)'!B:B,"&lt;&gt;합계"))&lt;0.001),"O","X"))</f>
        <v/>
      </c>
      <c r="K199" s="15" t="str">
        <f>IF(A199="","",IF(COUNTIFS('MP내역(중립)'!A:A,A199,'MP내역(중립)'!H:H,"X")=0,"O","X"))</f>
        <v/>
      </c>
      <c r="L199" s="14"/>
    </row>
    <row r="200" spans="5:12" x14ac:dyDescent="0.3">
      <c r="E200" s="15"/>
      <c r="G200" s="15" t="str">
        <f>IF(A200="","",IFERROR(IF(#REF!&lt;VLOOKUP(A200,'포트변경내역(적극)'!A:C,10,0),"O","X"),""))</f>
        <v/>
      </c>
      <c r="H200" s="15" t="str">
        <f>IF(A200="","",COUNTIFS('MP내역(중립)'!$A:$A,A200)-COUNTIFS('MP내역(중립)'!$A:$A,A200,'MP내역(중립)'!$B:$B,"현금")-COUNTIFS('MP내역(중립)'!$A:$A,A200,'MP내역(중립)'!$B:$B,"예수금")-COUNTIFS('MP내역(중립)'!$A:$A,A200,'MP내역(중립)'!$B:$B,"예탁금")-COUNTIFS('MP내역(중립)'!$A:$A,A200,'MP내역(중립)'!$B:$B,"합계"))</f>
        <v/>
      </c>
      <c r="I200" s="15" t="str">
        <f>IF(A200="","",IF(COUNTIFS('MP내역(중립)'!A:A,A200,'MP내역(중립)'!G:G,"&gt;"&amp;#REF!,'MP내역(중립)'!D:D,"&lt;&gt;"&amp;#REF!,'MP내역(중립)'!D:D,"&lt;&gt;"&amp;#REF!,'MP내역(중립)'!B:B,"&lt;&gt;현금",'MP내역(중립)'!B:B,"&lt;&gt;합계")=0,"O","X"))</f>
        <v/>
      </c>
      <c r="J200" s="15" t="str">
        <f>IF(A200="","",IF(AND(ABS(#REF!-SUMIFS('MP내역(중립)'!G:G,'MP내역(중립)'!A:A,A200,'MP내역(중립)'!F:F,"Y"))&lt;0.001,ABS(#REF!-SUMIFS('MP내역(중립)'!G:G,'MP내역(중립)'!A:A,A200,'MP내역(중립)'!B:B,"&lt;&gt;합계"))&lt;0.001),"O","X"))</f>
        <v/>
      </c>
      <c r="K200" s="15" t="str">
        <f>IF(A200="","",IF(COUNTIFS('MP내역(중립)'!A:A,A200,'MP내역(중립)'!H:H,"X")=0,"O","X"))</f>
        <v/>
      </c>
      <c r="L200" s="14"/>
    </row>
    <row r="201" spans="5:12" x14ac:dyDescent="0.3">
      <c r="E201" s="15"/>
      <c r="G201" s="15" t="str">
        <f>IF(A201="","",IFERROR(IF(#REF!&lt;VLOOKUP(A201,'포트변경내역(적극)'!A:C,10,0),"O","X"),""))</f>
        <v/>
      </c>
      <c r="H201" s="15" t="str">
        <f>IF(A201="","",COUNTIFS('MP내역(중립)'!$A:$A,A201)-COUNTIFS('MP내역(중립)'!$A:$A,A201,'MP내역(중립)'!$B:$B,"현금")-COUNTIFS('MP내역(중립)'!$A:$A,A201,'MP내역(중립)'!$B:$B,"예수금")-COUNTIFS('MP내역(중립)'!$A:$A,A201,'MP내역(중립)'!$B:$B,"예탁금")-COUNTIFS('MP내역(중립)'!$A:$A,A201,'MP내역(중립)'!$B:$B,"합계"))</f>
        <v/>
      </c>
      <c r="I201" s="15" t="str">
        <f>IF(A201="","",IF(COUNTIFS('MP내역(중립)'!A:A,A201,'MP내역(중립)'!G:G,"&gt;"&amp;#REF!,'MP내역(중립)'!D:D,"&lt;&gt;"&amp;#REF!,'MP내역(중립)'!D:D,"&lt;&gt;"&amp;#REF!,'MP내역(중립)'!B:B,"&lt;&gt;현금",'MP내역(중립)'!B:B,"&lt;&gt;합계")=0,"O","X"))</f>
        <v/>
      </c>
      <c r="J201" s="15" t="str">
        <f>IF(A201="","",IF(AND(ABS(#REF!-SUMIFS('MP내역(중립)'!G:G,'MP내역(중립)'!A:A,A201,'MP내역(중립)'!F:F,"Y"))&lt;0.001,ABS(#REF!-SUMIFS('MP내역(중립)'!G:G,'MP내역(중립)'!A:A,A201,'MP내역(중립)'!B:B,"&lt;&gt;합계"))&lt;0.001),"O","X"))</f>
        <v/>
      </c>
      <c r="K201" s="15" t="str">
        <f>IF(A201="","",IF(COUNTIFS('MP내역(중립)'!A:A,A201,'MP내역(중립)'!H:H,"X")=0,"O","X"))</f>
        <v/>
      </c>
      <c r="L201" s="14"/>
    </row>
    <row r="202" spans="5:12" x14ac:dyDescent="0.3">
      <c r="E202" s="15"/>
      <c r="G202" s="15" t="str">
        <f>IF(A202="","",IFERROR(IF(#REF!&lt;VLOOKUP(A202,'포트변경내역(적극)'!A:C,10,0),"O","X"),""))</f>
        <v/>
      </c>
      <c r="H202" s="15" t="str">
        <f>IF(A202="","",COUNTIFS('MP내역(중립)'!$A:$A,A202)-COUNTIFS('MP내역(중립)'!$A:$A,A202,'MP내역(중립)'!$B:$B,"현금")-COUNTIFS('MP내역(중립)'!$A:$A,A202,'MP내역(중립)'!$B:$B,"예수금")-COUNTIFS('MP내역(중립)'!$A:$A,A202,'MP내역(중립)'!$B:$B,"예탁금")-COUNTIFS('MP내역(중립)'!$A:$A,A202,'MP내역(중립)'!$B:$B,"합계"))</f>
        <v/>
      </c>
      <c r="I202" s="15" t="str">
        <f>IF(A202="","",IF(COUNTIFS('MP내역(중립)'!A:A,A202,'MP내역(중립)'!G:G,"&gt;"&amp;#REF!,'MP내역(중립)'!D:D,"&lt;&gt;"&amp;#REF!,'MP내역(중립)'!D:D,"&lt;&gt;"&amp;#REF!,'MP내역(중립)'!B:B,"&lt;&gt;현금",'MP내역(중립)'!B:B,"&lt;&gt;합계")=0,"O","X"))</f>
        <v/>
      </c>
      <c r="J202" s="15" t="str">
        <f>IF(A202="","",IF(AND(ABS(#REF!-SUMIFS('MP내역(중립)'!G:G,'MP내역(중립)'!A:A,A202,'MP내역(중립)'!F:F,"Y"))&lt;0.001,ABS(#REF!-SUMIFS('MP내역(중립)'!G:G,'MP내역(중립)'!A:A,A202,'MP내역(중립)'!B:B,"&lt;&gt;합계"))&lt;0.001),"O","X"))</f>
        <v/>
      </c>
      <c r="K202" s="15" t="str">
        <f>IF(A202="","",IF(COUNTIFS('MP내역(중립)'!A:A,A202,'MP내역(중립)'!H:H,"X")=0,"O","X"))</f>
        <v/>
      </c>
      <c r="L202" s="14"/>
    </row>
    <row r="203" spans="5:12" x14ac:dyDescent="0.3">
      <c r="E203" s="15"/>
      <c r="G203" s="15" t="str">
        <f>IF(A203="","",IFERROR(IF(#REF!&lt;VLOOKUP(A203,'포트변경내역(적극)'!A:C,10,0),"O","X"),""))</f>
        <v/>
      </c>
      <c r="H203" s="15" t="str">
        <f>IF(A203="","",COUNTIFS('MP내역(중립)'!$A:$A,A203)-COUNTIFS('MP내역(중립)'!$A:$A,A203,'MP내역(중립)'!$B:$B,"현금")-COUNTIFS('MP내역(중립)'!$A:$A,A203,'MP내역(중립)'!$B:$B,"예수금")-COUNTIFS('MP내역(중립)'!$A:$A,A203,'MP내역(중립)'!$B:$B,"예탁금")-COUNTIFS('MP내역(중립)'!$A:$A,A203,'MP내역(중립)'!$B:$B,"합계"))</f>
        <v/>
      </c>
      <c r="I203" s="15" t="str">
        <f>IF(A203="","",IF(COUNTIFS('MP내역(중립)'!A:A,A203,'MP내역(중립)'!G:G,"&gt;"&amp;#REF!,'MP내역(중립)'!D:D,"&lt;&gt;"&amp;#REF!,'MP내역(중립)'!D:D,"&lt;&gt;"&amp;#REF!,'MP내역(중립)'!B:B,"&lt;&gt;현금",'MP내역(중립)'!B:B,"&lt;&gt;합계")=0,"O","X"))</f>
        <v/>
      </c>
      <c r="J203" s="15" t="str">
        <f>IF(A203="","",IF(AND(ABS(#REF!-SUMIFS('MP내역(중립)'!G:G,'MP내역(중립)'!A:A,A203,'MP내역(중립)'!F:F,"Y"))&lt;0.001,ABS(#REF!-SUMIFS('MP내역(중립)'!G:G,'MP내역(중립)'!A:A,A203,'MP내역(중립)'!B:B,"&lt;&gt;합계"))&lt;0.001),"O","X"))</f>
        <v/>
      </c>
      <c r="K203" s="15" t="str">
        <f>IF(A203="","",IF(COUNTIFS('MP내역(중립)'!A:A,A203,'MP내역(중립)'!H:H,"X")=0,"O","X"))</f>
        <v/>
      </c>
      <c r="L203" s="14"/>
    </row>
    <row r="204" spans="5:12" x14ac:dyDescent="0.3">
      <c r="E204" s="15"/>
      <c r="G204" s="15" t="str">
        <f>IF(A204="","",IFERROR(IF(#REF!&lt;VLOOKUP(A204,'포트변경내역(적극)'!A:C,10,0),"O","X"),""))</f>
        <v/>
      </c>
      <c r="H204" s="15" t="str">
        <f>IF(A204="","",COUNTIFS('MP내역(중립)'!$A:$A,A204)-COUNTIFS('MP내역(중립)'!$A:$A,A204,'MP내역(중립)'!$B:$B,"현금")-COUNTIFS('MP내역(중립)'!$A:$A,A204,'MP내역(중립)'!$B:$B,"예수금")-COUNTIFS('MP내역(중립)'!$A:$A,A204,'MP내역(중립)'!$B:$B,"예탁금")-COUNTIFS('MP내역(중립)'!$A:$A,A204,'MP내역(중립)'!$B:$B,"합계"))</f>
        <v/>
      </c>
      <c r="I204" s="15" t="str">
        <f>IF(A204="","",IF(COUNTIFS('MP내역(중립)'!A:A,A204,'MP내역(중립)'!G:G,"&gt;"&amp;#REF!,'MP내역(중립)'!D:D,"&lt;&gt;"&amp;#REF!,'MP내역(중립)'!D:D,"&lt;&gt;"&amp;#REF!,'MP내역(중립)'!B:B,"&lt;&gt;현금",'MP내역(중립)'!B:B,"&lt;&gt;합계")=0,"O","X"))</f>
        <v/>
      </c>
      <c r="J204" s="15" t="str">
        <f>IF(A204="","",IF(AND(ABS(#REF!-SUMIFS('MP내역(중립)'!G:G,'MP내역(중립)'!A:A,A204,'MP내역(중립)'!F:F,"Y"))&lt;0.001,ABS(#REF!-SUMIFS('MP내역(중립)'!G:G,'MP내역(중립)'!A:A,A204,'MP내역(중립)'!B:B,"&lt;&gt;합계"))&lt;0.001),"O","X"))</f>
        <v/>
      </c>
      <c r="K204" s="15" t="str">
        <f>IF(A204="","",IF(COUNTIFS('MP내역(중립)'!A:A,A204,'MP내역(중립)'!H:H,"X")=0,"O","X"))</f>
        <v/>
      </c>
      <c r="L204" s="14"/>
    </row>
    <row r="205" spans="5:12" x14ac:dyDescent="0.3">
      <c r="E205" s="15"/>
      <c r="G205" s="15" t="str">
        <f>IF(A205="","",IFERROR(IF(#REF!&lt;VLOOKUP(A205,'포트변경내역(적극)'!A:C,10,0),"O","X"),""))</f>
        <v/>
      </c>
      <c r="H205" s="15" t="str">
        <f>IF(A205="","",COUNTIFS('MP내역(중립)'!$A:$A,A205)-COUNTIFS('MP내역(중립)'!$A:$A,A205,'MP내역(중립)'!$B:$B,"현금")-COUNTIFS('MP내역(중립)'!$A:$A,A205,'MP내역(중립)'!$B:$B,"예수금")-COUNTIFS('MP내역(중립)'!$A:$A,A205,'MP내역(중립)'!$B:$B,"예탁금")-COUNTIFS('MP내역(중립)'!$A:$A,A205,'MP내역(중립)'!$B:$B,"합계"))</f>
        <v/>
      </c>
      <c r="I205" s="15" t="str">
        <f>IF(A205="","",IF(COUNTIFS('MP내역(중립)'!A:A,A205,'MP내역(중립)'!G:G,"&gt;"&amp;#REF!,'MP내역(중립)'!D:D,"&lt;&gt;"&amp;#REF!,'MP내역(중립)'!D:D,"&lt;&gt;"&amp;#REF!,'MP내역(중립)'!B:B,"&lt;&gt;현금",'MP내역(중립)'!B:B,"&lt;&gt;합계")=0,"O","X"))</f>
        <v/>
      </c>
      <c r="J205" s="15" t="str">
        <f>IF(A205="","",IF(AND(ABS(#REF!-SUMIFS('MP내역(중립)'!G:G,'MP내역(중립)'!A:A,A205,'MP내역(중립)'!F:F,"Y"))&lt;0.001,ABS(#REF!-SUMIFS('MP내역(중립)'!G:G,'MP내역(중립)'!A:A,A205,'MP내역(중립)'!B:B,"&lt;&gt;합계"))&lt;0.001),"O","X"))</f>
        <v/>
      </c>
      <c r="K205" s="15" t="str">
        <f>IF(A205="","",IF(COUNTIFS('MP내역(중립)'!A:A,A205,'MP내역(중립)'!H:H,"X")=0,"O","X"))</f>
        <v/>
      </c>
      <c r="L205" s="14"/>
    </row>
    <row r="206" spans="5:12" x14ac:dyDescent="0.3">
      <c r="E206" s="15"/>
      <c r="G206" s="15" t="str">
        <f>IF(A206="","",IFERROR(IF(#REF!&lt;VLOOKUP(A206,'포트변경내역(적극)'!A:C,10,0),"O","X"),""))</f>
        <v/>
      </c>
      <c r="H206" s="15" t="str">
        <f>IF(A206="","",COUNTIFS('MP내역(중립)'!$A:$A,A206)-COUNTIFS('MP내역(중립)'!$A:$A,A206,'MP내역(중립)'!$B:$B,"현금")-COUNTIFS('MP내역(중립)'!$A:$A,A206,'MP내역(중립)'!$B:$B,"예수금")-COUNTIFS('MP내역(중립)'!$A:$A,A206,'MP내역(중립)'!$B:$B,"예탁금")-COUNTIFS('MP내역(중립)'!$A:$A,A206,'MP내역(중립)'!$B:$B,"합계"))</f>
        <v/>
      </c>
      <c r="I206" s="15" t="str">
        <f>IF(A206="","",IF(COUNTIFS('MP내역(중립)'!A:A,A206,'MP내역(중립)'!G:G,"&gt;"&amp;#REF!,'MP내역(중립)'!D:D,"&lt;&gt;"&amp;#REF!,'MP내역(중립)'!D:D,"&lt;&gt;"&amp;#REF!,'MP내역(중립)'!B:B,"&lt;&gt;현금",'MP내역(중립)'!B:B,"&lt;&gt;합계")=0,"O","X"))</f>
        <v/>
      </c>
      <c r="J206" s="15" t="str">
        <f>IF(A206="","",IF(AND(ABS(#REF!-SUMIFS('MP내역(중립)'!G:G,'MP내역(중립)'!A:A,A206,'MP내역(중립)'!F:F,"Y"))&lt;0.001,ABS(#REF!-SUMIFS('MP내역(중립)'!G:G,'MP내역(중립)'!A:A,A206,'MP내역(중립)'!B:B,"&lt;&gt;합계"))&lt;0.001),"O","X"))</f>
        <v/>
      </c>
      <c r="K206" s="15" t="str">
        <f>IF(A206="","",IF(COUNTIFS('MP내역(중립)'!A:A,A206,'MP내역(중립)'!H:H,"X")=0,"O","X"))</f>
        <v/>
      </c>
      <c r="L206" s="14"/>
    </row>
    <row r="207" spans="5:12" x14ac:dyDescent="0.3">
      <c r="E207" s="15"/>
      <c r="G207" s="15" t="str">
        <f>IF(A207="","",IFERROR(IF(#REF!&lt;VLOOKUP(A207,'포트변경내역(적극)'!A:C,10,0),"O","X"),""))</f>
        <v/>
      </c>
      <c r="H207" s="15" t="str">
        <f>IF(A207="","",COUNTIFS('MP내역(중립)'!$A:$A,A207)-COUNTIFS('MP내역(중립)'!$A:$A,A207,'MP내역(중립)'!$B:$B,"현금")-COUNTIFS('MP내역(중립)'!$A:$A,A207,'MP내역(중립)'!$B:$B,"예수금")-COUNTIFS('MP내역(중립)'!$A:$A,A207,'MP내역(중립)'!$B:$B,"예탁금")-COUNTIFS('MP내역(중립)'!$A:$A,A207,'MP내역(중립)'!$B:$B,"합계"))</f>
        <v/>
      </c>
      <c r="I207" s="15" t="str">
        <f>IF(A207="","",IF(COUNTIFS('MP내역(중립)'!A:A,A207,'MP내역(중립)'!G:G,"&gt;"&amp;#REF!,'MP내역(중립)'!D:D,"&lt;&gt;"&amp;#REF!,'MP내역(중립)'!D:D,"&lt;&gt;"&amp;#REF!,'MP내역(중립)'!B:B,"&lt;&gt;현금",'MP내역(중립)'!B:B,"&lt;&gt;합계")=0,"O","X"))</f>
        <v/>
      </c>
      <c r="J207" s="15" t="str">
        <f>IF(A207="","",IF(AND(ABS(#REF!-SUMIFS('MP내역(중립)'!G:G,'MP내역(중립)'!A:A,A207,'MP내역(중립)'!F:F,"Y"))&lt;0.001,ABS(#REF!-SUMIFS('MP내역(중립)'!G:G,'MP내역(중립)'!A:A,A207,'MP내역(중립)'!B:B,"&lt;&gt;합계"))&lt;0.001),"O","X"))</f>
        <v/>
      </c>
      <c r="K207" s="15" t="str">
        <f>IF(A207="","",IF(COUNTIFS('MP내역(중립)'!A:A,A207,'MP내역(중립)'!H:H,"X")=0,"O","X"))</f>
        <v/>
      </c>
      <c r="L207" s="14"/>
    </row>
    <row r="208" spans="5:12" x14ac:dyDescent="0.3">
      <c r="E208" s="15"/>
      <c r="G208" s="15" t="str">
        <f>IF(A208="","",IFERROR(IF(#REF!&lt;VLOOKUP(A208,'포트변경내역(적극)'!A:C,10,0),"O","X"),""))</f>
        <v/>
      </c>
      <c r="H208" s="15" t="str">
        <f>IF(A208="","",COUNTIFS('MP내역(중립)'!$A:$A,A208)-COUNTIFS('MP내역(중립)'!$A:$A,A208,'MP내역(중립)'!$B:$B,"현금")-COUNTIFS('MP내역(중립)'!$A:$A,A208,'MP내역(중립)'!$B:$B,"예수금")-COUNTIFS('MP내역(중립)'!$A:$A,A208,'MP내역(중립)'!$B:$B,"예탁금")-COUNTIFS('MP내역(중립)'!$A:$A,A208,'MP내역(중립)'!$B:$B,"합계"))</f>
        <v/>
      </c>
      <c r="I208" s="15" t="str">
        <f>IF(A208="","",IF(COUNTIFS('MP내역(중립)'!A:A,A208,'MP내역(중립)'!G:G,"&gt;"&amp;#REF!,'MP내역(중립)'!D:D,"&lt;&gt;"&amp;#REF!,'MP내역(중립)'!D:D,"&lt;&gt;"&amp;#REF!,'MP내역(중립)'!B:B,"&lt;&gt;현금",'MP내역(중립)'!B:B,"&lt;&gt;합계")=0,"O","X"))</f>
        <v/>
      </c>
      <c r="J208" s="15" t="str">
        <f>IF(A208="","",IF(AND(ABS(#REF!-SUMIFS('MP내역(중립)'!G:G,'MP내역(중립)'!A:A,A208,'MP내역(중립)'!F:F,"Y"))&lt;0.001,ABS(#REF!-SUMIFS('MP내역(중립)'!G:G,'MP내역(중립)'!A:A,A208,'MP내역(중립)'!B:B,"&lt;&gt;합계"))&lt;0.001),"O","X"))</f>
        <v/>
      </c>
      <c r="K208" s="15" t="str">
        <f>IF(A208="","",IF(COUNTIFS('MP내역(중립)'!A:A,A208,'MP내역(중립)'!H:H,"X")=0,"O","X"))</f>
        <v/>
      </c>
      <c r="L208" s="14"/>
    </row>
    <row r="209" spans="5:12" x14ac:dyDescent="0.3">
      <c r="E209" s="15"/>
      <c r="G209" s="15" t="str">
        <f>IF(A209="","",IFERROR(IF(#REF!&lt;VLOOKUP(A209,'포트변경내역(적극)'!A:C,10,0),"O","X"),""))</f>
        <v/>
      </c>
      <c r="H209" s="15" t="str">
        <f>IF(A209="","",COUNTIFS('MP내역(중립)'!$A:$A,A209)-COUNTIFS('MP내역(중립)'!$A:$A,A209,'MP내역(중립)'!$B:$B,"현금")-COUNTIFS('MP내역(중립)'!$A:$A,A209,'MP내역(중립)'!$B:$B,"예수금")-COUNTIFS('MP내역(중립)'!$A:$A,A209,'MP내역(중립)'!$B:$B,"예탁금")-COUNTIFS('MP내역(중립)'!$A:$A,A209,'MP내역(중립)'!$B:$B,"합계"))</f>
        <v/>
      </c>
      <c r="I209" s="15" t="str">
        <f>IF(A209="","",IF(COUNTIFS('MP내역(중립)'!A:A,A209,'MP내역(중립)'!G:G,"&gt;"&amp;#REF!,'MP내역(중립)'!D:D,"&lt;&gt;"&amp;#REF!,'MP내역(중립)'!D:D,"&lt;&gt;"&amp;#REF!,'MP내역(중립)'!B:B,"&lt;&gt;현금",'MP내역(중립)'!B:B,"&lt;&gt;합계")=0,"O","X"))</f>
        <v/>
      </c>
      <c r="J209" s="15" t="str">
        <f>IF(A209="","",IF(AND(ABS(#REF!-SUMIFS('MP내역(중립)'!G:G,'MP내역(중립)'!A:A,A209,'MP내역(중립)'!F:F,"Y"))&lt;0.001,ABS(#REF!-SUMIFS('MP내역(중립)'!G:G,'MP내역(중립)'!A:A,A209,'MP내역(중립)'!B:B,"&lt;&gt;합계"))&lt;0.001),"O","X"))</f>
        <v/>
      </c>
      <c r="K209" s="15" t="str">
        <f>IF(A209="","",IF(COUNTIFS('MP내역(중립)'!A:A,A209,'MP내역(중립)'!H:H,"X")=0,"O","X"))</f>
        <v/>
      </c>
      <c r="L209" s="14"/>
    </row>
    <row r="210" spans="5:12" x14ac:dyDescent="0.3">
      <c r="E210" s="15"/>
      <c r="G210" s="15" t="str">
        <f>IF(A210="","",IFERROR(IF(#REF!&lt;VLOOKUP(A210,'포트변경내역(적극)'!A:C,10,0),"O","X"),""))</f>
        <v/>
      </c>
      <c r="H210" s="15" t="str">
        <f>IF(A210="","",COUNTIFS('MP내역(중립)'!$A:$A,A210)-COUNTIFS('MP내역(중립)'!$A:$A,A210,'MP내역(중립)'!$B:$B,"현금")-COUNTIFS('MP내역(중립)'!$A:$A,A210,'MP내역(중립)'!$B:$B,"예수금")-COUNTIFS('MP내역(중립)'!$A:$A,A210,'MP내역(중립)'!$B:$B,"예탁금")-COUNTIFS('MP내역(중립)'!$A:$A,A210,'MP내역(중립)'!$B:$B,"합계"))</f>
        <v/>
      </c>
      <c r="I210" s="15" t="str">
        <f>IF(A210="","",IF(COUNTIFS('MP내역(중립)'!A:A,A210,'MP내역(중립)'!G:G,"&gt;"&amp;#REF!,'MP내역(중립)'!D:D,"&lt;&gt;"&amp;#REF!,'MP내역(중립)'!D:D,"&lt;&gt;"&amp;#REF!,'MP내역(중립)'!B:B,"&lt;&gt;현금",'MP내역(중립)'!B:B,"&lt;&gt;합계")=0,"O","X"))</f>
        <v/>
      </c>
      <c r="J210" s="15" t="str">
        <f>IF(A210="","",IF(AND(ABS(#REF!-SUMIFS('MP내역(중립)'!G:G,'MP내역(중립)'!A:A,A210,'MP내역(중립)'!F:F,"Y"))&lt;0.001,ABS(#REF!-SUMIFS('MP내역(중립)'!G:G,'MP내역(중립)'!A:A,A210,'MP내역(중립)'!B:B,"&lt;&gt;합계"))&lt;0.001),"O","X"))</f>
        <v/>
      </c>
      <c r="K210" s="15" t="str">
        <f>IF(A210="","",IF(COUNTIFS('MP내역(중립)'!A:A,A210,'MP내역(중립)'!H:H,"X")=0,"O","X"))</f>
        <v/>
      </c>
      <c r="L210" s="14"/>
    </row>
    <row r="211" spans="5:12" x14ac:dyDescent="0.3">
      <c r="E211" s="15"/>
      <c r="G211" s="15" t="str">
        <f>IF(A211="","",IFERROR(IF(#REF!&lt;VLOOKUP(A211,'포트변경내역(적극)'!A:C,10,0),"O","X"),""))</f>
        <v/>
      </c>
      <c r="H211" s="15" t="str">
        <f>IF(A211="","",COUNTIFS('MP내역(중립)'!$A:$A,A211)-COUNTIFS('MP내역(중립)'!$A:$A,A211,'MP내역(중립)'!$B:$B,"현금")-COUNTIFS('MP내역(중립)'!$A:$A,A211,'MP내역(중립)'!$B:$B,"예수금")-COUNTIFS('MP내역(중립)'!$A:$A,A211,'MP내역(중립)'!$B:$B,"예탁금")-COUNTIFS('MP내역(중립)'!$A:$A,A211,'MP내역(중립)'!$B:$B,"합계"))</f>
        <v/>
      </c>
      <c r="I211" s="15" t="str">
        <f>IF(A211="","",IF(COUNTIFS('MP내역(중립)'!A:A,A211,'MP내역(중립)'!G:G,"&gt;"&amp;#REF!,'MP내역(중립)'!D:D,"&lt;&gt;"&amp;#REF!,'MP내역(중립)'!D:D,"&lt;&gt;"&amp;#REF!,'MP내역(중립)'!B:B,"&lt;&gt;현금",'MP내역(중립)'!B:B,"&lt;&gt;합계")=0,"O","X"))</f>
        <v/>
      </c>
      <c r="J211" s="15" t="str">
        <f>IF(A211="","",IF(AND(ABS(#REF!-SUMIFS('MP내역(중립)'!G:G,'MP내역(중립)'!A:A,A211,'MP내역(중립)'!F:F,"Y"))&lt;0.001,ABS(#REF!-SUMIFS('MP내역(중립)'!G:G,'MP내역(중립)'!A:A,A211,'MP내역(중립)'!B:B,"&lt;&gt;합계"))&lt;0.001),"O","X"))</f>
        <v/>
      </c>
      <c r="K211" s="15" t="str">
        <f>IF(A211="","",IF(COUNTIFS('MP내역(중립)'!A:A,A211,'MP내역(중립)'!H:H,"X")=0,"O","X"))</f>
        <v/>
      </c>
      <c r="L211" s="14"/>
    </row>
    <row r="212" spans="5:12" x14ac:dyDescent="0.3">
      <c r="E212" s="15"/>
      <c r="G212" s="15" t="str">
        <f>IF(A212="","",IFERROR(IF(#REF!&lt;VLOOKUP(A212,'포트변경내역(적극)'!A:C,10,0),"O","X"),""))</f>
        <v/>
      </c>
      <c r="H212" s="15" t="str">
        <f>IF(A212="","",COUNTIFS('MP내역(중립)'!$A:$A,A212)-COUNTIFS('MP내역(중립)'!$A:$A,A212,'MP내역(중립)'!$B:$B,"현금")-COUNTIFS('MP내역(중립)'!$A:$A,A212,'MP내역(중립)'!$B:$B,"예수금")-COUNTIFS('MP내역(중립)'!$A:$A,A212,'MP내역(중립)'!$B:$B,"예탁금")-COUNTIFS('MP내역(중립)'!$A:$A,A212,'MP내역(중립)'!$B:$B,"합계"))</f>
        <v/>
      </c>
      <c r="I212" s="15" t="str">
        <f>IF(A212="","",IF(COUNTIFS('MP내역(중립)'!A:A,A212,'MP내역(중립)'!G:G,"&gt;"&amp;#REF!,'MP내역(중립)'!D:D,"&lt;&gt;"&amp;#REF!,'MP내역(중립)'!D:D,"&lt;&gt;"&amp;#REF!,'MP내역(중립)'!B:B,"&lt;&gt;현금",'MP내역(중립)'!B:B,"&lt;&gt;합계")=0,"O","X"))</f>
        <v/>
      </c>
      <c r="J212" s="15" t="str">
        <f>IF(A212="","",IF(AND(ABS(#REF!-SUMIFS('MP내역(중립)'!G:G,'MP내역(중립)'!A:A,A212,'MP내역(중립)'!F:F,"Y"))&lt;0.001,ABS(#REF!-SUMIFS('MP내역(중립)'!G:G,'MP내역(중립)'!A:A,A212,'MP내역(중립)'!B:B,"&lt;&gt;합계"))&lt;0.001),"O","X"))</f>
        <v/>
      </c>
      <c r="K212" s="15" t="str">
        <f>IF(A212="","",IF(COUNTIFS('MP내역(중립)'!A:A,A212,'MP내역(중립)'!H:H,"X")=0,"O","X"))</f>
        <v/>
      </c>
      <c r="L212" s="14"/>
    </row>
    <row r="213" spans="5:12" x14ac:dyDescent="0.3">
      <c r="E213" s="15"/>
      <c r="G213" s="15" t="str">
        <f>IF(A213="","",IFERROR(IF(#REF!&lt;VLOOKUP(A213,'포트변경내역(적극)'!A:C,10,0),"O","X"),""))</f>
        <v/>
      </c>
      <c r="H213" s="15" t="str">
        <f>IF(A213="","",COUNTIFS('MP내역(중립)'!$A:$A,A213)-COUNTIFS('MP내역(중립)'!$A:$A,A213,'MP내역(중립)'!$B:$B,"현금")-COUNTIFS('MP내역(중립)'!$A:$A,A213,'MP내역(중립)'!$B:$B,"예수금")-COUNTIFS('MP내역(중립)'!$A:$A,A213,'MP내역(중립)'!$B:$B,"예탁금")-COUNTIFS('MP내역(중립)'!$A:$A,A213,'MP내역(중립)'!$B:$B,"합계"))</f>
        <v/>
      </c>
      <c r="I213" s="15" t="str">
        <f>IF(A213="","",IF(COUNTIFS('MP내역(중립)'!A:A,A213,'MP내역(중립)'!G:G,"&gt;"&amp;#REF!,'MP내역(중립)'!D:D,"&lt;&gt;"&amp;#REF!,'MP내역(중립)'!D:D,"&lt;&gt;"&amp;#REF!,'MP내역(중립)'!B:B,"&lt;&gt;현금",'MP내역(중립)'!B:B,"&lt;&gt;합계")=0,"O","X"))</f>
        <v/>
      </c>
      <c r="J213" s="15" t="str">
        <f>IF(A213="","",IF(AND(ABS(#REF!-SUMIFS('MP내역(중립)'!G:G,'MP내역(중립)'!A:A,A213,'MP내역(중립)'!F:F,"Y"))&lt;0.001,ABS(#REF!-SUMIFS('MP내역(중립)'!G:G,'MP내역(중립)'!A:A,A213,'MP내역(중립)'!B:B,"&lt;&gt;합계"))&lt;0.001),"O","X"))</f>
        <v/>
      </c>
      <c r="K213" s="15" t="str">
        <f>IF(A213="","",IF(COUNTIFS('MP내역(중립)'!A:A,A213,'MP내역(중립)'!H:H,"X")=0,"O","X"))</f>
        <v/>
      </c>
      <c r="L213" s="14"/>
    </row>
    <row r="214" spans="5:12" x14ac:dyDescent="0.3">
      <c r="E214" s="15"/>
      <c r="G214" s="15" t="str">
        <f>IF(A214="","",IFERROR(IF(#REF!&lt;VLOOKUP(A214,'포트변경내역(적극)'!A:C,10,0),"O","X"),""))</f>
        <v/>
      </c>
      <c r="H214" s="15" t="str">
        <f>IF(A214="","",COUNTIFS('MP내역(중립)'!$A:$A,A214)-COUNTIFS('MP내역(중립)'!$A:$A,A214,'MP내역(중립)'!$B:$B,"현금")-COUNTIFS('MP내역(중립)'!$A:$A,A214,'MP내역(중립)'!$B:$B,"예수금")-COUNTIFS('MP내역(중립)'!$A:$A,A214,'MP내역(중립)'!$B:$B,"예탁금")-COUNTIFS('MP내역(중립)'!$A:$A,A214,'MP내역(중립)'!$B:$B,"합계"))</f>
        <v/>
      </c>
      <c r="I214" s="15" t="str">
        <f>IF(A214="","",IF(COUNTIFS('MP내역(중립)'!A:A,A214,'MP내역(중립)'!G:G,"&gt;"&amp;#REF!,'MP내역(중립)'!D:D,"&lt;&gt;"&amp;#REF!,'MP내역(중립)'!D:D,"&lt;&gt;"&amp;#REF!,'MP내역(중립)'!B:B,"&lt;&gt;현금",'MP내역(중립)'!B:B,"&lt;&gt;합계")=0,"O","X"))</f>
        <v/>
      </c>
      <c r="J214" s="15" t="str">
        <f>IF(A214="","",IF(AND(ABS(#REF!-SUMIFS('MP내역(중립)'!G:G,'MP내역(중립)'!A:A,A214,'MP내역(중립)'!F:F,"Y"))&lt;0.001,ABS(#REF!-SUMIFS('MP내역(중립)'!G:G,'MP내역(중립)'!A:A,A214,'MP내역(중립)'!B:B,"&lt;&gt;합계"))&lt;0.001),"O","X"))</f>
        <v/>
      </c>
      <c r="K214" s="15" t="str">
        <f>IF(A214="","",IF(COUNTIFS('MP내역(중립)'!A:A,A214,'MP내역(중립)'!H:H,"X")=0,"O","X"))</f>
        <v/>
      </c>
      <c r="L214" s="14"/>
    </row>
    <row r="215" spans="5:12" x14ac:dyDescent="0.3">
      <c r="E215" s="15"/>
      <c r="G215" s="15" t="str">
        <f>IF(A215="","",IFERROR(IF(#REF!&lt;VLOOKUP(A215,'포트변경내역(적극)'!A:C,10,0),"O","X"),""))</f>
        <v/>
      </c>
      <c r="H215" s="15" t="str">
        <f>IF(A215="","",COUNTIFS('MP내역(중립)'!$A:$A,A215)-COUNTIFS('MP내역(중립)'!$A:$A,A215,'MP내역(중립)'!$B:$B,"현금")-COUNTIFS('MP내역(중립)'!$A:$A,A215,'MP내역(중립)'!$B:$B,"예수금")-COUNTIFS('MP내역(중립)'!$A:$A,A215,'MP내역(중립)'!$B:$B,"예탁금")-COUNTIFS('MP내역(중립)'!$A:$A,A215,'MP내역(중립)'!$B:$B,"합계"))</f>
        <v/>
      </c>
      <c r="I215" s="15" t="str">
        <f>IF(A215="","",IF(COUNTIFS('MP내역(중립)'!A:A,A215,'MP내역(중립)'!G:G,"&gt;"&amp;#REF!,'MP내역(중립)'!D:D,"&lt;&gt;"&amp;#REF!,'MP내역(중립)'!D:D,"&lt;&gt;"&amp;#REF!,'MP내역(중립)'!B:B,"&lt;&gt;현금",'MP내역(중립)'!B:B,"&lt;&gt;합계")=0,"O","X"))</f>
        <v/>
      </c>
      <c r="J215" s="15" t="str">
        <f>IF(A215="","",IF(AND(ABS(#REF!-SUMIFS('MP내역(중립)'!G:G,'MP내역(중립)'!A:A,A215,'MP내역(중립)'!F:F,"Y"))&lt;0.001,ABS(#REF!-SUMIFS('MP내역(중립)'!G:G,'MP내역(중립)'!A:A,A215,'MP내역(중립)'!B:B,"&lt;&gt;합계"))&lt;0.001),"O","X"))</f>
        <v/>
      </c>
      <c r="K215" s="15" t="str">
        <f>IF(A215="","",IF(COUNTIFS('MP내역(중립)'!A:A,A215,'MP내역(중립)'!H:H,"X")=0,"O","X"))</f>
        <v/>
      </c>
      <c r="L215" s="14"/>
    </row>
    <row r="216" spans="5:12" x14ac:dyDescent="0.3">
      <c r="E216" s="15"/>
      <c r="G216" s="15" t="str">
        <f>IF(A216="","",IFERROR(IF(#REF!&lt;VLOOKUP(A216,'포트변경내역(적극)'!A:C,10,0),"O","X"),""))</f>
        <v/>
      </c>
      <c r="H216" s="15" t="str">
        <f>IF(A216="","",COUNTIFS('MP내역(중립)'!$A:$A,A216)-COUNTIFS('MP내역(중립)'!$A:$A,A216,'MP내역(중립)'!$B:$B,"현금")-COUNTIFS('MP내역(중립)'!$A:$A,A216,'MP내역(중립)'!$B:$B,"예수금")-COUNTIFS('MP내역(중립)'!$A:$A,A216,'MP내역(중립)'!$B:$B,"예탁금")-COUNTIFS('MP내역(중립)'!$A:$A,A216,'MP내역(중립)'!$B:$B,"합계"))</f>
        <v/>
      </c>
      <c r="I216" s="15" t="str">
        <f>IF(A216="","",IF(COUNTIFS('MP내역(중립)'!A:A,A216,'MP내역(중립)'!G:G,"&gt;"&amp;#REF!,'MP내역(중립)'!D:D,"&lt;&gt;"&amp;#REF!,'MP내역(중립)'!D:D,"&lt;&gt;"&amp;#REF!,'MP내역(중립)'!B:B,"&lt;&gt;현금",'MP내역(중립)'!B:B,"&lt;&gt;합계")=0,"O","X"))</f>
        <v/>
      </c>
      <c r="J216" s="15" t="str">
        <f>IF(A216="","",IF(AND(ABS(#REF!-SUMIFS('MP내역(중립)'!G:G,'MP내역(중립)'!A:A,A216,'MP내역(중립)'!F:F,"Y"))&lt;0.001,ABS(#REF!-SUMIFS('MP내역(중립)'!G:G,'MP내역(중립)'!A:A,A216,'MP내역(중립)'!B:B,"&lt;&gt;합계"))&lt;0.001),"O","X"))</f>
        <v/>
      </c>
      <c r="K216" s="15" t="str">
        <f>IF(A216="","",IF(COUNTIFS('MP내역(중립)'!A:A,A216,'MP내역(중립)'!H:H,"X")=0,"O","X"))</f>
        <v/>
      </c>
      <c r="L216" s="14"/>
    </row>
    <row r="217" spans="5:12" x14ac:dyDescent="0.3">
      <c r="E217" s="15"/>
      <c r="G217" s="15" t="str">
        <f>IF(A217="","",IFERROR(IF(#REF!&lt;VLOOKUP(A217,'포트변경내역(적극)'!A:C,10,0),"O","X"),""))</f>
        <v/>
      </c>
      <c r="H217" s="15" t="str">
        <f>IF(A217="","",COUNTIFS('MP내역(중립)'!$A:$A,A217)-COUNTIFS('MP내역(중립)'!$A:$A,A217,'MP내역(중립)'!$B:$B,"현금")-COUNTIFS('MP내역(중립)'!$A:$A,A217,'MP내역(중립)'!$B:$B,"예수금")-COUNTIFS('MP내역(중립)'!$A:$A,A217,'MP내역(중립)'!$B:$B,"예탁금")-COUNTIFS('MP내역(중립)'!$A:$A,A217,'MP내역(중립)'!$B:$B,"합계"))</f>
        <v/>
      </c>
      <c r="I217" s="15" t="str">
        <f>IF(A217="","",IF(COUNTIFS('MP내역(중립)'!A:A,A217,'MP내역(중립)'!G:G,"&gt;"&amp;#REF!,'MP내역(중립)'!D:D,"&lt;&gt;"&amp;#REF!,'MP내역(중립)'!D:D,"&lt;&gt;"&amp;#REF!,'MP내역(중립)'!B:B,"&lt;&gt;현금",'MP내역(중립)'!B:B,"&lt;&gt;합계")=0,"O","X"))</f>
        <v/>
      </c>
      <c r="J217" s="15" t="str">
        <f>IF(A217="","",IF(AND(ABS(#REF!-SUMIFS('MP내역(중립)'!G:G,'MP내역(중립)'!A:A,A217,'MP내역(중립)'!F:F,"Y"))&lt;0.001,ABS(#REF!-SUMIFS('MP내역(중립)'!G:G,'MP내역(중립)'!A:A,A217,'MP내역(중립)'!B:B,"&lt;&gt;합계"))&lt;0.001),"O","X"))</f>
        <v/>
      </c>
      <c r="K217" s="15" t="str">
        <f>IF(A217="","",IF(COUNTIFS('MP내역(중립)'!A:A,A217,'MP내역(중립)'!H:H,"X")=0,"O","X"))</f>
        <v/>
      </c>
      <c r="L217" s="14"/>
    </row>
    <row r="218" spans="5:12" x14ac:dyDescent="0.3">
      <c r="E218" s="15"/>
      <c r="G218" s="15" t="str">
        <f>IF(A218="","",IFERROR(IF(#REF!&lt;VLOOKUP(A218,'포트변경내역(적극)'!A:C,10,0),"O","X"),""))</f>
        <v/>
      </c>
      <c r="H218" s="15" t="str">
        <f>IF(A218="","",COUNTIFS('MP내역(중립)'!$A:$A,A218)-COUNTIFS('MP내역(중립)'!$A:$A,A218,'MP내역(중립)'!$B:$B,"현금")-COUNTIFS('MP내역(중립)'!$A:$A,A218,'MP내역(중립)'!$B:$B,"예수금")-COUNTIFS('MP내역(중립)'!$A:$A,A218,'MP내역(중립)'!$B:$B,"예탁금")-COUNTIFS('MP내역(중립)'!$A:$A,A218,'MP내역(중립)'!$B:$B,"합계"))</f>
        <v/>
      </c>
      <c r="I218" s="15" t="str">
        <f>IF(A218="","",IF(COUNTIFS('MP내역(중립)'!A:A,A218,'MP내역(중립)'!G:G,"&gt;"&amp;#REF!,'MP내역(중립)'!D:D,"&lt;&gt;"&amp;#REF!,'MP내역(중립)'!D:D,"&lt;&gt;"&amp;#REF!,'MP내역(중립)'!B:B,"&lt;&gt;현금",'MP내역(중립)'!B:B,"&lt;&gt;합계")=0,"O","X"))</f>
        <v/>
      </c>
      <c r="J218" s="15" t="str">
        <f>IF(A218="","",IF(AND(ABS(#REF!-SUMIFS('MP내역(중립)'!G:G,'MP내역(중립)'!A:A,A218,'MP내역(중립)'!F:F,"Y"))&lt;0.001,ABS(#REF!-SUMIFS('MP내역(중립)'!G:G,'MP내역(중립)'!A:A,A218,'MP내역(중립)'!B:B,"&lt;&gt;합계"))&lt;0.001),"O","X"))</f>
        <v/>
      </c>
      <c r="K218" s="15" t="str">
        <f>IF(A218="","",IF(COUNTIFS('MP내역(중립)'!A:A,A218,'MP내역(중립)'!H:H,"X")=0,"O","X"))</f>
        <v/>
      </c>
      <c r="L218" s="14"/>
    </row>
    <row r="219" spans="5:12" x14ac:dyDescent="0.3">
      <c r="E219" s="15"/>
      <c r="G219" s="15" t="str">
        <f>IF(A219="","",IFERROR(IF(#REF!&lt;VLOOKUP(A219,'포트변경내역(적극)'!A:C,10,0),"O","X"),""))</f>
        <v/>
      </c>
      <c r="H219" s="15" t="str">
        <f>IF(A219="","",COUNTIFS('MP내역(중립)'!$A:$A,A219)-COUNTIFS('MP내역(중립)'!$A:$A,A219,'MP내역(중립)'!$B:$B,"현금")-COUNTIFS('MP내역(중립)'!$A:$A,A219,'MP내역(중립)'!$B:$B,"예수금")-COUNTIFS('MP내역(중립)'!$A:$A,A219,'MP내역(중립)'!$B:$B,"예탁금")-COUNTIFS('MP내역(중립)'!$A:$A,A219,'MP내역(중립)'!$B:$B,"합계"))</f>
        <v/>
      </c>
      <c r="I219" s="15" t="str">
        <f>IF(A219="","",IF(COUNTIFS('MP내역(중립)'!A:A,A219,'MP내역(중립)'!G:G,"&gt;"&amp;#REF!,'MP내역(중립)'!D:D,"&lt;&gt;"&amp;#REF!,'MP내역(중립)'!D:D,"&lt;&gt;"&amp;#REF!,'MP내역(중립)'!B:B,"&lt;&gt;현금",'MP내역(중립)'!B:B,"&lt;&gt;합계")=0,"O","X"))</f>
        <v/>
      </c>
      <c r="J219" s="15" t="str">
        <f>IF(A219="","",IF(AND(ABS(#REF!-SUMIFS('MP내역(중립)'!G:G,'MP내역(중립)'!A:A,A219,'MP내역(중립)'!F:F,"Y"))&lt;0.001,ABS(#REF!-SUMIFS('MP내역(중립)'!G:G,'MP내역(중립)'!A:A,A219,'MP내역(중립)'!B:B,"&lt;&gt;합계"))&lt;0.001),"O","X"))</f>
        <v/>
      </c>
      <c r="K219" s="15" t="str">
        <f>IF(A219="","",IF(COUNTIFS('MP내역(중립)'!A:A,A219,'MP내역(중립)'!H:H,"X")=0,"O","X"))</f>
        <v/>
      </c>
      <c r="L219" s="14"/>
    </row>
    <row r="220" spans="5:12" x14ac:dyDescent="0.3">
      <c r="E220" s="15"/>
      <c r="G220" s="15" t="str">
        <f>IF(A220="","",IFERROR(IF(#REF!&lt;VLOOKUP(A220,'포트변경내역(적극)'!A:C,10,0),"O","X"),""))</f>
        <v/>
      </c>
      <c r="H220" s="15" t="str">
        <f>IF(A220="","",COUNTIFS('MP내역(중립)'!$A:$A,A220)-COUNTIFS('MP내역(중립)'!$A:$A,A220,'MP내역(중립)'!$B:$B,"현금")-COUNTIFS('MP내역(중립)'!$A:$A,A220,'MP내역(중립)'!$B:$B,"예수금")-COUNTIFS('MP내역(중립)'!$A:$A,A220,'MP내역(중립)'!$B:$B,"예탁금")-COUNTIFS('MP내역(중립)'!$A:$A,A220,'MP내역(중립)'!$B:$B,"합계"))</f>
        <v/>
      </c>
      <c r="I220" s="15" t="str">
        <f>IF(A220="","",IF(COUNTIFS('MP내역(중립)'!A:A,A220,'MP내역(중립)'!G:G,"&gt;"&amp;#REF!,'MP내역(중립)'!D:D,"&lt;&gt;"&amp;#REF!,'MP내역(중립)'!D:D,"&lt;&gt;"&amp;#REF!,'MP내역(중립)'!B:B,"&lt;&gt;현금",'MP내역(중립)'!B:B,"&lt;&gt;합계")=0,"O","X"))</f>
        <v/>
      </c>
      <c r="J220" s="15" t="str">
        <f>IF(A220="","",IF(AND(ABS(#REF!-SUMIFS('MP내역(중립)'!G:G,'MP내역(중립)'!A:A,A220,'MP내역(중립)'!F:F,"Y"))&lt;0.001,ABS(#REF!-SUMIFS('MP내역(중립)'!G:G,'MP내역(중립)'!A:A,A220,'MP내역(중립)'!B:B,"&lt;&gt;합계"))&lt;0.001),"O","X"))</f>
        <v/>
      </c>
      <c r="K220" s="15" t="str">
        <f>IF(A220="","",IF(COUNTIFS('MP내역(중립)'!A:A,A220,'MP내역(중립)'!H:H,"X")=0,"O","X"))</f>
        <v/>
      </c>
      <c r="L220" s="14"/>
    </row>
    <row r="221" spans="5:12" x14ac:dyDescent="0.3">
      <c r="E221" s="15"/>
      <c r="G221" s="15" t="str">
        <f>IF(A221="","",IFERROR(IF(#REF!&lt;VLOOKUP(A221,'포트변경내역(적극)'!A:C,10,0),"O","X"),""))</f>
        <v/>
      </c>
      <c r="H221" s="15" t="str">
        <f>IF(A221="","",COUNTIFS('MP내역(중립)'!$A:$A,A221)-COUNTIFS('MP내역(중립)'!$A:$A,A221,'MP내역(중립)'!$B:$B,"현금")-COUNTIFS('MP내역(중립)'!$A:$A,A221,'MP내역(중립)'!$B:$B,"예수금")-COUNTIFS('MP내역(중립)'!$A:$A,A221,'MP내역(중립)'!$B:$B,"예탁금")-COUNTIFS('MP내역(중립)'!$A:$A,A221,'MP내역(중립)'!$B:$B,"합계"))</f>
        <v/>
      </c>
      <c r="I221" s="15" t="str">
        <f>IF(A221="","",IF(COUNTIFS('MP내역(중립)'!A:A,A221,'MP내역(중립)'!G:G,"&gt;"&amp;#REF!,'MP내역(중립)'!D:D,"&lt;&gt;"&amp;#REF!,'MP내역(중립)'!D:D,"&lt;&gt;"&amp;#REF!,'MP내역(중립)'!B:B,"&lt;&gt;현금",'MP내역(중립)'!B:B,"&lt;&gt;합계")=0,"O","X"))</f>
        <v/>
      </c>
      <c r="J221" s="15" t="str">
        <f>IF(A221="","",IF(AND(ABS(#REF!-SUMIFS('MP내역(중립)'!G:G,'MP내역(중립)'!A:A,A221,'MP내역(중립)'!F:F,"Y"))&lt;0.001,ABS(#REF!-SUMIFS('MP내역(중립)'!G:G,'MP내역(중립)'!A:A,A221,'MP내역(중립)'!B:B,"&lt;&gt;합계"))&lt;0.001),"O","X"))</f>
        <v/>
      </c>
      <c r="K221" s="15" t="str">
        <f>IF(A221="","",IF(COUNTIFS('MP내역(중립)'!A:A,A221,'MP내역(중립)'!H:H,"X")=0,"O","X"))</f>
        <v/>
      </c>
      <c r="L221" s="14"/>
    </row>
    <row r="222" spans="5:12" x14ac:dyDescent="0.3">
      <c r="E222" s="15"/>
      <c r="G222" s="15" t="str">
        <f>IF(A222="","",IFERROR(IF(#REF!&lt;VLOOKUP(A222,'포트변경내역(적극)'!A:C,10,0),"O","X"),""))</f>
        <v/>
      </c>
      <c r="H222" s="15" t="str">
        <f>IF(A222="","",COUNTIFS('MP내역(중립)'!$A:$A,A222)-COUNTIFS('MP내역(중립)'!$A:$A,A222,'MP내역(중립)'!$B:$B,"현금")-COUNTIFS('MP내역(중립)'!$A:$A,A222,'MP내역(중립)'!$B:$B,"예수금")-COUNTIFS('MP내역(중립)'!$A:$A,A222,'MP내역(중립)'!$B:$B,"예탁금")-COUNTIFS('MP내역(중립)'!$A:$A,A222,'MP내역(중립)'!$B:$B,"합계"))</f>
        <v/>
      </c>
      <c r="I222" s="15" t="str">
        <f>IF(A222="","",IF(COUNTIFS('MP내역(중립)'!A:A,A222,'MP내역(중립)'!G:G,"&gt;"&amp;#REF!,'MP내역(중립)'!D:D,"&lt;&gt;"&amp;#REF!,'MP내역(중립)'!D:D,"&lt;&gt;"&amp;#REF!,'MP내역(중립)'!B:B,"&lt;&gt;현금",'MP내역(중립)'!B:B,"&lt;&gt;합계")=0,"O","X"))</f>
        <v/>
      </c>
      <c r="J222" s="15" t="str">
        <f>IF(A222="","",IF(AND(ABS(#REF!-SUMIFS('MP내역(중립)'!G:G,'MP내역(중립)'!A:A,A222,'MP내역(중립)'!F:F,"Y"))&lt;0.001,ABS(#REF!-SUMIFS('MP내역(중립)'!G:G,'MP내역(중립)'!A:A,A222,'MP내역(중립)'!B:B,"&lt;&gt;합계"))&lt;0.001),"O","X"))</f>
        <v/>
      </c>
      <c r="K222" s="15" t="str">
        <f>IF(A222="","",IF(COUNTIFS('MP내역(중립)'!A:A,A222,'MP내역(중립)'!H:H,"X")=0,"O","X"))</f>
        <v/>
      </c>
      <c r="L222" s="14"/>
    </row>
    <row r="223" spans="5:12" x14ac:dyDescent="0.3">
      <c r="E223" s="15"/>
      <c r="G223" s="15" t="str">
        <f>IF(A223="","",IFERROR(IF(#REF!&lt;VLOOKUP(A223,'포트변경내역(적극)'!A:C,10,0),"O","X"),""))</f>
        <v/>
      </c>
      <c r="H223" s="15" t="str">
        <f>IF(A223="","",COUNTIFS('MP내역(중립)'!$A:$A,A223)-COUNTIFS('MP내역(중립)'!$A:$A,A223,'MP내역(중립)'!$B:$B,"현금")-COUNTIFS('MP내역(중립)'!$A:$A,A223,'MP내역(중립)'!$B:$B,"예수금")-COUNTIFS('MP내역(중립)'!$A:$A,A223,'MP내역(중립)'!$B:$B,"예탁금")-COUNTIFS('MP내역(중립)'!$A:$A,A223,'MP내역(중립)'!$B:$B,"합계"))</f>
        <v/>
      </c>
      <c r="I223" s="15" t="str">
        <f>IF(A223="","",IF(COUNTIFS('MP내역(중립)'!A:A,A223,'MP내역(중립)'!G:G,"&gt;"&amp;#REF!,'MP내역(중립)'!D:D,"&lt;&gt;"&amp;#REF!,'MP내역(중립)'!D:D,"&lt;&gt;"&amp;#REF!,'MP내역(중립)'!B:B,"&lt;&gt;현금",'MP내역(중립)'!B:B,"&lt;&gt;합계")=0,"O","X"))</f>
        <v/>
      </c>
      <c r="J223" s="15" t="str">
        <f>IF(A223="","",IF(AND(ABS(#REF!-SUMIFS('MP내역(중립)'!G:G,'MP내역(중립)'!A:A,A223,'MP내역(중립)'!F:F,"Y"))&lt;0.001,ABS(#REF!-SUMIFS('MP내역(중립)'!G:G,'MP내역(중립)'!A:A,A223,'MP내역(중립)'!B:B,"&lt;&gt;합계"))&lt;0.001),"O","X"))</f>
        <v/>
      </c>
      <c r="K223" s="15" t="str">
        <f>IF(A223="","",IF(COUNTIFS('MP내역(중립)'!A:A,A223,'MP내역(중립)'!H:H,"X")=0,"O","X"))</f>
        <v/>
      </c>
      <c r="L223" s="14"/>
    </row>
    <row r="224" spans="5:12" x14ac:dyDescent="0.3">
      <c r="E224" s="15"/>
      <c r="G224" s="15" t="str">
        <f>IF(A224="","",IFERROR(IF(#REF!&lt;VLOOKUP(A224,'포트변경내역(적극)'!A:C,10,0),"O","X"),""))</f>
        <v/>
      </c>
      <c r="H224" s="15" t="str">
        <f>IF(A224="","",COUNTIFS('MP내역(중립)'!$A:$A,A224)-COUNTIFS('MP내역(중립)'!$A:$A,A224,'MP내역(중립)'!$B:$B,"현금")-COUNTIFS('MP내역(중립)'!$A:$A,A224,'MP내역(중립)'!$B:$B,"예수금")-COUNTIFS('MP내역(중립)'!$A:$A,A224,'MP내역(중립)'!$B:$B,"예탁금")-COUNTIFS('MP내역(중립)'!$A:$A,A224,'MP내역(중립)'!$B:$B,"합계"))</f>
        <v/>
      </c>
      <c r="I224" s="15" t="str">
        <f>IF(A224="","",IF(COUNTIFS('MP내역(중립)'!A:A,A224,'MP내역(중립)'!G:G,"&gt;"&amp;#REF!,'MP내역(중립)'!D:D,"&lt;&gt;"&amp;#REF!,'MP내역(중립)'!D:D,"&lt;&gt;"&amp;#REF!,'MP내역(중립)'!B:B,"&lt;&gt;현금",'MP내역(중립)'!B:B,"&lt;&gt;합계")=0,"O","X"))</f>
        <v/>
      </c>
      <c r="J224" s="15" t="str">
        <f>IF(A224="","",IF(AND(ABS(#REF!-SUMIFS('MP내역(중립)'!G:G,'MP내역(중립)'!A:A,A224,'MP내역(중립)'!F:F,"Y"))&lt;0.001,ABS(#REF!-SUMIFS('MP내역(중립)'!G:G,'MP내역(중립)'!A:A,A224,'MP내역(중립)'!B:B,"&lt;&gt;합계"))&lt;0.001),"O","X"))</f>
        <v/>
      </c>
      <c r="K224" s="15" t="str">
        <f>IF(A224="","",IF(COUNTIFS('MP내역(중립)'!A:A,A224,'MP내역(중립)'!H:H,"X")=0,"O","X"))</f>
        <v/>
      </c>
      <c r="L224" s="14"/>
    </row>
    <row r="225" spans="5:12" x14ac:dyDescent="0.3">
      <c r="E225" s="15"/>
      <c r="G225" s="15" t="str">
        <f>IF(A225="","",IFERROR(IF(#REF!&lt;VLOOKUP(A225,'포트변경내역(적극)'!A:C,10,0),"O","X"),""))</f>
        <v/>
      </c>
      <c r="H225" s="15" t="str">
        <f>IF(A225="","",COUNTIFS('MP내역(중립)'!$A:$A,A225)-COUNTIFS('MP내역(중립)'!$A:$A,A225,'MP내역(중립)'!$B:$B,"현금")-COUNTIFS('MP내역(중립)'!$A:$A,A225,'MP내역(중립)'!$B:$B,"예수금")-COUNTIFS('MP내역(중립)'!$A:$A,A225,'MP내역(중립)'!$B:$B,"예탁금")-COUNTIFS('MP내역(중립)'!$A:$A,A225,'MP내역(중립)'!$B:$B,"합계"))</f>
        <v/>
      </c>
      <c r="I225" s="15" t="str">
        <f>IF(A225="","",IF(COUNTIFS('MP내역(중립)'!A:A,A225,'MP내역(중립)'!G:G,"&gt;"&amp;#REF!,'MP내역(중립)'!D:D,"&lt;&gt;"&amp;#REF!,'MP내역(중립)'!D:D,"&lt;&gt;"&amp;#REF!,'MP내역(중립)'!B:B,"&lt;&gt;현금",'MP내역(중립)'!B:B,"&lt;&gt;합계")=0,"O","X"))</f>
        <v/>
      </c>
      <c r="J225" s="15" t="str">
        <f>IF(A225="","",IF(AND(ABS(#REF!-SUMIFS('MP내역(중립)'!G:G,'MP내역(중립)'!A:A,A225,'MP내역(중립)'!F:F,"Y"))&lt;0.001,ABS(#REF!-SUMIFS('MP내역(중립)'!G:G,'MP내역(중립)'!A:A,A225,'MP내역(중립)'!B:B,"&lt;&gt;합계"))&lt;0.001),"O","X"))</f>
        <v/>
      </c>
      <c r="K225" s="15" t="str">
        <f>IF(A225="","",IF(COUNTIFS('MP내역(중립)'!A:A,A225,'MP내역(중립)'!H:H,"X")=0,"O","X"))</f>
        <v/>
      </c>
      <c r="L225" s="14"/>
    </row>
    <row r="226" spans="5:12" x14ac:dyDescent="0.3">
      <c r="E226" s="15"/>
      <c r="G226" s="15" t="str">
        <f>IF(A226="","",IFERROR(IF(#REF!&lt;VLOOKUP(A226,'포트변경내역(적극)'!A:C,10,0),"O","X"),""))</f>
        <v/>
      </c>
      <c r="H226" s="15" t="str">
        <f>IF(A226="","",COUNTIFS('MP내역(중립)'!$A:$A,A226)-COUNTIFS('MP내역(중립)'!$A:$A,A226,'MP내역(중립)'!$B:$B,"현금")-COUNTIFS('MP내역(중립)'!$A:$A,A226,'MP내역(중립)'!$B:$B,"예수금")-COUNTIFS('MP내역(중립)'!$A:$A,A226,'MP내역(중립)'!$B:$B,"예탁금")-COUNTIFS('MP내역(중립)'!$A:$A,A226,'MP내역(중립)'!$B:$B,"합계"))</f>
        <v/>
      </c>
      <c r="I226" s="15" t="str">
        <f>IF(A226="","",IF(COUNTIFS('MP내역(중립)'!A:A,A226,'MP내역(중립)'!G:G,"&gt;"&amp;#REF!,'MP내역(중립)'!D:D,"&lt;&gt;"&amp;#REF!,'MP내역(중립)'!D:D,"&lt;&gt;"&amp;#REF!,'MP내역(중립)'!B:B,"&lt;&gt;현금",'MP내역(중립)'!B:B,"&lt;&gt;합계")=0,"O","X"))</f>
        <v/>
      </c>
      <c r="J226" s="15" t="str">
        <f>IF(A226="","",IF(AND(ABS(#REF!-SUMIFS('MP내역(중립)'!G:G,'MP내역(중립)'!A:A,A226,'MP내역(중립)'!F:F,"Y"))&lt;0.001,ABS(#REF!-SUMIFS('MP내역(중립)'!G:G,'MP내역(중립)'!A:A,A226,'MP내역(중립)'!B:B,"&lt;&gt;합계"))&lt;0.001),"O","X"))</f>
        <v/>
      </c>
      <c r="K226" s="15" t="str">
        <f>IF(A226="","",IF(COUNTIFS('MP내역(중립)'!A:A,A226,'MP내역(중립)'!H:H,"X")=0,"O","X"))</f>
        <v/>
      </c>
      <c r="L226" s="14"/>
    </row>
    <row r="227" spans="5:12" x14ac:dyDescent="0.3">
      <c r="E227" s="15"/>
      <c r="G227" s="15" t="str">
        <f>IF(A227="","",IFERROR(IF(#REF!&lt;VLOOKUP(A227,'포트변경내역(적극)'!A:C,10,0),"O","X"),""))</f>
        <v/>
      </c>
      <c r="H227" s="15" t="str">
        <f>IF(A227="","",COUNTIFS('MP내역(중립)'!$A:$A,A227)-COUNTIFS('MP내역(중립)'!$A:$A,A227,'MP내역(중립)'!$B:$B,"현금")-COUNTIFS('MP내역(중립)'!$A:$A,A227,'MP내역(중립)'!$B:$B,"예수금")-COUNTIFS('MP내역(중립)'!$A:$A,A227,'MP내역(중립)'!$B:$B,"예탁금")-COUNTIFS('MP내역(중립)'!$A:$A,A227,'MP내역(중립)'!$B:$B,"합계"))</f>
        <v/>
      </c>
      <c r="I227" s="15" t="str">
        <f>IF(A227="","",IF(COUNTIFS('MP내역(중립)'!A:A,A227,'MP내역(중립)'!G:G,"&gt;"&amp;#REF!,'MP내역(중립)'!D:D,"&lt;&gt;"&amp;#REF!,'MP내역(중립)'!D:D,"&lt;&gt;"&amp;#REF!,'MP내역(중립)'!B:B,"&lt;&gt;현금",'MP내역(중립)'!B:B,"&lt;&gt;합계")=0,"O","X"))</f>
        <v/>
      </c>
      <c r="J227" s="15" t="str">
        <f>IF(A227="","",IF(AND(ABS(#REF!-SUMIFS('MP내역(중립)'!G:G,'MP내역(중립)'!A:A,A227,'MP내역(중립)'!F:F,"Y"))&lt;0.001,ABS(#REF!-SUMIFS('MP내역(중립)'!G:G,'MP내역(중립)'!A:A,A227,'MP내역(중립)'!B:B,"&lt;&gt;합계"))&lt;0.001),"O","X"))</f>
        <v/>
      </c>
      <c r="K227" s="15" t="str">
        <f>IF(A227="","",IF(COUNTIFS('MP내역(중립)'!A:A,A227,'MP내역(중립)'!H:H,"X")=0,"O","X"))</f>
        <v/>
      </c>
      <c r="L227" s="14"/>
    </row>
    <row r="228" spans="5:12" x14ac:dyDescent="0.3">
      <c r="E228" s="15"/>
      <c r="G228" s="15" t="str">
        <f>IF(A228="","",IFERROR(IF(#REF!&lt;VLOOKUP(A228,'포트변경내역(적극)'!A:C,10,0),"O","X"),""))</f>
        <v/>
      </c>
      <c r="H228" s="15" t="str">
        <f>IF(A228="","",COUNTIFS('MP내역(중립)'!$A:$A,A228)-COUNTIFS('MP내역(중립)'!$A:$A,A228,'MP내역(중립)'!$B:$B,"현금")-COUNTIFS('MP내역(중립)'!$A:$A,A228,'MP내역(중립)'!$B:$B,"예수금")-COUNTIFS('MP내역(중립)'!$A:$A,A228,'MP내역(중립)'!$B:$B,"예탁금")-COUNTIFS('MP내역(중립)'!$A:$A,A228,'MP내역(중립)'!$B:$B,"합계"))</f>
        <v/>
      </c>
      <c r="I228" s="15" t="str">
        <f>IF(A228="","",IF(COUNTIFS('MP내역(중립)'!A:A,A228,'MP내역(중립)'!G:G,"&gt;"&amp;#REF!,'MP내역(중립)'!D:D,"&lt;&gt;"&amp;#REF!,'MP내역(중립)'!D:D,"&lt;&gt;"&amp;#REF!,'MP내역(중립)'!B:B,"&lt;&gt;현금",'MP내역(중립)'!B:B,"&lt;&gt;합계")=0,"O","X"))</f>
        <v/>
      </c>
      <c r="J228" s="15" t="str">
        <f>IF(A228="","",IF(AND(ABS(#REF!-SUMIFS('MP내역(중립)'!G:G,'MP내역(중립)'!A:A,A228,'MP내역(중립)'!F:F,"Y"))&lt;0.001,ABS(#REF!-SUMIFS('MP내역(중립)'!G:G,'MP내역(중립)'!A:A,A228,'MP내역(중립)'!B:B,"&lt;&gt;합계"))&lt;0.001),"O","X"))</f>
        <v/>
      </c>
      <c r="K228" s="15" t="str">
        <f>IF(A228="","",IF(COUNTIFS('MP내역(중립)'!A:A,A228,'MP내역(중립)'!H:H,"X")=0,"O","X"))</f>
        <v/>
      </c>
      <c r="L228" s="14"/>
    </row>
    <row r="229" spans="5:12" x14ac:dyDescent="0.3">
      <c r="E229" s="15"/>
      <c r="G229" s="15" t="str">
        <f>IF(A229="","",IFERROR(IF(#REF!&lt;VLOOKUP(A229,'포트변경내역(적극)'!A:C,10,0),"O","X"),""))</f>
        <v/>
      </c>
      <c r="H229" s="15" t="str">
        <f>IF(A229="","",COUNTIFS('MP내역(중립)'!$A:$A,A229)-COUNTIFS('MP내역(중립)'!$A:$A,A229,'MP내역(중립)'!$B:$B,"현금")-COUNTIFS('MP내역(중립)'!$A:$A,A229,'MP내역(중립)'!$B:$B,"예수금")-COUNTIFS('MP내역(중립)'!$A:$A,A229,'MP내역(중립)'!$B:$B,"예탁금")-COUNTIFS('MP내역(중립)'!$A:$A,A229,'MP내역(중립)'!$B:$B,"합계"))</f>
        <v/>
      </c>
      <c r="I229" s="15" t="str">
        <f>IF(A229="","",IF(COUNTIFS('MP내역(중립)'!A:A,A229,'MP내역(중립)'!G:G,"&gt;"&amp;#REF!,'MP내역(중립)'!D:D,"&lt;&gt;"&amp;#REF!,'MP내역(중립)'!D:D,"&lt;&gt;"&amp;#REF!,'MP내역(중립)'!B:B,"&lt;&gt;현금",'MP내역(중립)'!B:B,"&lt;&gt;합계")=0,"O","X"))</f>
        <v/>
      </c>
      <c r="J229" s="15" t="str">
        <f>IF(A229="","",IF(AND(ABS(#REF!-SUMIFS('MP내역(중립)'!G:G,'MP내역(중립)'!A:A,A229,'MP내역(중립)'!F:F,"Y"))&lt;0.001,ABS(#REF!-SUMIFS('MP내역(중립)'!G:G,'MP내역(중립)'!A:A,A229,'MP내역(중립)'!B:B,"&lt;&gt;합계"))&lt;0.001),"O","X"))</f>
        <v/>
      </c>
      <c r="K229" s="15" t="str">
        <f>IF(A229="","",IF(COUNTIFS('MP내역(중립)'!A:A,A229,'MP내역(중립)'!H:H,"X")=0,"O","X"))</f>
        <v/>
      </c>
      <c r="L229" s="14"/>
    </row>
    <row r="230" spans="5:12" x14ac:dyDescent="0.3">
      <c r="E230" s="15"/>
      <c r="G230" s="15" t="str">
        <f>IF(A230="","",IFERROR(IF(#REF!&lt;VLOOKUP(A230,'포트변경내역(적극)'!A:C,10,0),"O","X"),""))</f>
        <v/>
      </c>
      <c r="H230" s="15" t="str">
        <f>IF(A230="","",COUNTIFS('MP내역(중립)'!$A:$A,A230)-COUNTIFS('MP내역(중립)'!$A:$A,A230,'MP내역(중립)'!$B:$B,"현금")-COUNTIFS('MP내역(중립)'!$A:$A,A230,'MP내역(중립)'!$B:$B,"예수금")-COUNTIFS('MP내역(중립)'!$A:$A,A230,'MP내역(중립)'!$B:$B,"예탁금")-COUNTIFS('MP내역(중립)'!$A:$A,A230,'MP내역(중립)'!$B:$B,"합계"))</f>
        <v/>
      </c>
      <c r="I230" s="15" t="str">
        <f>IF(A230="","",IF(COUNTIFS('MP내역(중립)'!A:A,A230,'MP내역(중립)'!G:G,"&gt;"&amp;#REF!,'MP내역(중립)'!D:D,"&lt;&gt;"&amp;#REF!,'MP내역(중립)'!D:D,"&lt;&gt;"&amp;#REF!,'MP내역(중립)'!B:B,"&lt;&gt;현금",'MP내역(중립)'!B:B,"&lt;&gt;합계")=0,"O","X"))</f>
        <v/>
      </c>
      <c r="J230" s="15" t="str">
        <f>IF(A230="","",IF(AND(ABS(#REF!-SUMIFS('MP내역(중립)'!G:G,'MP내역(중립)'!A:A,A230,'MP내역(중립)'!F:F,"Y"))&lt;0.001,ABS(#REF!-SUMIFS('MP내역(중립)'!G:G,'MP내역(중립)'!A:A,A230,'MP내역(중립)'!B:B,"&lt;&gt;합계"))&lt;0.001),"O","X"))</f>
        <v/>
      </c>
      <c r="K230" s="15" t="str">
        <f>IF(A230="","",IF(COUNTIFS('MP내역(중립)'!A:A,A230,'MP내역(중립)'!H:H,"X")=0,"O","X"))</f>
        <v/>
      </c>
      <c r="L230" s="14"/>
    </row>
    <row r="231" spans="5:12" x14ac:dyDescent="0.3">
      <c r="E231" s="15"/>
      <c r="G231" s="15" t="str">
        <f>IF(A231="","",IFERROR(IF(#REF!&lt;VLOOKUP(A231,'포트변경내역(적극)'!A:C,10,0),"O","X"),""))</f>
        <v/>
      </c>
      <c r="H231" s="15" t="str">
        <f>IF(A231="","",COUNTIFS('MP내역(중립)'!$A:$A,A231)-COUNTIFS('MP내역(중립)'!$A:$A,A231,'MP내역(중립)'!$B:$B,"현금")-COUNTIFS('MP내역(중립)'!$A:$A,A231,'MP내역(중립)'!$B:$B,"예수금")-COUNTIFS('MP내역(중립)'!$A:$A,A231,'MP내역(중립)'!$B:$B,"예탁금")-COUNTIFS('MP내역(중립)'!$A:$A,A231,'MP내역(중립)'!$B:$B,"합계"))</f>
        <v/>
      </c>
      <c r="I231" s="15" t="str">
        <f>IF(A231="","",IF(COUNTIFS('MP내역(중립)'!A:A,A231,'MP내역(중립)'!G:G,"&gt;"&amp;#REF!,'MP내역(중립)'!D:D,"&lt;&gt;"&amp;#REF!,'MP내역(중립)'!D:D,"&lt;&gt;"&amp;#REF!,'MP내역(중립)'!B:B,"&lt;&gt;현금",'MP내역(중립)'!B:B,"&lt;&gt;합계")=0,"O","X"))</f>
        <v/>
      </c>
      <c r="J231" s="15" t="str">
        <f>IF(A231="","",IF(AND(ABS(#REF!-SUMIFS('MP내역(중립)'!G:G,'MP내역(중립)'!A:A,A231,'MP내역(중립)'!F:F,"Y"))&lt;0.001,ABS(#REF!-SUMIFS('MP내역(중립)'!G:G,'MP내역(중립)'!A:A,A231,'MP내역(중립)'!B:B,"&lt;&gt;합계"))&lt;0.001),"O","X"))</f>
        <v/>
      </c>
      <c r="K231" s="15" t="str">
        <f>IF(A231="","",IF(COUNTIFS('MP내역(중립)'!A:A,A231,'MP내역(중립)'!H:H,"X")=0,"O","X"))</f>
        <v/>
      </c>
      <c r="L231" s="14"/>
    </row>
    <row r="232" spans="5:12" x14ac:dyDescent="0.3">
      <c r="E232" s="15"/>
      <c r="G232" s="15" t="str">
        <f>IF(A232="","",IFERROR(IF(#REF!&lt;VLOOKUP(A232,'포트변경내역(적극)'!A:C,10,0),"O","X"),""))</f>
        <v/>
      </c>
      <c r="H232" s="15" t="str">
        <f>IF(A232="","",COUNTIFS('MP내역(중립)'!$A:$A,A232)-COUNTIFS('MP내역(중립)'!$A:$A,A232,'MP내역(중립)'!$B:$B,"현금")-COUNTIFS('MP내역(중립)'!$A:$A,A232,'MP내역(중립)'!$B:$B,"예수금")-COUNTIFS('MP내역(중립)'!$A:$A,A232,'MP내역(중립)'!$B:$B,"예탁금")-COUNTIFS('MP내역(중립)'!$A:$A,A232,'MP내역(중립)'!$B:$B,"합계"))</f>
        <v/>
      </c>
      <c r="I232" s="15" t="str">
        <f>IF(A232="","",IF(COUNTIFS('MP내역(중립)'!A:A,A232,'MP내역(중립)'!G:G,"&gt;"&amp;#REF!,'MP내역(중립)'!D:D,"&lt;&gt;"&amp;#REF!,'MP내역(중립)'!D:D,"&lt;&gt;"&amp;#REF!,'MP내역(중립)'!B:B,"&lt;&gt;현금",'MP내역(중립)'!B:B,"&lt;&gt;합계")=0,"O","X"))</f>
        <v/>
      </c>
      <c r="J232" s="15" t="str">
        <f>IF(A232="","",IF(AND(ABS(#REF!-SUMIFS('MP내역(중립)'!G:G,'MP내역(중립)'!A:A,A232,'MP내역(중립)'!F:F,"Y"))&lt;0.001,ABS(#REF!-SUMIFS('MP내역(중립)'!G:G,'MP내역(중립)'!A:A,A232,'MP내역(중립)'!B:B,"&lt;&gt;합계"))&lt;0.001),"O","X"))</f>
        <v/>
      </c>
      <c r="K232" s="15" t="str">
        <f>IF(A232="","",IF(COUNTIFS('MP내역(중립)'!A:A,A232,'MP내역(중립)'!H:H,"X")=0,"O","X"))</f>
        <v/>
      </c>
      <c r="L232" s="14"/>
    </row>
    <row r="233" spans="5:12" x14ac:dyDescent="0.3">
      <c r="E233" s="15"/>
      <c r="G233" s="15" t="str">
        <f>IF(A233="","",IFERROR(IF(#REF!&lt;VLOOKUP(A233,'포트변경내역(적극)'!A:C,10,0),"O","X"),""))</f>
        <v/>
      </c>
      <c r="H233" s="15" t="str">
        <f>IF(A233="","",COUNTIFS('MP내역(중립)'!$A:$A,A233)-COUNTIFS('MP내역(중립)'!$A:$A,A233,'MP내역(중립)'!$B:$B,"현금")-COUNTIFS('MP내역(중립)'!$A:$A,A233,'MP내역(중립)'!$B:$B,"예수금")-COUNTIFS('MP내역(중립)'!$A:$A,A233,'MP내역(중립)'!$B:$B,"예탁금")-COUNTIFS('MP내역(중립)'!$A:$A,A233,'MP내역(중립)'!$B:$B,"합계"))</f>
        <v/>
      </c>
      <c r="I233" s="15" t="str">
        <f>IF(A233="","",IF(COUNTIFS('MP내역(중립)'!A:A,A233,'MP내역(중립)'!G:G,"&gt;"&amp;#REF!,'MP내역(중립)'!D:D,"&lt;&gt;"&amp;#REF!,'MP내역(중립)'!D:D,"&lt;&gt;"&amp;#REF!,'MP내역(중립)'!B:B,"&lt;&gt;현금",'MP내역(중립)'!B:B,"&lt;&gt;합계")=0,"O","X"))</f>
        <v/>
      </c>
      <c r="J233" s="15" t="str">
        <f>IF(A233="","",IF(AND(ABS(#REF!-SUMIFS('MP내역(중립)'!G:G,'MP내역(중립)'!A:A,A233,'MP내역(중립)'!F:F,"Y"))&lt;0.001,ABS(#REF!-SUMIFS('MP내역(중립)'!G:G,'MP내역(중립)'!A:A,A233,'MP내역(중립)'!B:B,"&lt;&gt;합계"))&lt;0.001),"O","X"))</f>
        <v/>
      </c>
      <c r="K233" s="15" t="str">
        <f>IF(A233="","",IF(COUNTIFS('MP내역(중립)'!A:A,A233,'MP내역(중립)'!H:H,"X")=0,"O","X"))</f>
        <v/>
      </c>
      <c r="L233" s="14"/>
    </row>
    <row r="234" spans="5:12" x14ac:dyDescent="0.3">
      <c r="E234" s="15"/>
      <c r="G234" s="15" t="str">
        <f>IF(A234="","",IFERROR(IF(#REF!&lt;VLOOKUP(A234,'포트변경내역(적극)'!A:C,10,0),"O","X"),""))</f>
        <v/>
      </c>
      <c r="H234" s="15" t="str">
        <f>IF(A234="","",COUNTIFS('MP내역(중립)'!$A:$A,A234)-COUNTIFS('MP내역(중립)'!$A:$A,A234,'MP내역(중립)'!$B:$B,"현금")-COUNTIFS('MP내역(중립)'!$A:$A,A234,'MP내역(중립)'!$B:$B,"예수금")-COUNTIFS('MP내역(중립)'!$A:$A,A234,'MP내역(중립)'!$B:$B,"예탁금")-COUNTIFS('MP내역(중립)'!$A:$A,A234,'MP내역(중립)'!$B:$B,"합계"))</f>
        <v/>
      </c>
      <c r="I234" s="15" t="str">
        <f>IF(A234="","",IF(COUNTIFS('MP내역(중립)'!A:A,A234,'MP내역(중립)'!G:G,"&gt;"&amp;#REF!,'MP내역(중립)'!D:D,"&lt;&gt;"&amp;#REF!,'MP내역(중립)'!D:D,"&lt;&gt;"&amp;#REF!,'MP내역(중립)'!B:B,"&lt;&gt;현금",'MP내역(중립)'!B:B,"&lt;&gt;합계")=0,"O","X"))</f>
        <v/>
      </c>
      <c r="J234" s="15" t="str">
        <f>IF(A234="","",IF(AND(ABS(#REF!-SUMIFS('MP내역(중립)'!G:G,'MP내역(중립)'!A:A,A234,'MP내역(중립)'!F:F,"Y"))&lt;0.001,ABS(#REF!-SUMIFS('MP내역(중립)'!G:G,'MP내역(중립)'!A:A,A234,'MP내역(중립)'!B:B,"&lt;&gt;합계"))&lt;0.001),"O","X"))</f>
        <v/>
      </c>
      <c r="K234" s="15" t="str">
        <f>IF(A234="","",IF(COUNTIFS('MP내역(중립)'!A:A,A234,'MP내역(중립)'!H:H,"X")=0,"O","X"))</f>
        <v/>
      </c>
      <c r="L234" s="14"/>
    </row>
    <row r="235" spans="5:12" x14ac:dyDescent="0.3">
      <c r="E235" s="15"/>
      <c r="G235" s="15" t="str">
        <f>IF(A235="","",IFERROR(IF(#REF!&lt;VLOOKUP(A235,'포트변경내역(적극)'!A:C,10,0),"O","X"),""))</f>
        <v/>
      </c>
      <c r="H235" s="15" t="str">
        <f>IF(A235="","",COUNTIFS('MP내역(중립)'!$A:$A,A235)-COUNTIFS('MP내역(중립)'!$A:$A,A235,'MP내역(중립)'!$B:$B,"현금")-COUNTIFS('MP내역(중립)'!$A:$A,A235,'MP내역(중립)'!$B:$B,"예수금")-COUNTIFS('MP내역(중립)'!$A:$A,A235,'MP내역(중립)'!$B:$B,"예탁금")-COUNTIFS('MP내역(중립)'!$A:$A,A235,'MP내역(중립)'!$B:$B,"합계"))</f>
        <v/>
      </c>
      <c r="I235" s="15" t="str">
        <f>IF(A235="","",IF(COUNTIFS('MP내역(중립)'!A:A,A235,'MP내역(중립)'!G:G,"&gt;"&amp;#REF!,'MP내역(중립)'!D:D,"&lt;&gt;"&amp;#REF!,'MP내역(중립)'!D:D,"&lt;&gt;"&amp;#REF!,'MP내역(중립)'!B:B,"&lt;&gt;현금",'MP내역(중립)'!B:B,"&lt;&gt;합계")=0,"O","X"))</f>
        <v/>
      </c>
      <c r="J235" s="15" t="str">
        <f>IF(A235="","",IF(AND(ABS(#REF!-SUMIFS('MP내역(중립)'!G:G,'MP내역(중립)'!A:A,A235,'MP내역(중립)'!F:F,"Y"))&lt;0.001,ABS(#REF!-SUMIFS('MP내역(중립)'!G:G,'MP내역(중립)'!A:A,A235,'MP내역(중립)'!B:B,"&lt;&gt;합계"))&lt;0.001),"O","X"))</f>
        <v/>
      </c>
      <c r="K235" s="15" t="str">
        <f>IF(A235="","",IF(COUNTIFS('MP내역(중립)'!A:A,A235,'MP내역(중립)'!H:H,"X")=0,"O","X"))</f>
        <v/>
      </c>
      <c r="L235" s="14"/>
    </row>
    <row r="236" spans="5:12" x14ac:dyDescent="0.3">
      <c r="E236" s="15"/>
      <c r="G236" s="15" t="str">
        <f>IF(A236="","",IFERROR(IF(#REF!&lt;VLOOKUP(A236,'포트변경내역(적극)'!A:C,10,0),"O","X"),""))</f>
        <v/>
      </c>
      <c r="H236" s="15" t="str">
        <f>IF(A236="","",COUNTIFS('MP내역(중립)'!$A:$A,A236)-COUNTIFS('MP내역(중립)'!$A:$A,A236,'MP내역(중립)'!$B:$B,"현금")-COUNTIFS('MP내역(중립)'!$A:$A,A236,'MP내역(중립)'!$B:$B,"예수금")-COUNTIFS('MP내역(중립)'!$A:$A,A236,'MP내역(중립)'!$B:$B,"예탁금")-COUNTIFS('MP내역(중립)'!$A:$A,A236,'MP내역(중립)'!$B:$B,"합계"))</f>
        <v/>
      </c>
      <c r="I236" s="15" t="str">
        <f>IF(A236="","",IF(COUNTIFS('MP내역(중립)'!A:A,A236,'MP내역(중립)'!G:G,"&gt;"&amp;#REF!,'MP내역(중립)'!D:D,"&lt;&gt;"&amp;#REF!,'MP내역(중립)'!D:D,"&lt;&gt;"&amp;#REF!,'MP내역(중립)'!B:B,"&lt;&gt;현금",'MP내역(중립)'!B:B,"&lt;&gt;합계")=0,"O","X"))</f>
        <v/>
      </c>
      <c r="J236" s="15" t="str">
        <f>IF(A236="","",IF(AND(ABS(#REF!-SUMIFS('MP내역(중립)'!G:G,'MP내역(중립)'!A:A,A236,'MP내역(중립)'!F:F,"Y"))&lt;0.001,ABS(#REF!-SUMIFS('MP내역(중립)'!G:G,'MP내역(중립)'!A:A,A236,'MP내역(중립)'!B:B,"&lt;&gt;합계"))&lt;0.001),"O","X"))</f>
        <v/>
      </c>
      <c r="K236" s="15" t="str">
        <f>IF(A236="","",IF(COUNTIFS('MP내역(중립)'!A:A,A236,'MP내역(중립)'!H:H,"X")=0,"O","X"))</f>
        <v/>
      </c>
      <c r="L236" s="14"/>
    </row>
    <row r="237" spans="5:12" x14ac:dyDescent="0.3">
      <c r="E237" s="15"/>
      <c r="G237" s="15" t="str">
        <f>IF(A237="","",IFERROR(IF(#REF!&lt;VLOOKUP(A237,'포트변경내역(적극)'!A:C,10,0),"O","X"),""))</f>
        <v/>
      </c>
      <c r="H237" s="15" t="str">
        <f>IF(A237="","",COUNTIFS('MP내역(중립)'!$A:$A,A237)-COUNTIFS('MP내역(중립)'!$A:$A,A237,'MP내역(중립)'!$B:$B,"현금")-COUNTIFS('MP내역(중립)'!$A:$A,A237,'MP내역(중립)'!$B:$B,"예수금")-COUNTIFS('MP내역(중립)'!$A:$A,A237,'MP내역(중립)'!$B:$B,"예탁금")-COUNTIFS('MP내역(중립)'!$A:$A,A237,'MP내역(중립)'!$B:$B,"합계"))</f>
        <v/>
      </c>
      <c r="I237" s="15" t="str">
        <f>IF(A237="","",IF(COUNTIFS('MP내역(중립)'!A:A,A237,'MP내역(중립)'!G:G,"&gt;"&amp;#REF!,'MP내역(중립)'!D:D,"&lt;&gt;"&amp;#REF!,'MP내역(중립)'!D:D,"&lt;&gt;"&amp;#REF!,'MP내역(중립)'!B:B,"&lt;&gt;현금",'MP내역(중립)'!B:B,"&lt;&gt;합계")=0,"O","X"))</f>
        <v/>
      </c>
      <c r="J237" s="15" t="str">
        <f>IF(A237="","",IF(AND(ABS(#REF!-SUMIFS('MP내역(중립)'!G:G,'MP내역(중립)'!A:A,A237,'MP내역(중립)'!F:F,"Y"))&lt;0.001,ABS(#REF!-SUMIFS('MP내역(중립)'!G:G,'MP내역(중립)'!A:A,A237,'MP내역(중립)'!B:B,"&lt;&gt;합계"))&lt;0.001),"O","X"))</f>
        <v/>
      </c>
      <c r="K237" s="15" t="str">
        <f>IF(A237="","",IF(COUNTIFS('MP내역(중립)'!A:A,A237,'MP내역(중립)'!H:H,"X")=0,"O","X"))</f>
        <v/>
      </c>
      <c r="L237" s="14"/>
    </row>
    <row r="238" spans="5:12" x14ac:dyDescent="0.3">
      <c r="E238" s="15"/>
      <c r="G238" s="15" t="str">
        <f>IF(A238="","",IFERROR(IF(#REF!&lt;VLOOKUP(A238,'포트변경내역(적극)'!A:C,10,0),"O","X"),""))</f>
        <v/>
      </c>
      <c r="H238" s="15" t="str">
        <f>IF(A238="","",COUNTIFS('MP내역(중립)'!$A:$A,A238)-COUNTIFS('MP내역(중립)'!$A:$A,A238,'MP내역(중립)'!$B:$B,"현금")-COUNTIFS('MP내역(중립)'!$A:$A,A238,'MP내역(중립)'!$B:$B,"예수금")-COUNTIFS('MP내역(중립)'!$A:$A,A238,'MP내역(중립)'!$B:$B,"예탁금")-COUNTIFS('MP내역(중립)'!$A:$A,A238,'MP내역(중립)'!$B:$B,"합계"))</f>
        <v/>
      </c>
      <c r="I238" s="15" t="str">
        <f>IF(A238="","",IF(COUNTIFS('MP내역(중립)'!A:A,A238,'MP내역(중립)'!G:G,"&gt;"&amp;#REF!,'MP내역(중립)'!D:D,"&lt;&gt;"&amp;#REF!,'MP내역(중립)'!D:D,"&lt;&gt;"&amp;#REF!,'MP내역(중립)'!B:B,"&lt;&gt;현금",'MP내역(중립)'!B:B,"&lt;&gt;합계")=0,"O","X"))</f>
        <v/>
      </c>
      <c r="J238" s="15" t="str">
        <f>IF(A238="","",IF(AND(ABS(#REF!-SUMIFS('MP내역(중립)'!G:G,'MP내역(중립)'!A:A,A238,'MP내역(중립)'!F:F,"Y"))&lt;0.001,ABS(#REF!-SUMIFS('MP내역(중립)'!G:G,'MP내역(중립)'!A:A,A238,'MP내역(중립)'!B:B,"&lt;&gt;합계"))&lt;0.001),"O","X"))</f>
        <v/>
      </c>
      <c r="K238" s="15" t="str">
        <f>IF(A238="","",IF(COUNTIFS('MP내역(중립)'!A:A,A238,'MP내역(중립)'!H:H,"X")=0,"O","X"))</f>
        <v/>
      </c>
      <c r="L238" s="14"/>
    </row>
    <row r="239" spans="5:12" x14ac:dyDescent="0.3">
      <c r="E239" s="15"/>
      <c r="G239" s="15" t="str">
        <f>IF(A239="","",IFERROR(IF(#REF!&lt;VLOOKUP(A239,'포트변경내역(적극)'!A:C,10,0),"O","X"),""))</f>
        <v/>
      </c>
      <c r="H239" s="15" t="str">
        <f>IF(A239="","",COUNTIFS('MP내역(중립)'!$A:$A,A239)-COUNTIFS('MP내역(중립)'!$A:$A,A239,'MP내역(중립)'!$B:$B,"현금")-COUNTIFS('MP내역(중립)'!$A:$A,A239,'MP내역(중립)'!$B:$B,"예수금")-COUNTIFS('MP내역(중립)'!$A:$A,A239,'MP내역(중립)'!$B:$B,"예탁금")-COUNTIFS('MP내역(중립)'!$A:$A,A239,'MP내역(중립)'!$B:$B,"합계"))</f>
        <v/>
      </c>
      <c r="I239" s="15" t="str">
        <f>IF(A239="","",IF(COUNTIFS('MP내역(중립)'!A:A,A239,'MP내역(중립)'!G:G,"&gt;"&amp;#REF!,'MP내역(중립)'!D:D,"&lt;&gt;"&amp;#REF!,'MP내역(중립)'!D:D,"&lt;&gt;"&amp;#REF!,'MP내역(중립)'!B:B,"&lt;&gt;현금",'MP내역(중립)'!B:B,"&lt;&gt;합계")=0,"O","X"))</f>
        <v/>
      </c>
      <c r="J239" s="15" t="str">
        <f>IF(A239="","",IF(AND(ABS(#REF!-SUMIFS('MP내역(중립)'!G:G,'MP내역(중립)'!A:A,A239,'MP내역(중립)'!F:F,"Y"))&lt;0.001,ABS(#REF!-SUMIFS('MP내역(중립)'!G:G,'MP내역(중립)'!A:A,A239,'MP내역(중립)'!B:B,"&lt;&gt;합계"))&lt;0.001),"O","X"))</f>
        <v/>
      </c>
      <c r="K239" s="15" t="str">
        <f>IF(A239="","",IF(COUNTIFS('MP내역(중립)'!A:A,A239,'MP내역(중립)'!H:H,"X")=0,"O","X"))</f>
        <v/>
      </c>
      <c r="L239" s="14"/>
    </row>
    <row r="240" spans="5:12" x14ac:dyDescent="0.3">
      <c r="E240" s="15"/>
      <c r="G240" s="15" t="str">
        <f>IF(A240="","",IFERROR(IF(#REF!&lt;VLOOKUP(A240,'포트변경내역(적극)'!A:C,10,0),"O","X"),""))</f>
        <v/>
      </c>
      <c r="H240" s="15" t="str">
        <f>IF(A240="","",COUNTIFS('MP내역(중립)'!$A:$A,A240)-COUNTIFS('MP내역(중립)'!$A:$A,A240,'MP내역(중립)'!$B:$B,"현금")-COUNTIFS('MP내역(중립)'!$A:$A,A240,'MP내역(중립)'!$B:$B,"예수금")-COUNTIFS('MP내역(중립)'!$A:$A,A240,'MP내역(중립)'!$B:$B,"예탁금")-COUNTIFS('MP내역(중립)'!$A:$A,A240,'MP내역(중립)'!$B:$B,"합계"))</f>
        <v/>
      </c>
      <c r="I240" s="15" t="str">
        <f>IF(A240="","",IF(COUNTIFS('MP내역(중립)'!A:A,A240,'MP내역(중립)'!G:G,"&gt;"&amp;#REF!,'MP내역(중립)'!D:D,"&lt;&gt;"&amp;#REF!,'MP내역(중립)'!D:D,"&lt;&gt;"&amp;#REF!,'MP내역(중립)'!B:B,"&lt;&gt;현금",'MP내역(중립)'!B:B,"&lt;&gt;합계")=0,"O","X"))</f>
        <v/>
      </c>
      <c r="J240" s="15" t="str">
        <f>IF(A240="","",IF(AND(ABS(#REF!-SUMIFS('MP내역(중립)'!G:G,'MP내역(중립)'!A:A,A240,'MP내역(중립)'!F:F,"Y"))&lt;0.001,ABS(#REF!-SUMIFS('MP내역(중립)'!G:G,'MP내역(중립)'!A:A,A240,'MP내역(중립)'!B:B,"&lt;&gt;합계"))&lt;0.001),"O","X"))</f>
        <v/>
      </c>
      <c r="K240" s="15" t="str">
        <f>IF(A240="","",IF(COUNTIFS('MP내역(중립)'!A:A,A240,'MP내역(중립)'!H:H,"X")=0,"O","X"))</f>
        <v/>
      </c>
      <c r="L240" s="14"/>
    </row>
    <row r="241" spans="5:12" x14ac:dyDescent="0.3">
      <c r="E241" s="15"/>
      <c r="G241" s="15" t="str">
        <f>IF(A241="","",IFERROR(IF(#REF!&lt;VLOOKUP(A241,'포트변경내역(적극)'!A:C,10,0),"O","X"),""))</f>
        <v/>
      </c>
      <c r="H241" s="15" t="str">
        <f>IF(A241="","",COUNTIFS('MP내역(중립)'!$A:$A,A241)-COUNTIFS('MP내역(중립)'!$A:$A,A241,'MP내역(중립)'!$B:$B,"현금")-COUNTIFS('MP내역(중립)'!$A:$A,A241,'MP내역(중립)'!$B:$B,"예수금")-COUNTIFS('MP내역(중립)'!$A:$A,A241,'MP내역(중립)'!$B:$B,"예탁금")-COUNTIFS('MP내역(중립)'!$A:$A,A241,'MP내역(중립)'!$B:$B,"합계"))</f>
        <v/>
      </c>
      <c r="I241" s="15" t="str">
        <f>IF(A241="","",IF(COUNTIFS('MP내역(중립)'!A:A,A241,'MP내역(중립)'!G:G,"&gt;"&amp;#REF!,'MP내역(중립)'!D:D,"&lt;&gt;"&amp;#REF!,'MP내역(중립)'!D:D,"&lt;&gt;"&amp;#REF!,'MP내역(중립)'!B:B,"&lt;&gt;현금",'MP내역(중립)'!B:B,"&lt;&gt;합계")=0,"O","X"))</f>
        <v/>
      </c>
      <c r="J241" s="15" t="str">
        <f>IF(A241="","",IF(AND(ABS(#REF!-SUMIFS('MP내역(중립)'!G:G,'MP내역(중립)'!A:A,A241,'MP내역(중립)'!F:F,"Y"))&lt;0.001,ABS(#REF!-SUMIFS('MP내역(중립)'!G:G,'MP내역(중립)'!A:A,A241,'MP내역(중립)'!B:B,"&lt;&gt;합계"))&lt;0.001),"O","X"))</f>
        <v/>
      </c>
      <c r="K241" s="15" t="str">
        <f>IF(A241="","",IF(COUNTIFS('MP내역(중립)'!A:A,A241,'MP내역(중립)'!H:H,"X")=0,"O","X"))</f>
        <v/>
      </c>
      <c r="L241" s="14"/>
    </row>
    <row r="242" spans="5:12" x14ac:dyDescent="0.3">
      <c r="E242" s="15"/>
      <c r="G242" s="15" t="str">
        <f>IF(A242="","",IFERROR(IF(#REF!&lt;VLOOKUP(A242,'포트변경내역(적극)'!A:C,10,0),"O","X"),""))</f>
        <v/>
      </c>
      <c r="H242" s="15" t="str">
        <f>IF(A242="","",COUNTIFS('MP내역(중립)'!$A:$A,A242)-COUNTIFS('MP내역(중립)'!$A:$A,A242,'MP내역(중립)'!$B:$B,"현금")-COUNTIFS('MP내역(중립)'!$A:$A,A242,'MP내역(중립)'!$B:$B,"예수금")-COUNTIFS('MP내역(중립)'!$A:$A,A242,'MP내역(중립)'!$B:$B,"예탁금")-COUNTIFS('MP내역(중립)'!$A:$A,A242,'MP내역(중립)'!$B:$B,"합계"))</f>
        <v/>
      </c>
      <c r="I242" s="15" t="str">
        <f>IF(A242="","",IF(COUNTIFS('MP내역(중립)'!A:A,A242,'MP내역(중립)'!G:G,"&gt;"&amp;#REF!,'MP내역(중립)'!D:D,"&lt;&gt;"&amp;#REF!,'MP내역(중립)'!D:D,"&lt;&gt;"&amp;#REF!,'MP내역(중립)'!B:B,"&lt;&gt;현금",'MP내역(중립)'!B:B,"&lt;&gt;합계")=0,"O","X"))</f>
        <v/>
      </c>
      <c r="J242" s="15" t="str">
        <f>IF(A242="","",IF(AND(ABS(#REF!-SUMIFS('MP내역(중립)'!G:G,'MP내역(중립)'!A:A,A242,'MP내역(중립)'!F:F,"Y"))&lt;0.001,ABS(#REF!-SUMIFS('MP내역(중립)'!G:G,'MP내역(중립)'!A:A,A242,'MP내역(중립)'!B:B,"&lt;&gt;합계"))&lt;0.001),"O","X"))</f>
        <v/>
      </c>
      <c r="K242" s="15" t="str">
        <f>IF(A242="","",IF(COUNTIFS('MP내역(중립)'!A:A,A242,'MP내역(중립)'!H:H,"X")=0,"O","X"))</f>
        <v/>
      </c>
      <c r="L242" s="14"/>
    </row>
    <row r="243" spans="5:12" x14ac:dyDescent="0.3">
      <c r="E243" s="15"/>
      <c r="G243" s="15" t="str">
        <f>IF(A243="","",IFERROR(IF(#REF!&lt;VLOOKUP(A243,'포트변경내역(적극)'!A:C,10,0),"O","X"),""))</f>
        <v/>
      </c>
      <c r="H243" s="15" t="str">
        <f>IF(A243="","",COUNTIFS('MP내역(중립)'!$A:$A,A243)-COUNTIFS('MP내역(중립)'!$A:$A,A243,'MP내역(중립)'!$B:$B,"현금")-COUNTIFS('MP내역(중립)'!$A:$A,A243,'MP내역(중립)'!$B:$B,"예수금")-COUNTIFS('MP내역(중립)'!$A:$A,A243,'MP내역(중립)'!$B:$B,"예탁금")-COUNTIFS('MP내역(중립)'!$A:$A,A243,'MP내역(중립)'!$B:$B,"합계"))</f>
        <v/>
      </c>
      <c r="I243" s="15" t="str">
        <f>IF(A243="","",IF(COUNTIFS('MP내역(중립)'!A:A,A243,'MP내역(중립)'!G:G,"&gt;"&amp;#REF!,'MP내역(중립)'!D:D,"&lt;&gt;"&amp;#REF!,'MP내역(중립)'!D:D,"&lt;&gt;"&amp;#REF!,'MP내역(중립)'!B:B,"&lt;&gt;현금",'MP내역(중립)'!B:B,"&lt;&gt;합계")=0,"O","X"))</f>
        <v/>
      </c>
      <c r="J243" s="15" t="str">
        <f>IF(A243="","",IF(AND(ABS(#REF!-SUMIFS('MP내역(중립)'!G:G,'MP내역(중립)'!A:A,A243,'MP내역(중립)'!F:F,"Y"))&lt;0.001,ABS(#REF!-SUMIFS('MP내역(중립)'!G:G,'MP내역(중립)'!A:A,A243,'MP내역(중립)'!B:B,"&lt;&gt;합계"))&lt;0.001),"O","X"))</f>
        <v/>
      </c>
      <c r="K243" s="15" t="str">
        <f>IF(A243="","",IF(COUNTIFS('MP내역(중립)'!A:A,A243,'MP내역(중립)'!H:H,"X")=0,"O","X"))</f>
        <v/>
      </c>
      <c r="L243" s="14"/>
    </row>
    <row r="244" spans="5:12" x14ac:dyDescent="0.3">
      <c r="E244" s="15"/>
      <c r="G244" s="15" t="str">
        <f>IF(A244="","",IFERROR(IF(#REF!&lt;VLOOKUP(A244,'포트변경내역(적극)'!A:C,10,0),"O","X"),""))</f>
        <v/>
      </c>
      <c r="H244" s="15" t="str">
        <f>IF(A244="","",COUNTIFS('MP내역(중립)'!$A:$A,A244)-COUNTIFS('MP내역(중립)'!$A:$A,A244,'MP내역(중립)'!$B:$B,"현금")-COUNTIFS('MP내역(중립)'!$A:$A,A244,'MP내역(중립)'!$B:$B,"예수금")-COUNTIFS('MP내역(중립)'!$A:$A,A244,'MP내역(중립)'!$B:$B,"예탁금")-COUNTIFS('MP내역(중립)'!$A:$A,A244,'MP내역(중립)'!$B:$B,"합계"))</f>
        <v/>
      </c>
      <c r="I244" s="15" t="str">
        <f>IF(A244="","",IF(COUNTIFS('MP내역(중립)'!A:A,A244,'MP내역(중립)'!G:G,"&gt;"&amp;#REF!,'MP내역(중립)'!D:D,"&lt;&gt;"&amp;#REF!,'MP내역(중립)'!D:D,"&lt;&gt;"&amp;#REF!,'MP내역(중립)'!B:B,"&lt;&gt;현금",'MP내역(중립)'!B:B,"&lt;&gt;합계")=0,"O","X"))</f>
        <v/>
      </c>
      <c r="J244" s="15" t="str">
        <f>IF(A244="","",IF(AND(ABS(#REF!-SUMIFS('MP내역(중립)'!G:G,'MP내역(중립)'!A:A,A244,'MP내역(중립)'!F:F,"Y"))&lt;0.001,ABS(#REF!-SUMIFS('MP내역(중립)'!G:G,'MP내역(중립)'!A:A,A244,'MP내역(중립)'!B:B,"&lt;&gt;합계"))&lt;0.001),"O","X"))</f>
        <v/>
      </c>
      <c r="K244" s="15" t="str">
        <f>IF(A244="","",IF(COUNTIFS('MP내역(중립)'!A:A,A244,'MP내역(중립)'!H:H,"X")=0,"O","X"))</f>
        <v/>
      </c>
      <c r="L244" s="14"/>
    </row>
    <row r="245" spans="5:12" x14ac:dyDescent="0.3">
      <c r="E245" s="15"/>
      <c r="G245" s="15" t="str">
        <f>IF(A245="","",IFERROR(IF(#REF!&lt;VLOOKUP(A245,'포트변경내역(적극)'!A:C,10,0),"O","X"),""))</f>
        <v/>
      </c>
      <c r="H245" s="15" t="str">
        <f>IF(A245="","",COUNTIFS('MP내역(중립)'!$A:$A,A245)-COUNTIFS('MP내역(중립)'!$A:$A,A245,'MP내역(중립)'!$B:$B,"현금")-COUNTIFS('MP내역(중립)'!$A:$A,A245,'MP내역(중립)'!$B:$B,"예수금")-COUNTIFS('MP내역(중립)'!$A:$A,A245,'MP내역(중립)'!$B:$B,"예탁금")-COUNTIFS('MP내역(중립)'!$A:$A,A245,'MP내역(중립)'!$B:$B,"합계"))</f>
        <v/>
      </c>
      <c r="I245" s="15" t="str">
        <f>IF(A245="","",IF(COUNTIFS('MP내역(중립)'!A:A,A245,'MP내역(중립)'!G:G,"&gt;"&amp;#REF!,'MP내역(중립)'!D:D,"&lt;&gt;"&amp;#REF!,'MP내역(중립)'!D:D,"&lt;&gt;"&amp;#REF!,'MP내역(중립)'!B:B,"&lt;&gt;현금",'MP내역(중립)'!B:B,"&lt;&gt;합계")=0,"O","X"))</f>
        <v/>
      </c>
      <c r="J245" s="15" t="str">
        <f>IF(A245="","",IF(AND(ABS(#REF!-SUMIFS('MP내역(중립)'!G:G,'MP내역(중립)'!A:A,A245,'MP내역(중립)'!F:F,"Y"))&lt;0.001,ABS(#REF!-SUMIFS('MP내역(중립)'!G:G,'MP내역(중립)'!A:A,A245,'MP내역(중립)'!B:B,"&lt;&gt;합계"))&lt;0.001),"O","X"))</f>
        <v/>
      </c>
      <c r="K245" s="15" t="str">
        <f>IF(A245="","",IF(COUNTIFS('MP내역(중립)'!A:A,A245,'MP내역(중립)'!H:H,"X")=0,"O","X"))</f>
        <v/>
      </c>
      <c r="L245" s="14"/>
    </row>
    <row r="246" spans="5:12" x14ac:dyDescent="0.3">
      <c r="E246" s="15"/>
      <c r="G246" s="15" t="str">
        <f>IF(A246="","",IFERROR(IF(#REF!&lt;VLOOKUP(A246,'포트변경내역(적극)'!A:C,10,0),"O","X"),""))</f>
        <v/>
      </c>
      <c r="H246" s="15" t="str">
        <f>IF(A246="","",COUNTIFS('MP내역(중립)'!$A:$A,A246)-COUNTIFS('MP내역(중립)'!$A:$A,A246,'MP내역(중립)'!$B:$B,"현금")-COUNTIFS('MP내역(중립)'!$A:$A,A246,'MP내역(중립)'!$B:$B,"예수금")-COUNTIFS('MP내역(중립)'!$A:$A,A246,'MP내역(중립)'!$B:$B,"예탁금")-COUNTIFS('MP내역(중립)'!$A:$A,A246,'MP내역(중립)'!$B:$B,"합계"))</f>
        <v/>
      </c>
      <c r="I246" s="15" t="str">
        <f>IF(A246="","",IF(COUNTIFS('MP내역(중립)'!A:A,A246,'MP내역(중립)'!G:G,"&gt;"&amp;#REF!,'MP내역(중립)'!D:D,"&lt;&gt;"&amp;#REF!,'MP내역(중립)'!D:D,"&lt;&gt;"&amp;#REF!,'MP내역(중립)'!B:B,"&lt;&gt;현금",'MP내역(중립)'!B:B,"&lt;&gt;합계")=0,"O","X"))</f>
        <v/>
      </c>
      <c r="J246" s="15" t="str">
        <f>IF(A246="","",IF(AND(ABS(#REF!-SUMIFS('MP내역(중립)'!G:G,'MP내역(중립)'!A:A,A246,'MP내역(중립)'!F:F,"Y"))&lt;0.001,ABS(#REF!-SUMIFS('MP내역(중립)'!G:G,'MP내역(중립)'!A:A,A246,'MP내역(중립)'!B:B,"&lt;&gt;합계"))&lt;0.001),"O","X"))</f>
        <v/>
      </c>
      <c r="K246" s="15" t="str">
        <f>IF(A246="","",IF(COUNTIFS('MP내역(중립)'!A:A,A246,'MP내역(중립)'!H:H,"X")=0,"O","X"))</f>
        <v/>
      </c>
      <c r="L246" s="14"/>
    </row>
    <row r="247" spans="5:12" x14ac:dyDescent="0.3">
      <c r="E247" s="15"/>
      <c r="G247" s="15" t="str">
        <f>IF(A247="","",IFERROR(IF(#REF!&lt;VLOOKUP(A247,'포트변경내역(적극)'!A:C,10,0),"O","X"),""))</f>
        <v/>
      </c>
      <c r="H247" s="15" t="str">
        <f>IF(A247="","",COUNTIFS('MP내역(중립)'!$A:$A,A247)-COUNTIFS('MP내역(중립)'!$A:$A,A247,'MP내역(중립)'!$B:$B,"현금")-COUNTIFS('MP내역(중립)'!$A:$A,A247,'MP내역(중립)'!$B:$B,"예수금")-COUNTIFS('MP내역(중립)'!$A:$A,A247,'MP내역(중립)'!$B:$B,"예탁금")-COUNTIFS('MP내역(중립)'!$A:$A,A247,'MP내역(중립)'!$B:$B,"합계"))</f>
        <v/>
      </c>
      <c r="I247" s="15" t="str">
        <f>IF(A247="","",IF(COUNTIFS('MP내역(중립)'!A:A,A247,'MP내역(중립)'!G:G,"&gt;"&amp;#REF!,'MP내역(중립)'!D:D,"&lt;&gt;"&amp;#REF!,'MP내역(중립)'!D:D,"&lt;&gt;"&amp;#REF!,'MP내역(중립)'!B:B,"&lt;&gt;현금",'MP내역(중립)'!B:B,"&lt;&gt;합계")=0,"O","X"))</f>
        <v/>
      </c>
      <c r="J247" s="15" t="str">
        <f>IF(A247="","",IF(AND(ABS(#REF!-SUMIFS('MP내역(중립)'!G:G,'MP내역(중립)'!A:A,A247,'MP내역(중립)'!F:F,"Y"))&lt;0.001,ABS(#REF!-SUMIFS('MP내역(중립)'!G:G,'MP내역(중립)'!A:A,A247,'MP내역(중립)'!B:B,"&lt;&gt;합계"))&lt;0.001),"O","X"))</f>
        <v/>
      </c>
      <c r="K247" s="15" t="str">
        <f>IF(A247="","",IF(COUNTIFS('MP내역(중립)'!A:A,A247,'MP내역(중립)'!H:H,"X")=0,"O","X"))</f>
        <v/>
      </c>
      <c r="L247" s="14"/>
    </row>
    <row r="248" spans="5:12" x14ac:dyDescent="0.3">
      <c r="E248" s="15"/>
      <c r="G248" s="15" t="str">
        <f>IF(A248="","",IFERROR(IF(#REF!&lt;VLOOKUP(A248,'포트변경내역(적극)'!A:C,10,0),"O","X"),""))</f>
        <v/>
      </c>
      <c r="H248" s="15" t="str">
        <f>IF(A248="","",COUNTIFS('MP내역(중립)'!$A:$A,A248)-COUNTIFS('MP내역(중립)'!$A:$A,A248,'MP내역(중립)'!$B:$B,"현금")-COUNTIFS('MP내역(중립)'!$A:$A,A248,'MP내역(중립)'!$B:$B,"예수금")-COUNTIFS('MP내역(중립)'!$A:$A,A248,'MP내역(중립)'!$B:$B,"예탁금")-COUNTIFS('MP내역(중립)'!$A:$A,A248,'MP내역(중립)'!$B:$B,"합계"))</f>
        <v/>
      </c>
      <c r="I248" s="15" t="str">
        <f>IF(A248="","",IF(COUNTIFS('MP내역(중립)'!A:A,A248,'MP내역(중립)'!G:G,"&gt;"&amp;#REF!,'MP내역(중립)'!D:D,"&lt;&gt;"&amp;#REF!,'MP내역(중립)'!D:D,"&lt;&gt;"&amp;#REF!,'MP내역(중립)'!B:B,"&lt;&gt;현금",'MP내역(중립)'!B:B,"&lt;&gt;합계")=0,"O","X"))</f>
        <v/>
      </c>
      <c r="J248" s="15" t="str">
        <f>IF(A248="","",IF(AND(ABS(#REF!-SUMIFS('MP내역(중립)'!G:G,'MP내역(중립)'!A:A,A248,'MP내역(중립)'!F:F,"Y"))&lt;0.001,ABS(#REF!-SUMIFS('MP내역(중립)'!G:G,'MP내역(중립)'!A:A,A248,'MP내역(중립)'!B:B,"&lt;&gt;합계"))&lt;0.001),"O","X"))</f>
        <v/>
      </c>
      <c r="K248" s="15" t="str">
        <f>IF(A248="","",IF(COUNTIFS('MP내역(중립)'!A:A,A248,'MP내역(중립)'!H:H,"X")=0,"O","X"))</f>
        <v/>
      </c>
      <c r="L248" s="14"/>
    </row>
    <row r="249" spans="5:12" x14ac:dyDescent="0.3">
      <c r="E249" s="15"/>
      <c r="G249" s="15" t="str">
        <f>IF(A249="","",IFERROR(IF(#REF!&lt;VLOOKUP(A249,'포트변경내역(적극)'!A:C,10,0),"O","X"),""))</f>
        <v/>
      </c>
      <c r="H249" s="15" t="str">
        <f>IF(A249="","",COUNTIFS('MP내역(중립)'!$A:$A,A249)-COUNTIFS('MP내역(중립)'!$A:$A,A249,'MP내역(중립)'!$B:$B,"현금")-COUNTIFS('MP내역(중립)'!$A:$A,A249,'MP내역(중립)'!$B:$B,"예수금")-COUNTIFS('MP내역(중립)'!$A:$A,A249,'MP내역(중립)'!$B:$B,"예탁금")-COUNTIFS('MP내역(중립)'!$A:$A,A249,'MP내역(중립)'!$B:$B,"합계"))</f>
        <v/>
      </c>
      <c r="I249" s="15" t="str">
        <f>IF(A249="","",IF(COUNTIFS('MP내역(중립)'!A:A,A249,'MP내역(중립)'!G:G,"&gt;"&amp;#REF!,'MP내역(중립)'!D:D,"&lt;&gt;"&amp;#REF!,'MP내역(중립)'!D:D,"&lt;&gt;"&amp;#REF!,'MP내역(중립)'!B:B,"&lt;&gt;현금",'MP내역(중립)'!B:B,"&lt;&gt;합계")=0,"O","X"))</f>
        <v/>
      </c>
      <c r="J249" s="15" t="str">
        <f>IF(A249="","",IF(AND(ABS(#REF!-SUMIFS('MP내역(중립)'!G:G,'MP내역(중립)'!A:A,A249,'MP내역(중립)'!F:F,"Y"))&lt;0.001,ABS(#REF!-SUMIFS('MP내역(중립)'!G:G,'MP내역(중립)'!A:A,A249,'MP내역(중립)'!B:B,"&lt;&gt;합계"))&lt;0.001),"O","X"))</f>
        <v/>
      </c>
      <c r="K249" s="15" t="str">
        <f>IF(A249="","",IF(COUNTIFS('MP내역(중립)'!A:A,A249,'MP내역(중립)'!H:H,"X")=0,"O","X"))</f>
        <v/>
      </c>
      <c r="L249" s="14"/>
    </row>
    <row r="250" spans="5:12" x14ac:dyDescent="0.3">
      <c r="E250" s="15"/>
      <c r="G250" s="15" t="str">
        <f>IF(A250="","",IFERROR(IF(#REF!&lt;VLOOKUP(A250,'포트변경내역(적극)'!A:C,10,0),"O","X"),""))</f>
        <v/>
      </c>
      <c r="H250" s="15" t="str">
        <f>IF(A250="","",COUNTIFS('MP내역(중립)'!$A:$A,A250)-COUNTIFS('MP내역(중립)'!$A:$A,A250,'MP내역(중립)'!$B:$B,"현금")-COUNTIFS('MP내역(중립)'!$A:$A,A250,'MP내역(중립)'!$B:$B,"예수금")-COUNTIFS('MP내역(중립)'!$A:$A,A250,'MP내역(중립)'!$B:$B,"예탁금")-COUNTIFS('MP내역(중립)'!$A:$A,A250,'MP내역(중립)'!$B:$B,"합계"))</f>
        <v/>
      </c>
      <c r="I250" s="15" t="str">
        <f>IF(A250="","",IF(COUNTIFS('MP내역(중립)'!A:A,A250,'MP내역(중립)'!G:G,"&gt;"&amp;#REF!,'MP내역(중립)'!D:D,"&lt;&gt;"&amp;#REF!,'MP내역(중립)'!D:D,"&lt;&gt;"&amp;#REF!,'MP내역(중립)'!B:B,"&lt;&gt;현금",'MP내역(중립)'!B:B,"&lt;&gt;합계")=0,"O","X"))</f>
        <v/>
      </c>
      <c r="J250" s="15" t="str">
        <f>IF(A250="","",IF(AND(ABS(#REF!-SUMIFS('MP내역(중립)'!G:G,'MP내역(중립)'!A:A,A250,'MP내역(중립)'!F:F,"Y"))&lt;0.001,ABS(#REF!-SUMIFS('MP내역(중립)'!G:G,'MP내역(중립)'!A:A,A250,'MP내역(중립)'!B:B,"&lt;&gt;합계"))&lt;0.001),"O","X"))</f>
        <v/>
      </c>
      <c r="K250" s="15" t="str">
        <f>IF(A250="","",IF(COUNTIFS('MP내역(중립)'!A:A,A250,'MP내역(중립)'!H:H,"X")=0,"O","X"))</f>
        <v/>
      </c>
      <c r="L250" s="14"/>
    </row>
    <row r="251" spans="5:12" x14ac:dyDescent="0.3">
      <c r="E251" s="15"/>
      <c r="G251" s="15" t="str">
        <f>IF(A251="","",IFERROR(IF(#REF!&lt;VLOOKUP(A251,'포트변경내역(적극)'!A:C,10,0),"O","X"),""))</f>
        <v/>
      </c>
      <c r="H251" s="15" t="str">
        <f>IF(A251="","",COUNTIFS('MP내역(중립)'!$A:$A,A251)-COUNTIFS('MP내역(중립)'!$A:$A,A251,'MP내역(중립)'!$B:$B,"현금")-COUNTIFS('MP내역(중립)'!$A:$A,A251,'MP내역(중립)'!$B:$B,"예수금")-COUNTIFS('MP내역(중립)'!$A:$A,A251,'MP내역(중립)'!$B:$B,"예탁금")-COUNTIFS('MP내역(중립)'!$A:$A,A251,'MP내역(중립)'!$B:$B,"합계"))</f>
        <v/>
      </c>
      <c r="I251" s="15" t="str">
        <f>IF(A251="","",IF(COUNTIFS('MP내역(중립)'!A:A,A251,'MP내역(중립)'!G:G,"&gt;"&amp;#REF!,'MP내역(중립)'!D:D,"&lt;&gt;"&amp;#REF!,'MP내역(중립)'!D:D,"&lt;&gt;"&amp;#REF!,'MP내역(중립)'!B:B,"&lt;&gt;현금",'MP내역(중립)'!B:B,"&lt;&gt;합계")=0,"O","X"))</f>
        <v/>
      </c>
      <c r="J251" s="15" t="str">
        <f>IF(A251="","",IF(AND(ABS(#REF!-SUMIFS('MP내역(중립)'!G:G,'MP내역(중립)'!A:A,A251,'MP내역(중립)'!F:F,"Y"))&lt;0.001,ABS(#REF!-SUMIFS('MP내역(중립)'!G:G,'MP내역(중립)'!A:A,A251,'MP내역(중립)'!B:B,"&lt;&gt;합계"))&lt;0.001),"O","X"))</f>
        <v/>
      </c>
      <c r="K251" s="15" t="str">
        <f>IF(A251="","",IF(COUNTIFS('MP내역(중립)'!A:A,A251,'MP내역(중립)'!H:H,"X")=0,"O","X"))</f>
        <v/>
      </c>
      <c r="L251" s="14"/>
    </row>
    <row r="252" spans="5:12" x14ac:dyDescent="0.3">
      <c r="E252" s="15"/>
      <c r="G252" s="15" t="str">
        <f>IF(A252="","",IFERROR(IF(#REF!&lt;VLOOKUP(A252,'포트변경내역(적극)'!A:C,10,0),"O","X"),""))</f>
        <v/>
      </c>
      <c r="H252" s="15" t="str">
        <f>IF(A252="","",COUNTIFS('MP내역(중립)'!$A:$A,A252)-COUNTIFS('MP내역(중립)'!$A:$A,A252,'MP내역(중립)'!$B:$B,"현금")-COUNTIFS('MP내역(중립)'!$A:$A,A252,'MP내역(중립)'!$B:$B,"예수금")-COUNTIFS('MP내역(중립)'!$A:$A,A252,'MP내역(중립)'!$B:$B,"예탁금")-COUNTIFS('MP내역(중립)'!$A:$A,A252,'MP내역(중립)'!$B:$B,"합계"))</f>
        <v/>
      </c>
      <c r="I252" s="15" t="str">
        <f>IF(A252="","",IF(COUNTIFS('MP내역(중립)'!A:A,A252,'MP내역(중립)'!G:G,"&gt;"&amp;#REF!,'MP내역(중립)'!D:D,"&lt;&gt;"&amp;#REF!,'MP내역(중립)'!D:D,"&lt;&gt;"&amp;#REF!,'MP내역(중립)'!B:B,"&lt;&gt;현금",'MP내역(중립)'!B:B,"&lt;&gt;합계")=0,"O","X"))</f>
        <v/>
      </c>
      <c r="J252" s="15" t="str">
        <f>IF(A252="","",IF(AND(ABS(#REF!-SUMIFS('MP내역(중립)'!G:G,'MP내역(중립)'!A:A,A252,'MP내역(중립)'!F:F,"Y"))&lt;0.001,ABS(#REF!-SUMIFS('MP내역(중립)'!G:G,'MP내역(중립)'!A:A,A252,'MP내역(중립)'!B:B,"&lt;&gt;합계"))&lt;0.001),"O","X"))</f>
        <v/>
      </c>
      <c r="K252" s="15" t="str">
        <f>IF(A252="","",IF(COUNTIFS('MP내역(중립)'!A:A,A252,'MP내역(중립)'!H:H,"X")=0,"O","X"))</f>
        <v/>
      </c>
      <c r="L252" s="14"/>
    </row>
    <row r="253" spans="5:12" x14ac:dyDescent="0.3">
      <c r="E253" s="15"/>
      <c r="G253" s="15" t="str">
        <f>IF(A253="","",IFERROR(IF(#REF!&lt;VLOOKUP(A253,'포트변경내역(적극)'!A:C,10,0),"O","X"),""))</f>
        <v/>
      </c>
      <c r="H253" s="15" t="str">
        <f>IF(A253="","",COUNTIFS('MP내역(중립)'!$A:$A,A253)-COUNTIFS('MP내역(중립)'!$A:$A,A253,'MP내역(중립)'!$B:$B,"현금")-COUNTIFS('MP내역(중립)'!$A:$A,A253,'MP내역(중립)'!$B:$B,"예수금")-COUNTIFS('MP내역(중립)'!$A:$A,A253,'MP내역(중립)'!$B:$B,"예탁금")-COUNTIFS('MP내역(중립)'!$A:$A,A253,'MP내역(중립)'!$B:$B,"합계"))</f>
        <v/>
      </c>
      <c r="I253" s="15" t="str">
        <f>IF(A253="","",IF(COUNTIFS('MP내역(중립)'!A:A,A253,'MP내역(중립)'!G:G,"&gt;"&amp;#REF!,'MP내역(중립)'!D:D,"&lt;&gt;"&amp;#REF!,'MP내역(중립)'!D:D,"&lt;&gt;"&amp;#REF!,'MP내역(중립)'!B:B,"&lt;&gt;현금",'MP내역(중립)'!B:B,"&lt;&gt;합계")=0,"O","X"))</f>
        <v/>
      </c>
      <c r="J253" s="15" t="str">
        <f>IF(A253="","",IF(AND(ABS(#REF!-SUMIFS('MP내역(중립)'!G:G,'MP내역(중립)'!A:A,A253,'MP내역(중립)'!F:F,"Y"))&lt;0.001,ABS(#REF!-SUMIFS('MP내역(중립)'!G:G,'MP내역(중립)'!A:A,A253,'MP내역(중립)'!B:B,"&lt;&gt;합계"))&lt;0.001),"O","X"))</f>
        <v/>
      </c>
      <c r="K253" s="15" t="str">
        <f>IF(A253="","",IF(COUNTIFS('MP내역(중립)'!A:A,A253,'MP내역(중립)'!H:H,"X")=0,"O","X"))</f>
        <v/>
      </c>
      <c r="L253" s="14"/>
    </row>
    <row r="254" spans="5:12" x14ac:dyDescent="0.3">
      <c r="E254" s="15"/>
      <c r="G254" s="15" t="str">
        <f>IF(A254="","",IFERROR(IF(#REF!&lt;VLOOKUP(A254,'포트변경내역(적극)'!A:C,10,0),"O","X"),""))</f>
        <v/>
      </c>
      <c r="H254" s="15" t="str">
        <f>IF(A254="","",COUNTIFS('MP내역(중립)'!$A:$A,A254)-COUNTIFS('MP내역(중립)'!$A:$A,A254,'MP내역(중립)'!$B:$B,"현금")-COUNTIFS('MP내역(중립)'!$A:$A,A254,'MP내역(중립)'!$B:$B,"예수금")-COUNTIFS('MP내역(중립)'!$A:$A,A254,'MP내역(중립)'!$B:$B,"예탁금")-COUNTIFS('MP내역(중립)'!$A:$A,A254,'MP내역(중립)'!$B:$B,"합계"))</f>
        <v/>
      </c>
      <c r="I254" s="15" t="str">
        <f>IF(A254="","",IF(COUNTIFS('MP내역(중립)'!A:A,A254,'MP내역(중립)'!G:G,"&gt;"&amp;#REF!,'MP내역(중립)'!D:D,"&lt;&gt;"&amp;#REF!,'MP내역(중립)'!D:D,"&lt;&gt;"&amp;#REF!,'MP내역(중립)'!B:B,"&lt;&gt;현금",'MP내역(중립)'!B:B,"&lt;&gt;합계")=0,"O","X"))</f>
        <v/>
      </c>
      <c r="J254" s="15" t="str">
        <f>IF(A254="","",IF(AND(ABS(#REF!-SUMIFS('MP내역(중립)'!G:G,'MP내역(중립)'!A:A,A254,'MP내역(중립)'!F:F,"Y"))&lt;0.001,ABS(#REF!-SUMIFS('MP내역(중립)'!G:G,'MP내역(중립)'!A:A,A254,'MP내역(중립)'!B:B,"&lt;&gt;합계"))&lt;0.001),"O","X"))</f>
        <v/>
      </c>
      <c r="K254" s="15" t="str">
        <f>IF(A254="","",IF(COUNTIFS('MP내역(중립)'!A:A,A254,'MP내역(중립)'!H:H,"X")=0,"O","X"))</f>
        <v/>
      </c>
      <c r="L254" s="14"/>
    </row>
    <row r="255" spans="5:12" x14ac:dyDescent="0.3">
      <c r="E255" s="15"/>
      <c r="G255" s="15" t="str">
        <f>IF(A255="","",IFERROR(IF(#REF!&lt;VLOOKUP(A255,'포트변경내역(적극)'!A:C,10,0),"O","X"),""))</f>
        <v/>
      </c>
      <c r="H255" s="15" t="str">
        <f>IF(A255="","",COUNTIFS('MP내역(중립)'!$A:$A,A255)-COUNTIFS('MP내역(중립)'!$A:$A,A255,'MP내역(중립)'!$B:$B,"현금")-COUNTIFS('MP내역(중립)'!$A:$A,A255,'MP내역(중립)'!$B:$B,"예수금")-COUNTIFS('MP내역(중립)'!$A:$A,A255,'MP내역(중립)'!$B:$B,"예탁금")-COUNTIFS('MP내역(중립)'!$A:$A,A255,'MP내역(중립)'!$B:$B,"합계"))</f>
        <v/>
      </c>
      <c r="I255" s="15" t="str">
        <f>IF(A255="","",IF(COUNTIFS('MP내역(중립)'!A:A,A255,'MP내역(중립)'!G:G,"&gt;"&amp;#REF!,'MP내역(중립)'!D:D,"&lt;&gt;"&amp;#REF!,'MP내역(중립)'!D:D,"&lt;&gt;"&amp;#REF!,'MP내역(중립)'!B:B,"&lt;&gt;현금",'MP내역(중립)'!B:B,"&lt;&gt;합계")=0,"O","X"))</f>
        <v/>
      </c>
      <c r="J255" s="15" t="str">
        <f>IF(A255="","",IF(AND(ABS(#REF!-SUMIFS('MP내역(중립)'!G:G,'MP내역(중립)'!A:A,A255,'MP내역(중립)'!F:F,"Y"))&lt;0.001,ABS(#REF!-SUMIFS('MP내역(중립)'!G:G,'MP내역(중립)'!A:A,A255,'MP내역(중립)'!B:B,"&lt;&gt;합계"))&lt;0.001),"O","X"))</f>
        <v/>
      </c>
      <c r="K255" s="15" t="str">
        <f>IF(A255="","",IF(COUNTIFS('MP내역(중립)'!A:A,A255,'MP내역(중립)'!H:H,"X")=0,"O","X"))</f>
        <v/>
      </c>
      <c r="L255" s="14"/>
    </row>
    <row r="256" spans="5:12" x14ac:dyDescent="0.3">
      <c r="E256" s="15"/>
      <c r="G256" s="15" t="str">
        <f>IF(A256="","",IFERROR(IF(#REF!&lt;VLOOKUP(A256,'포트변경내역(적극)'!A:C,10,0),"O","X"),""))</f>
        <v/>
      </c>
      <c r="H256" s="15" t="str">
        <f>IF(A256="","",COUNTIFS('MP내역(중립)'!$A:$A,A256)-COUNTIFS('MP내역(중립)'!$A:$A,A256,'MP내역(중립)'!$B:$B,"현금")-COUNTIFS('MP내역(중립)'!$A:$A,A256,'MP내역(중립)'!$B:$B,"예수금")-COUNTIFS('MP내역(중립)'!$A:$A,A256,'MP내역(중립)'!$B:$B,"예탁금")-COUNTIFS('MP내역(중립)'!$A:$A,A256,'MP내역(중립)'!$B:$B,"합계"))</f>
        <v/>
      </c>
      <c r="I256" s="15" t="str">
        <f>IF(A256="","",IF(COUNTIFS('MP내역(중립)'!A:A,A256,'MP내역(중립)'!G:G,"&gt;"&amp;#REF!,'MP내역(중립)'!D:D,"&lt;&gt;"&amp;#REF!,'MP내역(중립)'!D:D,"&lt;&gt;"&amp;#REF!,'MP내역(중립)'!B:B,"&lt;&gt;현금",'MP내역(중립)'!B:B,"&lt;&gt;합계")=0,"O","X"))</f>
        <v/>
      </c>
      <c r="J256" s="15" t="str">
        <f>IF(A256="","",IF(AND(ABS(#REF!-SUMIFS('MP내역(중립)'!G:G,'MP내역(중립)'!A:A,A256,'MP내역(중립)'!F:F,"Y"))&lt;0.001,ABS(#REF!-SUMIFS('MP내역(중립)'!G:G,'MP내역(중립)'!A:A,A256,'MP내역(중립)'!B:B,"&lt;&gt;합계"))&lt;0.001),"O","X"))</f>
        <v/>
      </c>
      <c r="K256" s="15" t="str">
        <f>IF(A256="","",IF(COUNTIFS('MP내역(중립)'!A:A,A256,'MP내역(중립)'!H:H,"X")=0,"O","X"))</f>
        <v/>
      </c>
      <c r="L256" s="14"/>
    </row>
    <row r="257" spans="5:12" x14ac:dyDescent="0.3">
      <c r="E257" s="15"/>
      <c r="G257" s="15" t="str">
        <f>IF(A257="","",IFERROR(IF(#REF!&lt;VLOOKUP(A257,'포트변경내역(적극)'!A:C,10,0),"O","X"),""))</f>
        <v/>
      </c>
      <c r="H257" s="15" t="str">
        <f>IF(A257="","",COUNTIFS('MP내역(중립)'!$A:$A,A257)-COUNTIFS('MP내역(중립)'!$A:$A,A257,'MP내역(중립)'!$B:$B,"현금")-COUNTIFS('MP내역(중립)'!$A:$A,A257,'MP내역(중립)'!$B:$B,"예수금")-COUNTIFS('MP내역(중립)'!$A:$A,A257,'MP내역(중립)'!$B:$B,"예탁금")-COUNTIFS('MP내역(중립)'!$A:$A,A257,'MP내역(중립)'!$B:$B,"합계"))</f>
        <v/>
      </c>
      <c r="I257" s="15" t="str">
        <f>IF(A257="","",IF(COUNTIFS('MP내역(중립)'!A:A,A257,'MP내역(중립)'!G:G,"&gt;"&amp;#REF!,'MP내역(중립)'!D:D,"&lt;&gt;"&amp;#REF!,'MP내역(중립)'!D:D,"&lt;&gt;"&amp;#REF!,'MP내역(중립)'!B:B,"&lt;&gt;현금",'MP내역(중립)'!B:B,"&lt;&gt;합계")=0,"O","X"))</f>
        <v/>
      </c>
      <c r="J257" s="15" t="str">
        <f>IF(A257="","",IF(AND(ABS(#REF!-SUMIFS('MP내역(중립)'!G:G,'MP내역(중립)'!A:A,A257,'MP내역(중립)'!F:F,"Y"))&lt;0.001,ABS(#REF!-SUMIFS('MP내역(중립)'!G:G,'MP내역(중립)'!A:A,A257,'MP내역(중립)'!B:B,"&lt;&gt;합계"))&lt;0.001),"O","X"))</f>
        <v/>
      </c>
      <c r="K257" s="15" t="str">
        <f>IF(A257="","",IF(COUNTIFS('MP내역(중립)'!A:A,A257,'MP내역(중립)'!H:H,"X")=0,"O","X"))</f>
        <v/>
      </c>
      <c r="L257" s="14"/>
    </row>
    <row r="258" spans="5:12" x14ac:dyDescent="0.3">
      <c r="E258" s="15"/>
      <c r="G258" s="15" t="str">
        <f>IF(A258="","",IFERROR(IF(#REF!&lt;VLOOKUP(A258,'포트변경내역(적극)'!A:C,10,0),"O","X"),""))</f>
        <v/>
      </c>
      <c r="H258" s="15" t="str">
        <f>IF(A258="","",COUNTIFS('MP내역(중립)'!$A:$A,A258)-COUNTIFS('MP내역(중립)'!$A:$A,A258,'MP내역(중립)'!$B:$B,"현금")-COUNTIFS('MP내역(중립)'!$A:$A,A258,'MP내역(중립)'!$B:$B,"예수금")-COUNTIFS('MP내역(중립)'!$A:$A,A258,'MP내역(중립)'!$B:$B,"예탁금")-COUNTIFS('MP내역(중립)'!$A:$A,A258,'MP내역(중립)'!$B:$B,"합계"))</f>
        <v/>
      </c>
      <c r="I258" s="15" t="str">
        <f>IF(A258="","",IF(COUNTIFS('MP내역(중립)'!A:A,A258,'MP내역(중립)'!G:G,"&gt;"&amp;#REF!,'MP내역(중립)'!D:D,"&lt;&gt;"&amp;#REF!,'MP내역(중립)'!D:D,"&lt;&gt;"&amp;#REF!,'MP내역(중립)'!B:B,"&lt;&gt;현금",'MP내역(중립)'!B:B,"&lt;&gt;합계")=0,"O","X"))</f>
        <v/>
      </c>
      <c r="J258" s="15" t="str">
        <f>IF(A258="","",IF(AND(ABS(#REF!-SUMIFS('MP내역(중립)'!G:G,'MP내역(중립)'!A:A,A258,'MP내역(중립)'!F:F,"Y"))&lt;0.001,ABS(#REF!-SUMIFS('MP내역(중립)'!G:G,'MP내역(중립)'!A:A,A258,'MP내역(중립)'!B:B,"&lt;&gt;합계"))&lt;0.001),"O","X"))</f>
        <v/>
      </c>
      <c r="K258" s="15" t="str">
        <f>IF(A258="","",IF(COUNTIFS('MP내역(중립)'!A:A,A258,'MP내역(중립)'!H:H,"X")=0,"O","X"))</f>
        <v/>
      </c>
      <c r="L258" s="14"/>
    </row>
    <row r="259" spans="5:12" x14ac:dyDescent="0.3">
      <c r="E259" s="15"/>
      <c r="G259" s="15" t="str">
        <f>IF(A259="","",IFERROR(IF(#REF!&lt;VLOOKUP(A259,'포트변경내역(적극)'!A:C,10,0),"O","X"),""))</f>
        <v/>
      </c>
      <c r="H259" s="15" t="str">
        <f>IF(A259="","",COUNTIFS('MP내역(중립)'!$A:$A,A259)-COUNTIFS('MP내역(중립)'!$A:$A,A259,'MP내역(중립)'!$B:$B,"현금")-COUNTIFS('MP내역(중립)'!$A:$A,A259,'MP내역(중립)'!$B:$B,"예수금")-COUNTIFS('MP내역(중립)'!$A:$A,A259,'MP내역(중립)'!$B:$B,"예탁금")-COUNTIFS('MP내역(중립)'!$A:$A,A259,'MP내역(중립)'!$B:$B,"합계"))</f>
        <v/>
      </c>
      <c r="I259" s="15" t="str">
        <f>IF(A259="","",IF(COUNTIFS('MP내역(중립)'!A:A,A259,'MP내역(중립)'!G:G,"&gt;"&amp;#REF!,'MP내역(중립)'!D:D,"&lt;&gt;"&amp;#REF!,'MP내역(중립)'!D:D,"&lt;&gt;"&amp;#REF!,'MP내역(중립)'!B:B,"&lt;&gt;현금",'MP내역(중립)'!B:B,"&lt;&gt;합계")=0,"O","X"))</f>
        <v/>
      </c>
      <c r="J259" s="15" t="str">
        <f>IF(A259="","",IF(AND(ABS(#REF!-SUMIFS('MP내역(중립)'!G:G,'MP내역(중립)'!A:A,A259,'MP내역(중립)'!F:F,"Y"))&lt;0.001,ABS(#REF!-SUMIFS('MP내역(중립)'!G:G,'MP내역(중립)'!A:A,A259,'MP내역(중립)'!B:B,"&lt;&gt;합계"))&lt;0.001),"O","X"))</f>
        <v/>
      </c>
      <c r="K259" s="15" t="str">
        <f>IF(A259="","",IF(COUNTIFS('MP내역(중립)'!A:A,A259,'MP내역(중립)'!H:H,"X")=0,"O","X"))</f>
        <v/>
      </c>
      <c r="L259" s="14"/>
    </row>
    <row r="260" spans="5:12" x14ac:dyDescent="0.3">
      <c r="E260" s="15"/>
      <c r="G260" s="15" t="str">
        <f>IF(A260="","",IFERROR(IF(#REF!&lt;VLOOKUP(A260,'포트변경내역(적극)'!A:C,10,0),"O","X"),""))</f>
        <v/>
      </c>
      <c r="H260" s="15" t="str">
        <f>IF(A260="","",COUNTIFS('MP내역(중립)'!$A:$A,A260)-COUNTIFS('MP내역(중립)'!$A:$A,A260,'MP내역(중립)'!$B:$B,"현금")-COUNTIFS('MP내역(중립)'!$A:$A,A260,'MP내역(중립)'!$B:$B,"예수금")-COUNTIFS('MP내역(중립)'!$A:$A,A260,'MP내역(중립)'!$B:$B,"예탁금")-COUNTIFS('MP내역(중립)'!$A:$A,A260,'MP내역(중립)'!$B:$B,"합계"))</f>
        <v/>
      </c>
      <c r="I260" s="15" t="str">
        <f>IF(A260="","",IF(COUNTIFS('MP내역(중립)'!A:A,A260,'MP내역(중립)'!G:G,"&gt;"&amp;#REF!,'MP내역(중립)'!D:D,"&lt;&gt;"&amp;#REF!,'MP내역(중립)'!D:D,"&lt;&gt;"&amp;#REF!,'MP내역(중립)'!B:B,"&lt;&gt;현금",'MP내역(중립)'!B:B,"&lt;&gt;합계")=0,"O","X"))</f>
        <v/>
      </c>
      <c r="J260" s="15" t="str">
        <f>IF(A260="","",IF(AND(ABS(#REF!-SUMIFS('MP내역(중립)'!G:G,'MP내역(중립)'!A:A,A260,'MP내역(중립)'!F:F,"Y"))&lt;0.001,ABS(#REF!-SUMIFS('MP내역(중립)'!G:G,'MP내역(중립)'!A:A,A260,'MP내역(중립)'!B:B,"&lt;&gt;합계"))&lt;0.001),"O","X"))</f>
        <v/>
      </c>
      <c r="K260" s="15" t="str">
        <f>IF(A260="","",IF(COUNTIFS('MP내역(중립)'!A:A,A260,'MP내역(중립)'!H:H,"X")=0,"O","X"))</f>
        <v/>
      </c>
      <c r="L260" s="14"/>
    </row>
    <row r="261" spans="5:12" x14ac:dyDescent="0.3">
      <c r="E261" s="15"/>
      <c r="G261" s="15" t="str">
        <f>IF(A261="","",IFERROR(IF(#REF!&lt;VLOOKUP(A261,'포트변경내역(적극)'!A:C,10,0),"O","X"),""))</f>
        <v/>
      </c>
      <c r="H261" s="15" t="str">
        <f>IF(A261="","",COUNTIFS('MP내역(중립)'!$A:$A,A261)-COUNTIFS('MP내역(중립)'!$A:$A,A261,'MP내역(중립)'!$B:$B,"현금")-COUNTIFS('MP내역(중립)'!$A:$A,A261,'MP내역(중립)'!$B:$B,"예수금")-COUNTIFS('MP내역(중립)'!$A:$A,A261,'MP내역(중립)'!$B:$B,"예탁금")-COUNTIFS('MP내역(중립)'!$A:$A,A261,'MP내역(중립)'!$B:$B,"합계"))</f>
        <v/>
      </c>
      <c r="I261" s="15" t="str">
        <f>IF(A261="","",IF(COUNTIFS('MP내역(중립)'!A:A,A261,'MP내역(중립)'!G:G,"&gt;"&amp;#REF!,'MP내역(중립)'!D:D,"&lt;&gt;"&amp;#REF!,'MP내역(중립)'!D:D,"&lt;&gt;"&amp;#REF!,'MP내역(중립)'!B:B,"&lt;&gt;현금",'MP내역(중립)'!B:B,"&lt;&gt;합계")=0,"O","X"))</f>
        <v/>
      </c>
      <c r="J261" s="15" t="str">
        <f>IF(A261="","",IF(AND(ABS(#REF!-SUMIFS('MP내역(중립)'!G:G,'MP내역(중립)'!A:A,A261,'MP내역(중립)'!F:F,"Y"))&lt;0.001,ABS(#REF!-SUMIFS('MP내역(중립)'!G:G,'MP내역(중립)'!A:A,A261,'MP내역(중립)'!B:B,"&lt;&gt;합계"))&lt;0.001),"O","X"))</f>
        <v/>
      </c>
      <c r="K261" s="15" t="str">
        <f>IF(A261="","",IF(COUNTIFS('MP내역(중립)'!A:A,A261,'MP내역(중립)'!H:H,"X")=0,"O","X"))</f>
        <v/>
      </c>
      <c r="L261" s="14"/>
    </row>
    <row r="262" spans="5:12" x14ac:dyDescent="0.3">
      <c r="E262" s="15"/>
      <c r="G262" s="15" t="str">
        <f>IF(A262="","",IFERROR(IF(#REF!&lt;VLOOKUP(A262,'포트변경내역(적극)'!A:C,10,0),"O","X"),""))</f>
        <v/>
      </c>
      <c r="H262" s="15" t="str">
        <f>IF(A262="","",COUNTIFS('MP내역(중립)'!$A:$A,A262)-COUNTIFS('MP내역(중립)'!$A:$A,A262,'MP내역(중립)'!$B:$B,"현금")-COUNTIFS('MP내역(중립)'!$A:$A,A262,'MP내역(중립)'!$B:$B,"예수금")-COUNTIFS('MP내역(중립)'!$A:$A,A262,'MP내역(중립)'!$B:$B,"예탁금")-COUNTIFS('MP내역(중립)'!$A:$A,A262,'MP내역(중립)'!$B:$B,"합계"))</f>
        <v/>
      </c>
      <c r="I262" s="15" t="str">
        <f>IF(A262="","",IF(COUNTIFS('MP내역(중립)'!A:A,A262,'MP내역(중립)'!G:G,"&gt;"&amp;#REF!,'MP내역(중립)'!D:D,"&lt;&gt;"&amp;#REF!,'MP내역(중립)'!D:D,"&lt;&gt;"&amp;#REF!,'MP내역(중립)'!B:B,"&lt;&gt;현금",'MP내역(중립)'!B:B,"&lt;&gt;합계")=0,"O","X"))</f>
        <v/>
      </c>
      <c r="J262" s="15" t="str">
        <f>IF(A262="","",IF(AND(ABS(#REF!-SUMIFS('MP내역(중립)'!G:G,'MP내역(중립)'!A:A,A262,'MP내역(중립)'!F:F,"Y"))&lt;0.001,ABS(#REF!-SUMIFS('MP내역(중립)'!G:G,'MP내역(중립)'!A:A,A262,'MP내역(중립)'!B:B,"&lt;&gt;합계"))&lt;0.001),"O","X"))</f>
        <v/>
      </c>
      <c r="K262" s="15" t="str">
        <f>IF(A262="","",IF(COUNTIFS('MP내역(중립)'!A:A,A262,'MP내역(중립)'!H:H,"X")=0,"O","X"))</f>
        <v/>
      </c>
      <c r="L262" s="14"/>
    </row>
    <row r="263" spans="5:12" x14ac:dyDescent="0.3">
      <c r="E263" s="15"/>
      <c r="G263" s="15" t="str">
        <f>IF(A263="","",IFERROR(IF(#REF!&lt;VLOOKUP(A263,'포트변경내역(적극)'!A:C,10,0),"O","X"),""))</f>
        <v/>
      </c>
      <c r="H263" s="15" t="str">
        <f>IF(A263="","",COUNTIFS('MP내역(중립)'!$A:$A,A263)-COUNTIFS('MP내역(중립)'!$A:$A,A263,'MP내역(중립)'!$B:$B,"현금")-COUNTIFS('MP내역(중립)'!$A:$A,A263,'MP내역(중립)'!$B:$B,"예수금")-COUNTIFS('MP내역(중립)'!$A:$A,A263,'MP내역(중립)'!$B:$B,"예탁금")-COUNTIFS('MP내역(중립)'!$A:$A,A263,'MP내역(중립)'!$B:$B,"합계"))</f>
        <v/>
      </c>
      <c r="I263" s="15" t="str">
        <f>IF(A263="","",IF(COUNTIFS('MP내역(중립)'!A:A,A263,'MP내역(중립)'!G:G,"&gt;"&amp;#REF!,'MP내역(중립)'!D:D,"&lt;&gt;"&amp;#REF!,'MP내역(중립)'!D:D,"&lt;&gt;"&amp;#REF!,'MP내역(중립)'!B:B,"&lt;&gt;현금",'MP내역(중립)'!B:B,"&lt;&gt;합계")=0,"O","X"))</f>
        <v/>
      </c>
      <c r="J263" s="15" t="str">
        <f>IF(A263="","",IF(AND(ABS(#REF!-SUMIFS('MP내역(중립)'!G:G,'MP내역(중립)'!A:A,A263,'MP내역(중립)'!F:F,"Y"))&lt;0.001,ABS(#REF!-SUMIFS('MP내역(중립)'!G:G,'MP내역(중립)'!A:A,A263,'MP내역(중립)'!B:B,"&lt;&gt;합계"))&lt;0.001),"O","X"))</f>
        <v/>
      </c>
      <c r="K263" s="15" t="str">
        <f>IF(A263="","",IF(COUNTIFS('MP내역(중립)'!A:A,A263,'MP내역(중립)'!H:H,"X")=0,"O","X"))</f>
        <v/>
      </c>
      <c r="L263" s="14"/>
    </row>
    <row r="264" spans="5:12" x14ac:dyDescent="0.3">
      <c r="E264" s="15"/>
      <c r="G264" s="15" t="str">
        <f>IF(A264="","",IFERROR(IF(#REF!&lt;VLOOKUP(A264,'포트변경내역(적극)'!A:C,10,0),"O","X"),""))</f>
        <v/>
      </c>
      <c r="H264" s="15" t="str">
        <f>IF(A264="","",COUNTIFS('MP내역(중립)'!$A:$A,A264)-COUNTIFS('MP내역(중립)'!$A:$A,A264,'MP내역(중립)'!$B:$B,"현금")-COUNTIFS('MP내역(중립)'!$A:$A,A264,'MP내역(중립)'!$B:$B,"예수금")-COUNTIFS('MP내역(중립)'!$A:$A,A264,'MP내역(중립)'!$B:$B,"예탁금")-COUNTIFS('MP내역(중립)'!$A:$A,A264,'MP내역(중립)'!$B:$B,"합계"))</f>
        <v/>
      </c>
      <c r="I264" s="15" t="str">
        <f>IF(A264="","",IF(COUNTIFS('MP내역(중립)'!A:A,A264,'MP내역(중립)'!G:G,"&gt;"&amp;#REF!,'MP내역(중립)'!D:D,"&lt;&gt;"&amp;#REF!,'MP내역(중립)'!D:D,"&lt;&gt;"&amp;#REF!,'MP내역(중립)'!B:B,"&lt;&gt;현금",'MP내역(중립)'!B:B,"&lt;&gt;합계")=0,"O","X"))</f>
        <v/>
      </c>
      <c r="J264" s="15" t="str">
        <f>IF(A264="","",IF(AND(ABS(#REF!-SUMIFS('MP내역(중립)'!G:G,'MP내역(중립)'!A:A,A264,'MP내역(중립)'!F:F,"Y"))&lt;0.001,ABS(#REF!-SUMIFS('MP내역(중립)'!G:G,'MP내역(중립)'!A:A,A264,'MP내역(중립)'!B:B,"&lt;&gt;합계"))&lt;0.001),"O","X"))</f>
        <v/>
      </c>
      <c r="K264" s="15" t="str">
        <f>IF(A264="","",IF(COUNTIFS('MP내역(중립)'!A:A,A264,'MP내역(중립)'!H:H,"X")=0,"O","X"))</f>
        <v/>
      </c>
      <c r="L264" s="14"/>
    </row>
    <row r="265" spans="5:12" x14ac:dyDescent="0.3">
      <c r="E265" s="15"/>
      <c r="G265" s="15" t="str">
        <f>IF(A265="","",IFERROR(IF(#REF!&lt;VLOOKUP(A265,'포트변경내역(적극)'!A:C,10,0),"O","X"),""))</f>
        <v/>
      </c>
      <c r="H265" s="15" t="str">
        <f>IF(A265="","",COUNTIFS('MP내역(중립)'!$A:$A,A265)-COUNTIFS('MP내역(중립)'!$A:$A,A265,'MP내역(중립)'!$B:$B,"현금")-COUNTIFS('MP내역(중립)'!$A:$A,A265,'MP내역(중립)'!$B:$B,"예수금")-COUNTIFS('MP내역(중립)'!$A:$A,A265,'MP내역(중립)'!$B:$B,"예탁금")-COUNTIFS('MP내역(중립)'!$A:$A,A265,'MP내역(중립)'!$B:$B,"합계"))</f>
        <v/>
      </c>
      <c r="I265" s="15" t="str">
        <f>IF(A265="","",IF(COUNTIFS('MP내역(중립)'!A:A,A265,'MP내역(중립)'!G:G,"&gt;"&amp;#REF!,'MP내역(중립)'!D:D,"&lt;&gt;"&amp;#REF!,'MP내역(중립)'!D:D,"&lt;&gt;"&amp;#REF!,'MP내역(중립)'!B:B,"&lt;&gt;현금",'MP내역(중립)'!B:B,"&lt;&gt;합계")=0,"O","X"))</f>
        <v/>
      </c>
      <c r="J265" s="15" t="str">
        <f>IF(A265="","",IF(AND(ABS(#REF!-SUMIFS('MP내역(중립)'!G:G,'MP내역(중립)'!A:A,A265,'MP내역(중립)'!F:F,"Y"))&lt;0.001,ABS(#REF!-SUMIFS('MP내역(중립)'!G:G,'MP내역(중립)'!A:A,A265,'MP내역(중립)'!B:B,"&lt;&gt;합계"))&lt;0.001),"O","X"))</f>
        <v/>
      </c>
      <c r="K265" s="15" t="str">
        <f>IF(A265="","",IF(COUNTIFS('MP내역(중립)'!A:A,A265,'MP내역(중립)'!H:H,"X")=0,"O","X"))</f>
        <v/>
      </c>
      <c r="L265" s="14"/>
    </row>
    <row r="266" spans="5:12" x14ac:dyDescent="0.3">
      <c r="E266" s="15"/>
      <c r="G266" s="15" t="str">
        <f>IF(A266="","",IFERROR(IF(#REF!&lt;VLOOKUP(A266,'포트변경내역(적극)'!A:C,10,0),"O","X"),""))</f>
        <v/>
      </c>
      <c r="H266" s="15" t="str">
        <f>IF(A266="","",COUNTIFS('MP내역(중립)'!$A:$A,A266)-COUNTIFS('MP내역(중립)'!$A:$A,A266,'MP내역(중립)'!$B:$B,"현금")-COUNTIFS('MP내역(중립)'!$A:$A,A266,'MP내역(중립)'!$B:$B,"예수금")-COUNTIFS('MP내역(중립)'!$A:$A,A266,'MP내역(중립)'!$B:$B,"예탁금")-COUNTIFS('MP내역(중립)'!$A:$A,A266,'MP내역(중립)'!$B:$B,"합계"))</f>
        <v/>
      </c>
      <c r="I266" s="15" t="str">
        <f>IF(A266="","",IF(COUNTIFS('MP내역(중립)'!A:A,A266,'MP내역(중립)'!G:G,"&gt;"&amp;#REF!,'MP내역(중립)'!D:D,"&lt;&gt;"&amp;#REF!,'MP내역(중립)'!D:D,"&lt;&gt;"&amp;#REF!,'MP내역(중립)'!B:B,"&lt;&gt;현금",'MP내역(중립)'!B:B,"&lt;&gt;합계")=0,"O","X"))</f>
        <v/>
      </c>
      <c r="J266" s="15" t="str">
        <f>IF(A266="","",IF(AND(ABS(#REF!-SUMIFS('MP내역(중립)'!G:G,'MP내역(중립)'!A:A,A266,'MP내역(중립)'!F:F,"Y"))&lt;0.001,ABS(#REF!-SUMIFS('MP내역(중립)'!G:G,'MP내역(중립)'!A:A,A266,'MP내역(중립)'!B:B,"&lt;&gt;합계"))&lt;0.001),"O","X"))</f>
        <v/>
      </c>
      <c r="K266" s="15" t="str">
        <f>IF(A266="","",IF(COUNTIFS('MP내역(중립)'!A:A,A266,'MP내역(중립)'!H:H,"X")=0,"O","X"))</f>
        <v/>
      </c>
      <c r="L266" s="14"/>
    </row>
    <row r="267" spans="5:12" x14ac:dyDescent="0.3">
      <c r="E267" s="15"/>
      <c r="G267" s="15" t="str">
        <f>IF(A267="","",IFERROR(IF(#REF!&lt;VLOOKUP(A267,'포트변경내역(적극)'!A:C,10,0),"O","X"),""))</f>
        <v/>
      </c>
      <c r="H267" s="15" t="str">
        <f>IF(A267="","",COUNTIFS('MP내역(중립)'!$A:$A,A267)-COUNTIFS('MP내역(중립)'!$A:$A,A267,'MP내역(중립)'!$B:$B,"현금")-COUNTIFS('MP내역(중립)'!$A:$A,A267,'MP내역(중립)'!$B:$B,"예수금")-COUNTIFS('MP내역(중립)'!$A:$A,A267,'MP내역(중립)'!$B:$B,"예탁금")-COUNTIFS('MP내역(중립)'!$A:$A,A267,'MP내역(중립)'!$B:$B,"합계"))</f>
        <v/>
      </c>
      <c r="I267" s="15" t="str">
        <f>IF(A267="","",IF(COUNTIFS('MP내역(중립)'!A:A,A267,'MP내역(중립)'!G:G,"&gt;"&amp;#REF!,'MP내역(중립)'!D:D,"&lt;&gt;"&amp;#REF!,'MP내역(중립)'!D:D,"&lt;&gt;"&amp;#REF!,'MP내역(중립)'!B:B,"&lt;&gt;현금",'MP내역(중립)'!B:B,"&lt;&gt;합계")=0,"O","X"))</f>
        <v/>
      </c>
      <c r="J267" s="15" t="str">
        <f>IF(A267="","",IF(AND(ABS(#REF!-SUMIFS('MP내역(중립)'!G:G,'MP내역(중립)'!A:A,A267,'MP내역(중립)'!F:F,"Y"))&lt;0.001,ABS(#REF!-SUMIFS('MP내역(중립)'!G:G,'MP내역(중립)'!A:A,A267,'MP내역(중립)'!B:B,"&lt;&gt;합계"))&lt;0.001),"O","X"))</f>
        <v/>
      </c>
      <c r="K267" s="15" t="str">
        <f>IF(A267="","",IF(COUNTIFS('MP내역(중립)'!A:A,A267,'MP내역(중립)'!H:H,"X")=0,"O","X"))</f>
        <v/>
      </c>
      <c r="L267" s="14"/>
    </row>
    <row r="268" spans="5:12" x14ac:dyDescent="0.3">
      <c r="E268" s="15"/>
      <c r="G268" s="15" t="str">
        <f>IF(A268="","",IFERROR(IF(#REF!&lt;VLOOKUP(A268,'포트변경내역(적극)'!A:C,10,0),"O","X"),""))</f>
        <v/>
      </c>
      <c r="H268" s="15" t="str">
        <f>IF(A268="","",COUNTIFS('MP내역(중립)'!$A:$A,A268)-COUNTIFS('MP내역(중립)'!$A:$A,A268,'MP내역(중립)'!$B:$B,"현금")-COUNTIFS('MP내역(중립)'!$A:$A,A268,'MP내역(중립)'!$B:$B,"예수금")-COUNTIFS('MP내역(중립)'!$A:$A,A268,'MP내역(중립)'!$B:$B,"예탁금")-COUNTIFS('MP내역(중립)'!$A:$A,A268,'MP내역(중립)'!$B:$B,"합계"))</f>
        <v/>
      </c>
      <c r="I268" s="15" t="str">
        <f>IF(A268="","",IF(COUNTIFS('MP내역(중립)'!A:A,A268,'MP내역(중립)'!G:G,"&gt;"&amp;#REF!,'MP내역(중립)'!D:D,"&lt;&gt;"&amp;#REF!,'MP내역(중립)'!D:D,"&lt;&gt;"&amp;#REF!,'MP내역(중립)'!B:B,"&lt;&gt;현금",'MP내역(중립)'!B:B,"&lt;&gt;합계")=0,"O","X"))</f>
        <v/>
      </c>
      <c r="J268" s="15" t="str">
        <f>IF(A268="","",IF(AND(ABS(#REF!-SUMIFS('MP내역(중립)'!G:G,'MP내역(중립)'!A:A,A268,'MP내역(중립)'!F:F,"Y"))&lt;0.001,ABS(#REF!-SUMIFS('MP내역(중립)'!G:G,'MP내역(중립)'!A:A,A268,'MP내역(중립)'!B:B,"&lt;&gt;합계"))&lt;0.001),"O","X"))</f>
        <v/>
      </c>
      <c r="K268" s="15" t="str">
        <f>IF(A268="","",IF(COUNTIFS('MP내역(중립)'!A:A,A268,'MP내역(중립)'!H:H,"X")=0,"O","X"))</f>
        <v/>
      </c>
      <c r="L268" s="14"/>
    </row>
    <row r="269" spans="5:12" x14ac:dyDescent="0.3">
      <c r="E269" s="15"/>
      <c r="G269" s="15" t="str">
        <f>IF(A269="","",IFERROR(IF(#REF!&lt;VLOOKUP(A269,'포트변경내역(적극)'!A:C,10,0),"O","X"),""))</f>
        <v/>
      </c>
      <c r="H269" s="15" t="str">
        <f>IF(A269="","",COUNTIFS('MP내역(중립)'!$A:$A,A269)-COUNTIFS('MP내역(중립)'!$A:$A,A269,'MP내역(중립)'!$B:$B,"현금")-COUNTIFS('MP내역(중립)'!$A:$A,A269,'MP내역(중립)'!$B:$B,"예수금")-COUNTIFS('MP내역(중립)'!$A:$A,A269,'MP내역(중립)'!$B:$B,"예탁금")-COUNTIFS('MP내역(중립)'!$A:$A,A269,'MP내역(중립)'!$B:$B,"합계"))</f>
        <v/>
      </c>
      <c r="I269" s="15" t="str">
        <f>IF(A269="","",IF(COUNTIFS('MP내역(중립)'!A:A,A269,'MP내역(중립)'!G:G,"&gt;"&amp;#REF!,'MP내역(중립)'!D:D,"&lt;&gt;"&amp;#REF!,'MP내역(중립)'!D:D,"&lt;&gt;"&amp;#REF!,'MP내역(중립)'!B:B,"&lt;&gt;현금",'MP내역(중립)'!B:B,"&lt;&gt;합계")=0,"O","X"))</f>
        <v/>
      </c>
      <c r="J269" s="15" t="str">
        <f>IF(A269="","",IF(AND(ABS(#REF!-SUMIFS('MP내역(중립)'!G:G,'MP내역(중립)'!A:A,A269,'MP내역(중립)'!F:F,"Y"))&lt;0.001,ABS(#REF!-SUMIFS('MP내역(중립)'!G:G,'MP내역(중립)'!A:A,A269,'MP내역(중립)'!B:B,"&lt;&gt;합계"))&lt;0.001),"O","X"))</f>
        <v/>
      </c>
      <c r="K269" s="15" t="str">
        <f>IF(A269="","",IF(COUNTIFS('MP내역(중립)'!A:A,A269,'MP내역(중립)'!H:H,"X")=0,"O","X"))</f>
        <v/>
      </c>
      <c r="L269" s="14"/>
    </row>
    <row r="270" spans="5:12" x14ac:dyDescent="0.3">
      <c r="E270" s="15"/>
      <c r="G270" s="15" t="str">
        <f>IF(A270="","",IFERROR(IF(#REF!&lt;VLOOKUP(A270,'포트변경내역(적극)'!A:C,10,0),"O","X"),""))</f>
        <v/>
      </c>
      <c r="H270" s="15" t="str">
        <f>IF(A270="","",COUNTIFS('MP내역(중립)'!$A:$A,A270)-COUNTIFS('MP내역(중립)'!$A:$A,A270,'MP내역(중립)'!$B:$B,"현금")-COUNTIFS('MP내역(중립)'!$A:$A,A270,'MP내역(중립)'!$B:$B,"예수금")-COUNTIFS('MP내역(중립)'!$A:$A,A270,'MP내역(중립)'!$B:$B,"예탁금")-COUNTIFS('MP내역(중립)'!$A:$A,A270,'MP내역(중립)'!$B:$B,"합계"))</f>
        <v/>
      </c>
      <c r="I270" s="15" t="str">
        <f>IF(A270="","",IF(COUNTIFS('MP내역(중립)'!A:A,A270,'MP내역(중립)'!G:G,"&gt;"&amp;#REF!,'MP내역(중립)'!D:D,"&lt;&gt;"&amp;#REF!,'MP내역(중립)'!D:D,"&lt;&gt;"&amp;#REF!,'MP내역(중립)'!B:B,"&lt;&gt;현금",'MP내역(중립)'!B:B,"&lt;&gt;합계")=0,"O","X"))</f>
        <v/>
      </c>
      <c r="J270" s="15" t="str">
        <f>IF(A270="","",IF(AND(ABS(#REF!-SUMIFS('MP내역(중립)'!G:G,'MP내역(중립)'!A:A,A270,'MP내역(중립)'!F:F,"Y"))&lt;0.001,ABS(#REF!-SUMIFS('MP내역(중립)'!G:G,'MP내역(중립)'!A:A,A270,'MP내역(중립)'!B:B,"&lt;&gt;합계"))&lt;0.001),"O","X"))</f>
        <v/>
      </c>
      <c r="K270" s="15" t="str">
        <f>IF(A270="","",IF(COUNTIFS('MP내역(중립)'!A:A,A270,'MP내역(중립)'!H:H,"X")=0,"O","X"))</f>
        <v/>
      </c>
      <c r="L270" s="14"/>
    </row>
    <row r="271" spans="5:12" x14ac:dyDescent="0.3">
      <c r="E271" s="15"/>
      <c r="G271" s="15" t="str">
        <f>IF(A271="","",IFERROR(IF(#REF!&lt;VLOOKUP(A271,'포트변경내역(적극)'!A:C,10,0),"O","X"),""))</f>
        <v/>
      </c>
      <c r="H271" s="15" t="str">
        <f>IF(A271="","",COUNTIFS('MP내역(중립)'!$A:$A,A271)-COUNTIFS('MP내역(중립)'!$A:$A,A271,'MP내역(중립)'!$B:$B,"현금")-COUNTIFS('MP내역(중립)'!$A:$A,A271,'MP내역(중립)'!$B:$B,"예수금")-COUNTIFS('MP내역(중립)'!$A:$A,A271,'MP내역(중립)'!$B:$B,"예탁금")-COUNTIFS('MP내역(중립)'!$A:$A,A271,'MP내역(중립)'!$B:$B,"합계"))</f>
        <v/>
      </c>
      <c r="I271" s="15" t="str">
        <f>IF(A271="","",IF(COUNTIFS('MP내역(중립)'!A:A,A271,'MP내역(중립)'!G:G,"&gt;"&amp;#REF!,'MP내역(중립)'!D:D,"&lt;&gt;"&amp;#REF!,'MP내역(중립)'!D:D,"&lt;&gt;"&amp;#REF!,'MP내역(중립)'!B:B,"&lt;&gt;현금",'MP내역(중립)'!B:B,"&lt;&gt;합계")=0,"O","X"))</f>
        <v/>
      </c>
      <c r="J271" s="15" t="str">
        <f>IF(A271="","",IF(AND(ABS(#REF!-SUMIFS('MP내역(중립)'!G:G,'MP내역(중립)'!A:A,A271,'MP내역(중립)'!F:F,"Y"))&lt;0.001,ABS(#REF!-SUMIFS('MP내역(중립)'!G:G,'MP내역(중립)'!A:A,A271,'MP내역(중립)'!B:B,"&lt;&gt;합계"))&lt;0.001),"O","X"))</f>
        <v/>
      </c>
      <c r="K271" s="15" t="str">
        <f>IF(A271="","",IF(COUNTIFS('MP내역(중립)'!A:A,A271,'MP내역(중립)'!H:H,"X")=0,"O","X"))</f>
        <v/>
      </c>
      <c r="L271" s="14"/>
    </row>
    <row r="272" spans="5:12" x14ac:dyDescent="0.3">
      <c r="E272" s="15"/>
      <c r="G272" s="15" t="str">
        <f>IF(A272="","",IFERROR(IF(#REF!&lt;VLOOKUP(A272,'포트변경내역(적극)'!A:C,10,0),"O","X"),""))</f>
        <v/>
      </c>
      <c r="H272" s="15" t="str">
        <f>IF(A272="","",COUNTIFS('MP내역(중립)'!$A:$A,A272)-COUNTIFS('MP내역(중립)'!$A:$A,A272,'MP내역(중립)'!$B:$B,"현금")-COUNTIFS('MP내역(중립)'!$A:$A,A272,'MP내역(중립)'!$B:$B,"예수금")-COUNTIFS('MP내역(중립)'!$A:$A,A272,'MP내역(중립)'!$B:$B,"예탁금")-COUNTIFS('MP내역(중립)'!$A:$A,A272,'MP내역(중립)'!$B:$B,"합계"))</f>
        <v/>
      </c>
      <c r="I272" s="15" t="str">
        <f>IF(A272="","",IF(COUNTIFS('MP내역(중립)'!A:A,A272,'MP내역(중립)'!G:G,"&gt;"&amp;#REF!,'MP내역(중립)'!D:D,"&lt;&gt;"&amp;#REF!,'MP내역(중립)'!D:D,"&lt;&gt;"&amp;#REF!,'MP내역(중립)'!B:B,"&lt;&gt;현금",'MP내역(중립)'!B:B,"&lt;&gt;합계")=0,"O","X"))</f>
        <v/>
      </c>
      <c r="J272" s="15" t="str">
        <f>IF(A272="","",IF(AND(ABS(#REF!-SUMIFS('MP내역(중립)'!G:G,'MP내역(중립)'!A:A,A272,'MP내역(중립)'!F:F,"Y"))&lt;0.001,ABS(#REF!-SUMIFS('MP내역(중립)'!G:G,'MP내역(중립)'!A:A,A272,'MP내역(중립)'!B:B,"&lt;&gt;합계"))&lt;0.001),"O","X"))</f>
        <v/>
      </c>
      <c r="K272" s="15" t="str">
        <f>IF(A272="","",IF(COUNTIFS('MP내역(중립)'!A:A,A272,'MP내역(중립)'!H:H,"X")=0,"O","X"))</f>
        <v/>
      </c>
      <c r="L272" s="14"/>
    </row>
    <row r="273" spans="5:12" x14ac:dyDescent="0.3">
      <c r="E273" s="15"/>
      <c r="G273" s="15" t="str">
        <f>IF(A273="","",IFERROR(IF(#REF!&lt;VLOOKUP(A273,'포트변경내역(적극)'!A:C,10,0),"O","X"),""))</f>
        <v/>
      </c>
      <c r="H273" s="15" t="str">
        <f>IF(A273="","",COUNTIFS('MP내역(중립)'!$A:$A,A273)-COUNTIFS('MP내역(중립)'!$A:$A,A273,'MP내역(중립)'!$B:$B,"현금")-COUNTIFS('MP내역(중립)'!$A:$A,A273,'MP내역(중립)'!$B:$B,"예수금")-COUNTIFS('MP내역(중립)'!$A:$A,A273,'MP내역(중립)'!$B:$B,"예탁금")-COUNTIFS('MP내역(중립)'!$A:$A,A273,'MP내역(중립)'!$B:$B,"합계"))</f>
        <v/>
      </c>
      <c r="I273" s="15" t="str">
        <f>IF(A273="","",IF(COUNTIFS('MP내역(중립)'!A:A,A273,'MP내역(중립)'!G:G,"&gt;"&amp;#REF!,'MP내역(중립)'!D:D,"&lt;&gt;"&amp;#REF!,'MP내역(중립)'!D:D,"&lt;&gt;"&amp;#REF!,'MP내역(중립)'!B:B,"&lt;&gt;현금",'MP내역(중립)'!B:B,"&lt;&gt;합계")=0,"O","X"))</f>
        <v/>
      </c>
      <c r="J273" s="15" t="str">
        <f>IF(A273="","",IF(AND(ABS(#REF!-SUMIFS('MP내역(중립)'!G:G,'MP내역(중립)'!A:A,A273,'MP내역(중립)'!F:F,"Y"))&lt;0.001,ABS(#REF!-SUMIFS('MP내역(중립)'!G:G,'MP내역(중립)'!A:A,A273,'MP내역(중립)'!B:B,"&lt;&gt;합계"))&lt;0.001),"O","X"))</f>
        <v/>
      </c>
      <c r="K273" s="15" t="str">
        <f>IF(A273="","",IF(COUNTIFS('MP내역(중립)'!A:A,A273,'MP내역(중립)'!H:H,"X")=0,"O","X"))</f>
        <v/>
      </c>
      <c r="L273" s="14"/>
    </row>
    <row r="274" spans="5:12" x14ac:dyDescent="0.3">
      <c r="E274" s="15"/>
      <c r="G274" s="15" t="str">
        <f>IF(A274="","",IFERROR(IF(#REF!&lt;VLOOKUP(A274,'포트변경내역(적극)'!A:C,10,0),"O","X"),""))</f>
        <v/>
      </c>
      <c r="H274" s="15" t="str">
        <f>IF(A274="","",COUNTIFS('MP내역(중립)'!$A:$A,A274)-COUNTIFS('MP내역(중립)'!$A:$A,A274,'MP내역(중립)'!$B:$B,"현금")-COUNTIFS('MP내역(중립)'!$A:$A,A274,'MP내역(중립)'!$B:$B,"예수금")-COUNTIFS('MP내역(중립)'!$A:$A,A274,'MP내역(중립)'!$B:$B,"예탁금")-COUNTIFS('MP내역(중립)'!$A:$A,A274,'MP내역(중립)'!$B:$B,"합계"))</f>
        <v/>
      </c>
      <c r="I274" s="15" t="str">
        <f>IF(A274="","",IF(COUNTIFS('MP내역(중립)'!A:A,A274,'MP내역(중립)'!G:G,"&gt;"&amp;#REF!,'MP내역(중립)'!D:D,"&lt;&gt;"&amp;#REF!,'MP내역(중립)'!D:D,"&lt;&gt;"&amp;#REF!,'MP내역(중립)'!B:B,"&lt;&gt;현금",'MP내역(중립)'!B:B,"&lt;&gt;합계")=0,"O","X"))</f>
        <v/>
      </c>
      <c r="J274" s="15" t="str">
        <f>IF(A274="","",IF(AND(ABS(#REF!-SUMIFS('MP내역(중립)'!G:G,'MP내역(중립)'!A:A,A274,'MP내역(중립)'!F:F,"Y"))&lt;0.001,ABS(#REF!-SUMIFS('MP내역(중립)'!G:G,'MP내역(중립)'!A:A,A274,'MP내역(중립)'!B:B,"&lt;&gt;합계"))&lt;0.001),"O","X"))</f>
        <v/>
      </c>
      <c r="K274" s="15" t="str">
        <f>IF(A274="","",IF(COUNTIFS('MP내역(중립)'!A:A,A274,'MP내역(중립)'!H:H,"X")=0,"O","X"))</f>
        <v/>
      </c>
      <c r="L274" s="14"/>
    </row>
    <row r="275" spans="5:12" x14ac:dyDescent="0.3">
      <c r="E275" s="15"/>
      <c r="G275" s="15" t="str">
        <f>IF(A275="","",IFERROR(IF(#REF!&lt;VLOOKUP(A275,'포트변경내역(적극)'!A:C,10,0),"O","X"),""))</f>
        <v/>
      </c>
      <c r="H275" s="15" t="str">
        <f>IF(A275="","",COUNTIFS('MP내역(중립)'!$A:$A,A275)-COUNTIFS('MP내역(중립)'!$A:$A,A275,'MP내역(중립)'!$B:$B,"현금")-COUNTIFS('MP내역(중립)'!$A:$A,A275,'MP내역(중립)'!$B:$B,"예수금")-COUNTIFS('MP내역(중립)'!$A:$A,A275,'MP내역(중립)'!$B:$B,"예탁금")-COUNTIFS('MP내역(중립)'!$A:$A,A275,'MP내역(중립)'!$B:$B,"합계"))</f>
        <v/>
      </c>
      <c r="I275" s="15" t="str">
        <f>IF(A275="","",IF(COUNTIFS('MP내역(중립)'!A:A,A275,'MP내역(중립)'!G:G,"&gt;"&amp;#REF!,'MP내역(중립)'!D:D,"&lt;&gt;"&amp;#REF!,'MP내역(중립)'!D:D,"&lt;&gt;"&amp;#REF!,'MP내역(중립)'!B:B,"&lt;&gt;현금",'MP내역(중립)'!B:B,"&lt;&gt;합계")=0,"O","X"))</f>
        <v/>
      </c>
      <c r="J275" s="15" t="str">
        <f>IF(A275="","",IF(AND(ABS(#REF!-SUMIFS('MP내역(중립)'!G:G,'MP내역(중립)'!A:A,A275,'MP내역(중립)'!F:F,"Y"))&lt;0.001,ABS(#REF!-SUMIFS('MP내역(중립)'!G:G,'MP내역(중립)'!A:A,A275,'MP내역(중립)'!B:B,"&lt;&gt;합계"))&lt;0.001),"O","X"))</f>
        <v/>
      </c>
      <c r="K275" s="15" t="str">
        <f>IF(A275="","",IF(COUNTIFS('MP내역(중립)'!A:A,A275,'MP내역(중립)'!H:H,"X")=0,"O","X"))</f>
        <v/>
      </c>
      <c r="L275" s="14"/>
    </row>
    <row r="276" spans="5:12" x14ac:dyDescent="0.3">
      <c r="E276" s="15"/>
      <c r="G276" s="15" t="str">
        <f>IF(A276="","",IFERROR(IF(#REF!&lt;VLOOKUP(A276,'포트변경내역(적극)'!A:C,10,0),"O","X"),""))</f>
        <v/>
      </c>
      <c r="H276" s="15" t="str">
        <f>IF(A276="","",COUNTIFS('MP내역(중립)'!$A:$A,A276)-COUNTIFS('MP내역(중립)'!$A:$A,A276,'MP내역(중립)'!$B:$B,"현금")-COUNTIFS('MP내역(중립)'!$A:$A,A276,'MP내역(중립)'!$B:$B,"예수금")-COUNTIFS('MP내역(중립)'!$A:$A,A276,'MP내역(중립)'!$B:$B,"예탁금")-COUNTIFS('MP내역(중립)'!$A:$A,A276,'MP내역(중립)'!$B:$B,"합계"))</f>
        <v/>
      </c>
      <c r="I276" s="15" t="str">
        <f>IF(A276="","",IF(COUNTIFS('MP내역(중립)'!A:A,A276,'MP내역(중립)'!G:G,"&gt;"&amp;#REF!,'MP내역(중립)'!D:D,"&lt;&gt;"&amp;#REF!,'MP내역(중립)'!D:D,"&lt;&gt;"&amp;#REF!,'MP내역(중립)'!B:B,"&lt;&gt;현금",'MP내역(중립)'!B:B,"&lt;&gt;합계")=0,"O","X"))</f>
        <v/>
      </c>
      <c r="J276" s="15" t="str">
        <f>IF(A276="","",IF(AND(ABS(#REF!-SUMIFS('MP내역(중립)'!G:G,'MP내역(중립)'!A:A,A276,'MP내역(중립)'!F:F,"Y"))&lt;0.001,ABS(#REF!-SUMIFS('MP내역(중립)'!G:G,'MP내역(중립)'!A:A,A276,'MP내역(중립)'!B:B,"&lt;&gt;합계"))&lt;0.001),"O","X"))</f>
        <v/>
      </c>
      <c r="K276" s="15" t="str">
        <f>IF(A276="","",IF(COUNTIFS('MP내역(중립)'!A:A,A276,'MP내역(중립)'!H:H,"X")=0,"O","X"))</f>
        <v/>
      </c>
      <c r="L276" s="14"/>
    </row>
    <row r="277" spans="5:12" x14ac:dyDescent="0.3">
      <c r="E277" s="15"/>
      <c r="G277" s="15" t="str">
        <f>IF(A277="","",IFERROR(IF(#REF!&lt;VLOOKUP(A277,'포트변경내역(적극)'!A:C,10,0),"O","X"),""))</f>
        <v/>
      </c>
      <c r="H277" s="15" t="str">
        <f>IF(A277="","",COUNTIFS('MP내역(중립)'!$A:$A,A277)-COUNTIFS('MP내역(중립)'!$A:$A,A277,'MP내역(중립)'!$B:$B,"현금")-COUNTIFS('MP내역(중립)'!$A:$A,A277,'MP내역(중립)'!$B:$B,"예수금")-COUNTIFS('MP내역(중립)'!$A:$A,A277,'MP내역(중립)'!$B:$B,"예탁금")-COUNTIFS('MP내역(중립)'!$A:$A,A277,'MP내역(중립)'!$B:$B,"합계"))</f>
        <v/>
      </c>
      <c r="I277" s="15" t="str">
        <f>IF(A277="","",IF(COUNTIFS('MP내역(중립)'!A:A,A277,'MP내역(중립)'!G:G,"&gt;"&amp;#REF!,'MP내역(중립)'!D:D,"&lt;&gt;"&amp;#REF!,'MP내역(중립)'!D:D,"&lt;&gt;"&amp;#REF!,'MP내역(중립)'!B:B,"&lt;&gt;현금",'MP내역(중립)'!B:B,"&lt;&gt;합계")=0,"O","X"))</f>
        <v/>
      </c>
      <c r="J277" s="15" t="str">
        <f>IF(A277="","",IF(AND(ABS(#REF!-SUMIFS('MP내역(중립)'!G:G,'MP내역(중립)'!A:A,A277,'MP내역(중립)'!F:F,"Y"))&lt;0.001,ABS(#REF!-SUMIFS('MP내역(중립)'!G:G,'MP내역(중립)'!A:A,A277,'MP내역(중립)'!B:B,"&lt;&gt;합계"))&lt;0.001),"O","X"))</f>
        <v/>
      </c>
      <c r="K277" s="15" t="str">
        <f>IF(A277="","",IF(COUNTIFS('MP내역(중립)'!A:A,A277,'MP내역(중립)'!H:H,"X")=0,"O","X"))</f>
        <v/>
      </c>
      <c r="L277" s="14"/>
    </row>
    <row r="278" spans="5:12" x14ac:dyDescent="0.3">
      <c r="E278" s="15"/>
      <c r="G278" s="15" t="str">
        <f>IF(A278="","",IFERROR(IF(#REF!&lt;VLOOKUP(A278,'포트변경내역(적극)'!A:C,10,0),"O","X"),""))</f>
        <v/>
      </c>
      <c r="H278" s="15" t="str">
        <f>IF(A278="","",COUNTIFS('MP내역(중립)'!$A:$A,A278)-COUNTIFS('MP내역(중립)'!$A:$A,A278,'MP내역(중립)'!$B:$B,"현금")-COUNTIFS('MP내역(중립)'!$A:$A,A278,'MP내역(중립)'!$B:$B,"예수금")-COUNTIFS('MP내역(중립)'!$A:$A,A278,'MP내역(중립)'!$B:$B,"예탁금")-COUNTIFS('MP내역(중립)'!$A:$A,A278,'MP내역(중립)'!$B:$B,"합계"))</f>
        <v/>
      </c>
      <c r="I278" s="15" t="str">
        <f>IF(A278="","",IF(COUNTIFS('MP내역(중립)'!A:A,A278,'MP내역(중립)'!G:G,"&gt;"&amp;#REF!,'MP내역(중립)'!D:D,"&lt;&gt;"&amp;#REF!,'MP내역(중립)'!D:D,"&lt;&gt;"&amp;#REF!,'MP내역(중립)'!B:B,"&lt;&gt;현금",'MP내역(중립)'!B:B,"&lt;&gt;합계")=0,"O","X"))</f>
        <v/>
      </c>
      <c r="J278" s="15" t="str">
        <f>IF(A278="","",IF(AND(ABS(#REF!-SUMIFS('MP내역(중립)'!G:G,'MP내역(중립)'!A:A,A278,'MP내역(중립)'!F:F,"Y"))&lt;0.001,ABS(#REF!-SUMIFS('MP내역(중립)'!G:G,'MP내역(중립)'!A:A,A278,'MP내역(중립)'!B:B,"&lt;&gt;합계"))&lt;0.001),"O","X"))</f>
        <v/>
      </c>
      <c r="K278" s="15" t="str">
        <f>IF(A278="","",IF(COUNTIFS('MP내역(중립)'!A:A,A278,'MP내역(중립)'!H:H,"X")=0,"O","X"))</f>
        <v/>
      </c>
      <c r="L278" s="14"/>
    </row>
    <row r="279" spans="5:12" x14ac:dyDescent="0.3">
      <c r="E279" s="15"/>
      <c r="G279" s="15" t="str">
        <f>IF(A279="","",IFERROR(IF(#REF!&lt;VLOOKUP(A279,'포트변경내역(적극)'!A:C,10,0),"O","X"),""))</f>
        <v/>
      </c>
      <c r="H279" s="15" t="str">
        <f>IF(A279="","",COUNTIFS('MP내역(중립)'!$A:$A,A279)-COUNTIFS('MP내역(중립)'!$A:$A,A279,'MP내역(중립)'!$B:$B,"현금")-COUNTIFS('MP내역(중립)'!$A:$A,A279,'MP내역(중립)'!$B:$B,"예수금")-COUNTIFS('MP내역(중립)'!$A:$A,A279,'MP내역(중립)'!$B:$B,"예탁금")-COUNTIFS('MP내역(중립)'!$A:$A,A279,'MP내역(중립)'!$B:$B,"합계"))</f>
        <v/>
      </c>
      <c r="I279" s="15" t="str">
        <f>IF(A279="","",IF(COUNTIFS('MP내역(중립)'!A:A,A279,'MP내역(중립)'!G:G,"&gt;"&amp;#REF!,'MP내역(중립)'!D:D,"&lt;&gt;"&amp;#REF!,'MP내역(중립)'!D:D,"&lt;&gt;"&amp;#REF!,'MP내역(중립)'!B:B,"&lt;&gt;현금",'MP내역(중립)'!B:B,"&lt;&gt;합계")=0,"O","X"))</f>
        <v/>
      </c>
      <c r="J279" s="15" t="str">
        <f>IF(A279="","",IF(AND(ABS(#REF!-SUMIFS('MP내역(중립)'!G:G,'MP내역(중립)'!A:A,A279,'MP내역(중립)'!F:F,"Y"))&lt;0.001,ABS(#REF!-SUMIFS('MP내역(중립)'!G:G,'MP내역(중립)'!A:A,A279,'MP내역(중립)'!B:B,"&lt;&gt;합계"))&lt;0.001),"O","X"))</f>
        <v/>
      </c>
      <c r="K279" s="15" t="str">
        <f>IF(A279="","",IF(COUNTIFS('MP내역(중립)'!A:A,A279,'MP내역(중립)'!H:H,"X")=0,"O","X"))</f>
        <v/>
      </c>
      <c r="L279" s="14"/>
    </row>
    <row r="280" spans="5:12" x14ac:dyDescent="0.3">
      <c r="E280" s="15"/>
      <c r="G280" s="15" t="str">
        <f>IF(A280="","",IFERROR(IF(#REF!&lt;VLOOKUP(A280,'포트변경내역(적극)'!A:C,10,0),"O","X"),""))</f>
        <v/>
      </c>
      <c r="H280" s="15" t="str">
        <f>IF(A280="","",COUNTIFS('MP내역(중립)'!$A:$A,A280)-COUNTIFS('MP내역(중립)'!$A:$A,A280,'MP내역(중립)'!$B:$B,"현금")-COUNTIFS('MP내역(중립)'!$A:$A,A280,'MP내역(중립)'!$B:$B,"예수금")-COUNTIFS('MP내역(중립)'!$A:$A,A280,'MP내역(중립)'!$B:$B,"예탁금")-COUNTIFS('MP내역(중립)'!$A:$A,A280,'MP내역(중립)'!$B:$B,"합계"))</f>
        <v/>
      </c>
      <c r="I280" s="15" t="str">
        <f>IF(A280="","",IF(COUNTIFS('MP내역(중립)'!A:A,A280,'MP내역(중립)'!G:G,"&gt;"&amp;#REF!,'MP내역(중립)'!D:D,"&lt;&gt;"&amp;#REF!,'MP내역(중립)'!D:D,"&lt;&gt;"&amp;#REF!,'MP내역(중립)'!B:B,"&lt;&gt;현금",'MP내역(중립)'!B:B,"&lt;&gt;합계")=0,"O","X"))</f>
        <v/>
      </c>
      <c r="J280" s="15" t="str">
        <f>IF(A280="","",IF(AND(ABS(#REF!-SUMIFS('MP내역(중립)'!G:G,'MP내역(중립)'!A:A,A280,'MP내역(중립)'!F:F,"Y"))&lt;0.001,ABS(#REF!-SUMIFS('MP내역(중립)'!G:G,'MP내역(중립)'!A:A,A280,'MP내역(중립)'!B:B,"&lt;&gt;합계"))&lt;0.001),"O","X"))</f>
        <v/>
      </c>
      <c r="K280" s="15" t="str">
        <f>IF(A280="","",IF(COUNTIFS('MP내역(중립)'!A:A,A280,'MP내역(중립)'!H:H,"X")=0,"O","X"))</f>
        <v/>
      </c>
      <c r="L280" s="14"/>
    </row>
    <row r="281" spans="5:12" x14ac:dyDescent="0.3">
      <c r="E281" s="15"/>
      <c r="G281" s="15" t="str">
        <f>IF(A281="","",IFERROR(IF(#REF!&lt;VLOOKUP(A281,'포트변경내역(적극)'!A:C,10,0),"O","X"),""))</f>
        <v/>
      </c>
      <c r="H281" s="15" t="str">
        <f>IF(A281="","",COUNTIFS('MP내역(중립)'!$A:$A,A281)-COUNTIFS('MP내역(중립)'!$A:$A,A281,'MP내역(중립)'!$B:$B,"현금")-COUNTIFS('MP내역(중립)'!$A:$A,A281,'MP내역(중립)'!$B:$B,"예수금")-COUNTIFS('MP내역(중립)'!$A:$A,A281,'MP내역(중립)'!$B:$B,"예탁금")-COUNTIFS('MP내역(중립)'!$A:$A,A281,'MP내역(중립)'!$B:$B,"합계"))</f>
        <v/>
      </c>
      <c r="I281" s="15" t="str">
        <f>IF(A281="","",IF(COUNTIFS('MP내역(중립)'!A:A,A281,'MP내역(중립)'!G:G,"&gt;"&amp;#REF!,'MP내역(중립)'!D:D,"&lt;&gt;"&amp;#REF!,'MP내역(중립)'!D:D,"&lt;&gt;"&amp;#REF!,'MP내역(중립)'!B:B,"&lt;&gt;현금",'MP내역(중립)'!B:B,"&lt;&gt;합계")=0,"O","X"))</f>
        <v/>
      </c>
      <c r="J281" s="15" t="str">
        <f>IF(A281="","",IF(AND(ABS(#REF!-SUMIFS('MP내역(중립)'!G:G,'MP내역(중립)'!A:A,A281,'MP내역(중립)'!F:F,"Y"))&lt;0.001,ABS(#REF!-SUMIFS('MP내역(중립)'!G:G,'MP내역(중립)'!A:A,A281,'MP내역(중립)'!B:B,"&lt;&gt;합계"))&lt;0.001),"O","X"))</f>
        <v/>
      </c>
      <c r="K281" s="15" t="str">
        <f>IF(A281="","",IF(COUNTIFS('MP내역(중립)'!A:A,A281,'MP내역(중립)'!H:H,"X")=0,"O","X"))</f>
        <v/>
      </c>
      <c r="L281" s="14"/>
    </row>
    <row r="282" spans="5:12" x14ac:dyDescent="0.3">
      <c r="E282" s="15"/>
      <c r="G282" s="15" t="str">
        <f>IF(A282="","",IFERROR(IF(#REF!&lt;VLOOKUP(A282,'포트변경내역(적극)'!A:C,10,0),"O","X"),""))</f>
        <v/>
      </c>
      <c r="H282" s="15" t="str">
        <f>IF(A282="","",COUNTIFS('MP내역(중립)'!$A:$A,A282)-COUNTIFS('MP내역(중립)'!$A:$A,A282,'MP내역(중립)'!$B:$B,"현금")-COUNTIFS('MP내역(중립)'!$A:$A,A282,'MP내역(중립)'!$B:$B,"예수금")-COUNTIFS('MP내역(중립)'!$A:$A,A282,'MP내역(중립)'!$B:$B,"예탁금")-COUNTIFS('MP내역(중립)'!$A:$A,A282,'MP내역(중립)'!$B:$B,"합계"))</f>
        <v/>
      </c>
      <c r="I282" s="15" t="str">
        <f>IF(A282="","",IF(COUNTIFS('MP내역(중립)'!A:A,A282,'MP내역(중립)'!G:G,"&gt;"&amp;#REF!,'MP내역(중립)'!D:D,"&lt;&gt;"&amp;#REF!,'MP내역(중립)'!D:D,"&lt;&gt;"&amp;#REF!,'MP내역(중립)'!B:B,"&lt;&gt;현금",'MP내역(중립)'!B:B,"&lt;&gt;합계")=0,"O","X"))</f>
        <v/>
      </c>
      <c r="J282" s="15" t="str">
        <f>IF(A282="","",IF(AND(ABS(#REF!-SUMIFS('MP내역(중립)'!G:G,'MP내역(중립)'!A:A,A282,'MP내역(중립)'!F:F,"Y"))&lt;0.001,ABS(#REF!-SUMIFS('MP내역(중립)'!G:G,'MP내역(중립)'!A:A,A282,'MP내역(중립)'!B:B,"&lt;&gt;합계"))&lt;0.001),"O","X"))</f>
        <v/>
      </c>
      <c r="K282" s="15" t="str">
        <f>IF(A282="","",IF(COUNTIFS('MP내역(중립)'!A:A,A282,'MP내역(중립)'!H:H,"X")=0,"O","X"))</f>
        <v/>
      </c>
      <c r="L282" s="14"/>
    </row>
    <row r="283" spans="5:12" x14ac:dyDescent="0.3">
      <c r="E283" s="15"/>
      <c r="G283" s="15" t="str">
        <f>IF(A283="","",IFERROR(IF(#REF!&lt;VLOOKUP(A283,'포트변경내역(적극)'!A:C,10,0),"O","X"),""))</f>
        <v/>
      </c>
      <c r="H283" s="15" t="str">
        <f>IF(A283="","",COUNTIFS('MP내역(중립)'!$A:$A,A283)-COUNTIFS('MP내역(중립)'!$A:$A,A283,'MP내역(중립)'!$B:$B,"현금")-COUNTIFS('MP내역(중립)'!$A:$A,A283,'MP내역(중립)'!$B:$B,"예수금")-COUNTIFS('MP내역(중립)'!$A:$A,A283,'MP내역(중립)'!$B:$B,"예탁금")-COUNTIFS('MP내역(중립)'!$A:$A,A283,'MP내역(중립)'!$B:$B,"합계"))</f>
        <v/>
      </c>
      <c r="I283" s="15" t="str">
        <f>IF(A283="","",IF(COUNTIFS('MP내역(중립)'!A:A,A283,'MP내역(중립)'!G:G,"&gt;"&amp;#REF!,'MP내역(중립)'!D:D,"&lt;&gt;"&amp;#REF!,'MP내역(중립)'!D:D,"&lt;&gt;"&amp;#REF!,'MP내역(중립)'!B:B,"&lt;&gt;현금",'MP내역(중립)'!B:B,"&lt;&gt;합계")=0,"O","X"))</f>
        <v/>
      </c>
      <c r="J283" s="15" t="str">
        <f>IF(A283="","",IF(AND(ABS(#REF!-SUMIFS('MP내역(중립)'!G:G,'MP내역(중립)'!A:A,A283,'MP내역(중립)'!F:F,"Y"))&lt;0.001,ABS(#REF!-SUMIFS('MP내역(중립)'!G:G,'MP내역(중립)'!A:A,A283,'MP내역(중립)'!B:B,"&lt;&gt;합계"))&lt;0.001),"O","X"))</f>
        <v/>
      </c>
      <c r="K283" s="15" t="str">
        <f>IF(A283="","",IF(COUNTIFS('MP내역(중립)'!A:A,A283,'MP내역(중립)'!H:H,"X")=0,"O","X"))</f>
        <v/>
      </c>
      <c r="L283" s="14"/>
    </row>
    <row r="284" spans="5:12" x14ac:dyDescent="0.3">
      <c r="E284" s="15"/>
      <c r="G284" s="15" t="str">
        <f>IF(A284="","",IFERROR(IF(#REF!&lt;VLOOKUP(A284,'포트변경내역(적극)'!A:C,10,0),"O","X"),""))</f>
        <v/>
      </c>
      <c r="H284" s="15" t="str">
        <f>IF(A284="","",COUNTIFS('MP내역(중립)'!$A:$A,A284)-COUNTIFS('MP내역(중립)'!$A:$A,A284,'MP내역(중립)'!$B:$B,"현금")-COUNTIFS('MP내역(중립)'!$A:$A,A284,'MP내역(중립)'!$B:$B,"예수금")-COUNTIFS('MP내역(중립)'!$A:$A,A284,'MP내역(중립)'!$B:$B,"예탁금")-COUNTIFS('MP내역(중립)'!$A:$A,A284,'MP내역(중립)'!$B:$B,"합계"))</f>
        <v/>
      </c>
      <c r="I284" s="15" t="str">
        <f>IF(A284="","",IF(COUNTIFS('MP내역(중립)'!A:A,A284,'MP내역(중립)'!G:G,"&gt;"&amp;#REF!,'MP내역(중립)'!D:D,"&lt;&gt;"&amp;#REF!,'MP내역(중립)'!D:D,"&lt;&gt;"&amp;#REF!,'MP내역(중립)'!B:B,"&lt;&gt;현금",'MP내역(중립)'!B:B,"&lt;&gt;합계")=0,"O","X"))</f>
        <v/>
      </c>
      <c r="J284" s="15" t="str">
        <f>IF(A284="","",IF(AND(ABS(#REF!-SUMIFS('MP내역(중립)'!G:G,'MP내역(중립)'!A:A,A284,'MP내역(중립)'!F:F,"Y"))&lt;0.001,ABS(#REF!-SUMIFS('MP내역(중립)'!G:G,'MP내역(중립)'!A:A,A284,'MP내역(중립)'!B:B,"&lt;&gt;합계"))&lt;0.001),"O","X"))</f>
        <v/>
      </c>
      <c r="K284" s="15" t="str">
        <f>IF(A284="","",IF(COUNTIFS('MP내역(중립)'!A:A,A284,'MP내역(중립)'!H:H,"X")=0,"O","X"))</f>
        <v/>
      </c>
      <c r="L284" s="14"/>
    </row>
    <row r="285" spans="5:12" x14ac:dyDescent="0.3">
      <c r="E285" s="15"/>
      <c r="G285" s="15" t="str">
        <f>IF(A285="","",IFERROR(IF(#REF!&lt;VLOOKUP(A285,'포트변경내역(적극)'!A:C,10,0),"O","X"),""))</f>
        <v/>
      </c>
      <c r="H285" s="15" t="str">
        <f>IF(A285="","",COUNTIFS('MP내역(중립)'!$A:$A,A285)-COUNTIFS('MP내역(중립)'!$A:$A,A285,'MP내역(중립)'!$B:$B,"현금")-COUNTIFS('MP내역(중립)'!$A:$A,A285,'MP내역(중립)'!$B:$B,"예수금")-COUNTIFS('MP내역(중립)'!$A:$A,A285,'MP내역(중립)'!$B:$B,"예탁금")-COUNTIFS('MP내역(중립)'!$A:$A,A285,'MP내역(중립)'!$B:$B,"합계"))</f>
        <v/>
      </c>
      <c r="I285" s="15" t="str">
        <f>IF(A285="","",IF(COUNTIFS('MP내역(중립)'!A:A,A285,'MP내역(중립)'!G:G,"&gt;"&amp;#REF!,'MP내역(중립)'!D:D,"&lt;&gt;"&amp;#REF!,'MP내역(중립)'!D:D,"&lt;&gt;"&amp;#REF!,'MP내역(중립)'!B:B,"&lt;&gt;현금",'MP내역(중립)'!B:B,"&lt;&gt;합계")=0,"O","X"))</f>
        <v/>
      </c>
      <c r="J285" s="15" t="str">
        <f>IF(A285="","",IF(AND(ABS(#REF!-SUMIFS('MP내역(중립)'!G:G,'MP내역(중립)'!A:A,A285,'MP내역(중립)'!F:F,"Y"))&lt;0.001,ABS(#REF!-SUMIFS('MP내역(중립)'!G:G,'MP내역(중립)'!A:A,A285,'MP내역(중립)'!B:B,"&lt;&gt;합계"))&lt;0.001),"O","X"))</f>
        <v/>
      </c>
      <c r="K285" s="15" t="str">
        <f>IF(A285="","",IF(COUNTIFS('MP내역(중립)'!A:A,A285,'MP내역(중립)'!H:H,"X")=0,"O","X"))</f>
        <v/>
      </c>
      <c r="L285" s="14"/>
    </row>
    <row r="286" spans="5:12" x14ac:dyDescent="0.3">
      <c r="E286" s="15"/>
      <c r="G286" s="15" t="str">
        <f>IF(A286="","",IFERROR(IF(#REF!&lt;VLOOKUP(A286,'포트변경내역(적극)'!A:C,10,0),"O","X"),""))</f>
        <v/>
      </c>
      <c r="H286" s="15" t="str">
        <f>IF(A286="","",COUNTIFS('MP내역(중립)'!$A:$A,A286)-COUNTIFS('MP내역(중립)'!$A:$A,A286,'MP내역(중립)'!$B:$B,"현금")-COUNTIFS('MP내역(중립)'!$A:$A,A286,'MP내역(중립)'!$B:$B,"예수금")-COUNTIFS('MP내역(중립)'!$A:$A,A286,'MP내역(중립)'!$B:$B,"예탁금")-COUNTIFS('MP내역(중립)'!$A:$A,A286,'MP내역(중립)'!$B:$B,"합계"))</f>
        <v/>
      </c>
      <c r="I286" s="15" t="str">
        <f>IF(A286="","",IF(COUNTIFS('MP내역(중립)'!A:A,A286,'MP내역(중립)'!G:G,"&gt;"&amp;#REF!,'MP내역(중립)'!D:D,"&lt;&gt;"&amp;#REF!,'MP내역(중립)'!D:D,"&lt;&gt;"&amp;#REF!,'MP내역(중립)'!B:B,"&lt;&gt;현금",'MP내역(중립)'!B:B,"&lt;&gt;합계")=0,"O","X"))</f>
        <v/>
      </c>
      <c r="J286" s="15" t="str">
        <f>IF(A286="","",IF(AND(ABS(#REF!-SUMIFS('MP내역(중립)'!G:G,'MP내역(중립)'!A:A,A286,'MP내역(중립)'!F:F,"Y"))&lt;0.001,ABS(#REF!-SUMIFS('MP내역(중립)'!G:G,'MP내역(중립)'!A:A,A286,'MP내역(중립)'!B:B,"&lt;&gt;합계"))&lt;0.001),"O","X"))</f>
        <v/>
      </c>
      <c r="K286" s="15" t="str">
        <f>IF(A286="","",IF(COUNTIFS('MP내역(중립)'!A:A,A286,'MP내역(중립)'!H:H,"X")=0,"O","X"))</f>
        <v/>
      </c>
      <c r="L286" s="14"/>
    </row>
    <row r="287" spans="5:12" x14ac:dyDescent="0.3">
      <c r="E287" s="15"/>
      <c r="G287" s="15" t="str">
        <f>IF(A287="","",IFERROR(IF(#REF!&lt;VLOOKUP(A287,'포트변경내역(적극)'!A:C,10,0),"O","X"),""))</f>
        <v/>
      </c>
      <c r="H287" s="15" t="str">
        <f>IF(A287="","",COUNTIFS('MP내역(중립)'!$A:$A,A287)-COUNTIFS('MP내역(중립)'!$A:$A,A287,'MP내역(중립)'!$B:$B,"현금")-COUNTIFS('MP내역(중립)'!$A:$A,A287,'MP내역(중립)'!$B:$B,"예수금")-COUNTIFS('MP내역(중립)'!$A:$A,A287,'MP내역(중립)'!$B:$B,"예탁금")-COUNTIFS('MP내역(중립)'!$A:$A,A287,'MP내역(중립)'!$B:$B,"합계"))</f>
        <v/>
      </c>
      <c r="I287" s="15" t="str">
        <f>IF(A287="","",IF(COUNTIFS('MP내역(중립)'!A:A,A287,'MP내역(중립)'!G:G,"&gt;"&amp;#REF!,'MP내역(중립)'!D:D,"&lt;&gt;"&amp;#REF!,'MP내역(중립)'!D:D,"&lt;&gt;"&amp;#REF!,'MP내역(중립)'!B:B,"&lt;&gt;현금",'MP내역(중립)'!B:B,"&lt;&gt;합계")=0,"O","X"))</f>
        <v/>
      </c>
      <c r="J287" s="15" t="str">
        <f>IF(A287="","",IF(AND(ABS(#REF!-SUMIFS('MP내역(중립)'!G:G,'MP내역(중립)'!A:A,A287,'MP내역(중립)'!F:F,"Y"))&lt;0.001,ABS(#REF!-SUMIFS('MP내역(중립)'!G:G,'MP내역(중립)'!A:A,A287,'MP내역(중립)'!B:B,"&lt;&gt;합계"))&lt;0.001),"O","X"))</f>
        <v/>
      </c>
      <c r="K287" s="15" t="str">
        <f>IF(A287="","",IF(COUNTIFS('MP내역(중립)'!A:A,A287,'MP내역(중립)'!H:H,"X")=0,"O","X"))</f>
        <v/>
      </c>
      <c r="L287" s="14"/>
    </row>
    <row r="288" spans="5:12" x14ac:dyDescent="0.3">
      <c r="E288" s="15"/>
      <c r="G288" s="15" t="str">
        <f>IF(A288="","",IFERROR(IF(#REF!&lt;VLOOKUP(A288,'포트변경내역(적극)'!A:C,10,0),"O","X"),""))</f>
        <v/>
      </c>
      <c r="H288" s="15" t="str">
        <f>IF(A288="","",COUNTIFS('MP내역(중립)'!$A:$A,A288)-COUNTIFS('MP내역(중립)'!$A:$A,A288,'MP내역(중립)'!$B:$B,"현금")-COUNTIFS('MP내역(중립)'!$A:$A,A288,'MP내역(중립)'!$B:$B,"예수금")-COUNTIFS('MP내역(중립)'!$A:$A,A288,'MP내역(중립)'!$B:$B,"예탁금")-COUNTIFS('MP내역(중립)'!$A:$A,A288,'MP내역(중립)'!$B:$B,"합계"))</f>
        <v/>
      </c>
      <c r="I288" s="15" t="str">
        <f>IF(A288="","",IF(COUNTIFS('MP내역(중립)'!A:A,A288,'MP내역(중립)'!G:G,"&gt;"&amp;#REF!,'MP내역(중립)'!D:D,"&lt;&gt;"&amp;#REF!,'MP내역(중립)'!D:D,"&lt;&gt;"&amp;#REF!,'MP내역(중립)'!B:B,"&lt;&gt;현금",'MP내역(중립)'!B:B,"&lt;&gt;합계")=0,"O","X"))</f>
        <v/>
      </c>
      <c r="J288" s="15" t="str">
        <f>IF(A288="","",IF(AND(ABS(#REF!-SUMIFS('MP내역(중립)'!G:G,'MP내역(중립)'!A:A,A288,'MP내역(중립)'!F:F,"Y"))&lt;0.001,ABS(#REF!-SUMIFS('MP내역(중립)'!G:G,'MP내역(중립)'!A:A,A288,'MP내역(중립)'!B:B,"&lt;&gt;합계"))&lt;0.001),"O","X"))</f>
        <v/>
      </c>
      <c r="K288" s="15" t="str">
        <f>IF(A288="","",IF(COUNTIFS('MP내역(중립)'!A:A,A288,'MP내역(중립)'!H:H,"X")=0,"O","X"))</f>
        <v/>
      </c>
      <c r="L288" s="14"/>
    </row>
    <row r="289" spans="5:12" x14ac:dyDescent="0.3">
      <c r="E289" s="15"/>
      <c r="G289" s="15" t="str">
        <f>IF(A289="","",IFERROR(IF(#REF!&lt;VLOOKUP(A289,'포트변경내역(적극)'!A:C,10,0),"O","X"),""))</f>
        <v/>
      </c>
      <c r="H289" s="15" t="str">
        <f>IF(A289="","",COUNTIFS('MP내역(중립)'!$A:$A,A289)-COUNTIFS('MP내역(중립)'!$A:$A,A289,'MP내역(중립)'!$B:$B,"현금")-COUNTIFS('MP내역(중립)'!$A:$A,A289,'MP내역(중립)'!$B:$B,"예수금")-COUNTIFS('MP내역(중립)'!$A:$A,A289,'MP내역(중립)'!$B:$B,"예탁금")-COUNTIFS('MP내역(중립)'!$A:$A,A289,'MP내역(중립)'!$B:$B,"합계"))</f>
        <v/>
      </c>
      <c r="I289" s="15" t="str">
        <f>IF(A289="","",IF(COUNTIFS('MP내역(중립)'!A:A,A289,'MP내역(중립)'!G:G,"&gt;"&amp;#REF!,'MP내역(중립)'!D:D,"&lt;&gt;"&amp;#REF!,'MP내역(중립)'!D:D,"&lt;&gt;"&amp;#REF!,'MP내역(중립)'!B:B,"&lt;&gt;현금",'MP내역(중립)'!B:B,"&lt;&gt;합계")=0,"O","X"))</f>
        <v/>
      </c>
      <c r="J289" s="15" t="str">
        <f>IF(A289="","",IF(AND(ABS(#REF!-SUMIFS('MP내역(중립)'!G:G,'MP내역(중립)'!A:A,A289,'MP내역(중립)'!F:F,"Y"))&lt;0.001,ABS(#REF!-SUMIFS('MP내역(중립)'!G:G,'MP내역(중립)'!A:A,A289,'MP내역(중립)'!B:B,"&lt;&gt;합계"))&lt;0.001),"O","X"))</f>
        <v/>
      </c>
      <c r="K289" s="15" t="str">
        <f>IF(A289="","",IF(COUNTIFS('MP내역(중립)'!A:A,A289,'MP내역(중립)'!H:H,"X")=0,"O","X"))</f>
        <v/>
      </c>
      <c r="L289" s="14"/>
    </row>
    <row r="290" spans="5:12" x14ac:dyDescent="0.3">
      <c r="E290" s="15"/>
      <c r="G290" s="15" t="str">
        <f>IF(A290="","",IFERROR(IF(#REF!&lt;VLOOKUP(A290,'포트변경내역(적극)'!A:C,10,0),"O","X"),""))</f>
        <v/>
      </c>
      <c r="H290" s="15" t="str">
        <f>IF(A290="","",COUNTIFS('MP내역(중립)'!$A:$A,A290)-COUNTIFS('MP내역(중립)'!$A:$A,A290,'MP내역(중립)'!$B:$B,"현금")-COUNTIFS('MP내역(중립)'!$A:$A,A290,'MP내역(중립)'!$B:$B,"예수금")-COUNTIFS('MP내역(중립)'!$A:$A,A290,'MP내역(중립)'!$B:$B,"예탁금")-COUNTIFS('MP내역(중립)'!$A:$A,A290,'MP내역(중립)'!$B:$B,"합계"))</f>
        <v/>
      </c>
      <c r="I290" s="15" t="str">
        <f>IF(A290="","",IF(COUNTIFS('MP내역(중립)'!A:A,A290,'MP내역(중립)'!G:G,"&gt;"&amp;#REF!,'MP내역(중립)'!D:D,"&lt;&gt;"&amp;#REF!,'MP내역(중립)'!D:D,"&lt;&gt;"&amp;#REF!,'MP내역(중립)'!B:B,"&lt;&gt;현금",'MP내역(중립)'!B:B,"&lt;&gt;합계")=0,"O","X"))</f>
        <v/>
      </c>
      <c r="J290" s="15" t="str">
        <f>IF(A290="","",IF(AND(ABS(#REF!-SUMIFS('MP내역(중립)'!G:G,'MP내역(중립)'!A:A,A290,'MP내역(중립)'!F:F,"Y"))&lt;0.001,ABS(#REF!-SUMIFS('MP내역(중립)'!G:G,'MP내역(중립)'!A:A,A290,'MP내역(중립)'!B:B,"&lt;&gt;합계"))&lt;0.001),"O","X"))</f>
        <v/>
      </c>
      <c r="K290" s="15" t="str">
        <f>IF(A290="","",IF(COUNTIFS('MP내역(중립)'!A:A,A290,'MP내역(중립)'!H:H,"X")=0,"O","X"))</f>
        <v/>
      </c>
      <c r="L290" s="14"/>
    </row>
    <row r="291" spans="5:12" x14ac:dyDescent="0.3">
      <c r="E291" s="15"/>
      <c r="G291" s="15" t="str">
        <f>IF(A291="","",IFERROR(IF(#REF!&lt;VLOOKUP(A291,'포트변경내역(적극)'!A:C,10,0),"O","X"),""))</f>
        <v/>
      </c>
      <c r="H291" s="15" t="str">
        <f>IF(A291="","",COUNTIFS('MP내역(중립)'!$A:$A,A291)-COUNTIFS('MP내역(중립)'!$A:$A,A291,'MP내역(중립)'!$B:$B,"현금")-COUNTIFS('MP내역(중립)'!$A:$A,A291,'MP내역(중립)'!$B:$B,"예수금")-COUNTIFS('MP내역(중립)'!$A:$A,A291,'MP내역(중립)'!$B:$B,"예탁금")-COUNTIFS('MP내역(중립)'!$A:$A,A291,'MP내역(중립)'!$B:$B,"합계"))</f>
        <v/>
      </c>
      <c r="I291" s="15" t="str">
        <f>IF(A291="","",IF(COUNTIFS('MP내역(중립)'!A:A,A291,'MP내역(중립)'!G:G,"&gt;"&amp;#REF!,'MP내역(중립)'!D:D,"&lt;&gt;"&amp;#REF!,'MP내역(중립)'!D:D,"&lt;&gt;"&amp;#REF!,'MP내역(중립)'!B:B,"&lt;&gt;현금",'MP내역(중립)'!B:B,"&lt;&gt;합계")=0,"O","X"))</f>
        <v/>
      </c>
      <c r="J291" s="15" t="str">
        <f>IF(A291="","",IF(AND(ABS(#REF!-SUMIFS('MP내역(중립)'!G:G,'MP내역(중립)'!A:A,A291,'MP내역(중립)'!F:F,"Y"))&lt;0.001,ABS(#REF!-SUMIFS('MP내역(중립)'!G:G,'MP내역(중립)'!A:A,A291,'MP내역(중립)'!B:B,"&lt;&gt;합계"))&lt;0.001),"O","X"))</f>
        <v/>
      </c>
      <c r="K291" s="15" t="str">
        <f>IF(A291="","",IF(COUNTIFS('MP내역(중립)'!A:A,A291,'MP내역(중립)'!H:H,"X")=0,"O","X"))</f>
        <v/>
      </c>
      <c r="L291" s="14"/>
    </row>
    <row r="292" spans="5:12" x14ac:dyDescent="0.3">
      <c r="E292" s="15"/>
      <c r="G292" s="15" t="str">
        <f>IF(A292="","",IFERROR(IF(#REF!&lt;VLOOKUP(A292,'포트변경내역(적극)'!A:C,10,0),"O","X"),""))</f>
        <v/>
      </c>
      <c r="H292" s="15" t="str">
        <f>IF(A292="","",COUNTIFS('MP내역(중립)'!$A:$A,A292)-COUNTIFS('MP내역(중립)'!$A:$A,A292,'MP내역(중립)'!$B:$B,"현금")-COUNTIFS('MP내역(중립)'!$A:$A,A292,'MP내역(중립)'!$B:$B,"예수금")-COUNTIFS('MP내역(중립)'!$A:$A,A292,'MP내역(중립)'!$B:$B,"예탁금")-COUNTIFS('MP내역(중립)'!$A:$A,A292,'MP내역(중립)'!$B:$B,"합계"))</f>
        <v/>
      </c>
      <c r="I292" s="15" t="str">
        <f>IF(A292="","",IF(COUNTIFS('MP내역(중립)'!A:A,A292,'MP내역(중립)'!G:G,"&gt;"&amp;#REF!,'MP내역(중립)'!D:D,"&lt;&gt;"&amp;#REF!,'MP내역(중립)'!D:D,"&lt;&gt;"&amp;#REF!,'MP내역(중립)'!B:B,"&lt;&gt;현금",'MP내역(중립)'!B:B,"&lt;&gt;합계")=0,"O","X"))</f>
        <v/>
      </c>
      <c r="J292" s="15" t="str">
        <f>IF(A292="","",IF(AND(ABS(#REF!-SUMIFS('MP내역(중립)'!G:G,'MP내역(중립)'!A:A,A292,'MP내역(중립)'!F:F,"Y"))&lt;0.001,ABS(#REF!-SUMIFS('MP내역(중립)'!G:G,'MP내역(중립)'!A:A,A292,'MP내역(중립)'!B:B,"&lt;&gt;합계"))&lt;0.001),"O","X"))</f>
        <v/>
      </c>
      <c r="K292" s="15" t="str">
        <f>IF(A292="","",IF(COUNTIFS('MP내역(중립)'!A:A,A292,'MP내역(중립)'!H:H,"X")=0,"O","X"))</f>
        <v/>
      </c>
      <c r="L292" s="14"/>
    </row>
    <row r="293" spans="5:12" x14ac:dyDescent="0.3">
      <c r="E293" s="15"/>
      <c r="G293" s="15" t="str">
        <f>IF(A293="","",IFERROR(IF(#REF!&lt;VLOOKUP(A293,'포트변경내역(적극)'!A:C,10,0),"O","X"),""))</f>
        <v/>
      </c>
      <c r="H293" s="15" t="str">
        <f>IF(A293="","",COUNTIFS('MP내역(중립)'!$A:$A,A293)-COUNTIFS('MP내역(중립)'!$A:$A,A293,'MP내역(중립)'!$B:$B,"현금")-COUNTIFS('MP내역(중립)'!$A:$A,A293,'MP내역(중립)'!$B:$B,"예수금")-COUNTIFS('MP내역(중립)'!$A:$A,A293,'MP내역(중립)'!$B:$B,"예탁금")-COUNTIFS('MP내역(중립)'!$A:$A,A293,'MP내역(중립)'!$B:$B,"합계"))</f>
        <v/>
      </c>
      <c r="I293" s="15" t="str">
        <f>IF(A293="","",IF(COUNTIFS('MP내역(중립)'!A:A,A293,'MP내역(중립)'!G:G,"&gt;"&amp;#REF!,'MP내역(중립)'!D:D,"&lt;&gt;"&amp;#REF!,'MP내역(중립)'!D:D,"&lt;&gt;"&amp;#REF!,'MP내역(중립)'!B:B,"&lt;&gt;현금",'MP내역(중립)'!B:B,"&lt;&gt;합계")=0,"O","X"))</f>
        <v/>
      </c>
      <c r="J293" s="15" t="str">
        <f>IF(A293="","",IF(AND(ABS(#REF!-SUMIFS('MP내역(중립)'!G:G,'MP내역(중립)'!A:A,A293,'MP내역(중립)'!F:F,"Y"))&lt;0.001,ABS(#REF!-SUMIFS('MP내역(중립)'!G:G,'MP내역(중립)'!A:A,A293,'MP내역(중립)'!B:B,"&lt;&gt;합계"))&lt;0.001),"O","X"))</f>
        <v/>
      </c>
      <c r="K293" s="15" t="str">
        <f>IF(A293="","",IF(COUNTIFS('MP내역(중립)'!A:A,A293,'MP내역(중립)'!H:H,"X")=0,"O","X"))</f>
        <v/>
      </c>
      <c r="L293" s="14"/>
    </row>
    <row r="294" spans="5:12" x14ac:dyDescent="0.3">
      <c r="E294" s="15"/>
      <c r="G294" s="15" t="str">
        <f>IF(A294="","",IFERROR(IF(#REF!&lt;VLOOKUP(A294,'포트변경내역(적극)'!A:C,10,0),"O","X"),""))</f>
        <v/>
      </c>
      <c r="H294" s="15" t="str">
        <f>IF(A294="","",COUNTIFS('MP내역(중립)'!$A:$A,A294)-COUNTIFS('MP내역(중립)'!$A:$A,A294,'MP내역(중립)'!$B:$B,"현금")-COUNTIFS('MP내역(중립)'!$A:$A,A294,'MP내역(중립)'!$B:$B,"예수금")-COUNTIFS('MP내역(중립)'!$A:$A,A294,'MP내역(중립)'!$B:$B,"예탁금")-COUNTIFS('MP내역(중립)'!$A:$A,A294,'MP내역(중립)'!$B:$B,"합계"))</f>
        <v/>
      </c>
      <c r="I294" s="15" t="str">
        <f>IF(A294="","",IF(COUNTIFS('MP내역(중립)'!A:A,A294,'MP내역(중립)'!G:G,"&gt;"&amp;#REF!,'MP내역(중립)'!D:D,"&lt;&gt;"&amp;#REF!,'MP내역(중립)'!D:D,"&lt;&gt;"&amp;#REF!,'MP내역(중립)'!B:B,"&lt;&gt;현금",'MP내역(중립)'!B:B,"&lt;&gt;합계")=0,"O","X"))</f>
        <v/>
      </c>
      <c r="J294" s="15" t="str">
        <f>IF(A294="","",IF(AND(ABS(#REF!-SUMIFS('MP내역(중립)'!G:G,'MP내역(중립)'!A:A,A294,'MP내역(중립)'!F:F,"Y"))&lt;0.001,ABS(#REF!-SUMIFS('MP내역(중립)'!G:G,'MP내역(중립)'!A:A,A294,'MP내역(중립)'!B:B,"&lt;&gt;합계"))&lt;0.001),"O","X"))</f>
        <v/>
      </c>
      <c r="K294" s="15" t="str">
        <f>IF(A294="","",IF(COUNTIFS('MP내역(중립)'!A:A,A294,'MP내역(중립)'!H:H,"X")=0,"O","X"))</f>
        <v/>
      </c>
      <c r="L294" s="14"/>
    </row>
    <row r="295" spans="5:12" x14ac:dyDescent="0.3">
      <c r="E295" s="15"/>
      <c r="G295" s="15" t="str">
        <f>IF(A295="","",IFERROR(IF(#REF!&lt;VLOOKUP(A295,'포트변경내역(적극)'!A:C,10,0),"O","X"),""))</f>
        <v/>
      </c>
      <c r="H295" s="15" t="str">
        <f>IF(A295="","",COUNTIFS('MP내역(중립)'!$A:$A,A295)-COUNTIFS('MP내역(중립)'!$A:$A,A295,'MP내역(중립)'!$B:$B,"현금")-COUNTIFS('MP내역(중립)'!$A:$A,A295,'MP내역(중립)'!$B:$B,"예수금")-COUNTIFS('MP내역(중립)'!$A:$A,A295,'MP내역(중립)'!$B:$B,"예탁금")-COUNTIFS('MP내역(중립)'!$A:$A,A295,'MP내역(중립)'!$B:$B,"합계"))</f>
        <v/>
      </c>
      <c r="I295" s="15" t="str">
        <f>IF(A295="","",IF(COUNTIFS('MP내역(중립)'!A:A,A295,'MP내역(중립)'!G:G,"&gt;"&amp;#REF!,'MP내역(중립)'!D:D,"&lt;&gt;"&amp;#REF!,'MP내역(중립)'!D:D,"&lt;&gt;"&amp;#REF!,'MP내역(중립)'!B:B,"&lt;&gt;현금",'MP내역(중립)'!B:B,"&lt;&gt;합계")=0,"O","X"))</f>
        <v/>
      </c>
      <c r="J295" s="15" t="str">
        <f>IF(A295="","",IF(AND(ABS(#REF!-SUMIFS('MP내역(중립)'!G:G,'MP내역(중립)'!A:A,A295,'MP내역(중립)'!F:F,"Y"))&lt;0.001,ABS(#REF!-SUMIFS('MP내역(중립)'!G:G,'MP내역(중립)'!A:A,A295,'MP내역(중립)'!B:B,"&lt;&gt;합계"))&lt;0.001),"O","X"))</f>
        <v/>
      </c>
      <c r="K295" s="15" t="str">
        <f>IF(A295="","",IF(COUNTIFS('MP내역(중립)'!A:A,A295,'MP내역(중립)'!H:H,"X")=0,"O","X"))</f>
        <v/>
      </c>
      <c r="L295" s="14"/>
    </row>
    <row r="296" spans="5:12" x14ac:dyDescent="0.3">
      <c r="E296" s="15"/>
      <c r="G296" s="15" t="str">
        <f>IF(A296="","",IFERROR(IF(#REF!&lt;VLOOKUP(A296,'포트변경내역(적극)'!A:C,10,0),"O","X"),""))</f>
        <v/>
      </c>
      <c r="H296" s="15" t="str">
        <f>IF(A296="","",COUNTIFS('MP내역(중립)'!$A:$A,A296)-COUNTIFS('MP내역(중립)'!$A:$A,A296,'MP내역(중립)'!$B:$B,"현금")-COUNTIFS('MP내역(중립)'!$A:$A,A296,'MP내역(중립)'!$B:$B,"예수금")-COUNTIFS('MP내역(중립)'!$A:$A,A296,'MP내역(중립)'!$B:$B,"예탁금")-COUNTIFS('MP내역(중립)'!$A:$A,A296,'MP내역(중립)'!$B:$B,"합계"))</f>
        <v/>
      </c>
      <c r="I296" s="15" t="str">
        <f>IF(A296="","",IF(COUNTIFS('MP내역(중립)'!A:A,A296,'MP내역(중립)'!G:G,"&gt;"&amp;#REF!,'MP내역(중립)'!D:D,"&lt;&gt;"&amp;#REF!,'MP내역(중립)'!D:D,"&lt;&gt;"&amp;#REF!,'MP내역(중립)'!B:B,"&lt;&gt;현금",'MP내역(중립)'!B:B,"&lt;&gt;합계")=0,"O","X"))</f>
        <v/>
      </c>
      <c r="J296" s="15" t="str">
        <f>IF(A296="","",IF(AND(ABS(#REF!-SUMIFS('MP내역(중립)'!G:G,'MP내역(중립)'!A:A,A296,'MP내역(중립)'!F:F,"Y"))&lt;0.001,ABS(#REF!-SUMIFS('MP내역(중립)'!G:G,'MP내역(중립)'!A:A,A296,'MP내역(중립)'!B:B,"&lt;&gt;합계"))&lt;0.001),"O","X"))</f>
        <v/>
      </c>
      <c r="K296" s="15" t="str">
        <f>IF(A296="","",IF(COUNTIFS('MP내역(중립)'!A:A,A296,'MP내역(중립)'!H:H,"X")=0,"O","X"))</f>
        <v/>
      </c>
      <c r="L296" s="14"/>
    </row>
    <row r="297" spans="5:12" x14ac:dyDescent="0.3">
      <c r="E297" s="15"/>
      <c r="G297" s="15" t="str">
        <f>IF(A297="","",IFERROR(IF(#REF!&lt;VLOOKUP(A297,'포트변경내역(적극)'!A:C,10,0),"O","X"),""))</f>
        <v/>
      </c>
      <c r="H297" s="15" t="str">
        <f>IF(A297="","",COUNTIFS('MP내역(중립)'!$A:$A,A297)-COUNTIFS('MP내역(중립)'!$A:$A,A297,'MP내역(중립)'!$B:$B,"현금")-COUNTIFS('MP내역(중립)'!$A:$A,A297,'MP내역(중립)'!$B:$B,"예수금")-COUNTIFS('MP내역(중립)'!$A:$A,A297,'MP내역(중립)'!$B:$B,"예탁금")-COUNTIFS('MP내역(중립)'!$A:$A,A297,'MP내역(중립)'!$B:$B,"합계"))</f>
        <v/>
      </c>
      <c r="I297" s="15" t="str">
        <f>IF(A297="","",IF(COUNTIFS('MP내역(중립)'!A:A,A297,'MP내역(중립)'!G:G,"&gt;"&amp;#REF!,'MP내역(중립)'!D:D,"&lt;&gt;"&amp;#REF!,'MP내역(중립)'!D:D,"&lt;&gt;"&amp;#REF!,'MP내역(중립)'!B:B,"&lt;&gt;현금",'MP내역(중립)'!B:B,"&lt;&gt;합계")=0,"O","X"))</f>
        <v/>
      </c>
      <c r="J297" s="15" t="str">
        <f>IF(A297="","",IF(AND(ABS(#REF!-SUMIFS('MP내역(중립)'!G:G,'MP내역(중립)'!A:A,A297,'MP내역(중립)'!F:F,"Y"))&lt;0.001,ABS(#REF!-SUMIFS('MP내역(중립)'!G:G,'MP내역(중립)'!A:A,A297,'MP내역(중립)'!B:B,"&lt;&gt;합계"))&lt;0.001),"O","X"))</f>
        <v/>
      </c>
      <c r="K297" s="15" t="str">
        <f>IF(A297="","",IF(COUNTIFS('MP내역(중립)'!A:A,A297,'MP내역(중립)'!H:H,"X")=0,"O","X"))</f>
        <v/>
      </c>
      <c r="L297" s="14"/>
    </row>
    <row r="298" spans="5:12" x14ac:dyDescent="0.3">
      <c r="E298" s="15"/>
      <c r="G298" s="15" t="str">
        <f>IF(A298="","",IFERROR(IF(#REF!&lt;VLOOKUP(A298,'포트변경내역(적극)'!A:C,10,0),"O","X"),""))</f>
        <v/>
      </c>
      <c r="H298" s="15" t="str">
        <f>IF(A298="","",COUNTIFS('MP내역(중립)'!$A:$A,A298)-COUNTIFS('MP내역(중립)'!$A:$A,A298,'MP내역(중립)'!$B:$B,"현금")-COUNTIFS('MP내역(중립)'!$A:$A,A298,'MP내역(중립)'!$B:$B,"예수금")-COUNTIFS('MP내역(중립)'!$A:$A,A298,'MP내역(중립)'!$B:$B,"예탁금")-COUNTIFS('MP내역(중립)'!$A:$A,A298,'MP내역(중립)'!$B:$B,"합계"))</f>
        <v/>
      </c>
      <c r="I298" s="15" t="str">
        <f>IF(A298="","",IF(COUNTIFS('MP내역(중립)'!A:A,A298,'MP내역(중립)'!G:G,"&gt;"&amp;#REF!,'MP내역(중립)'!D:D,"&lt;&gt;"&amp;#REF!,'MP내역(중립)'!D:D,"&lt;&gt;"&amp;#REF!,'MP내역(중립)'!B:B,"&lt;&gt;현금",'MP내역(중립)'!B:B,"&lt;&gt;합계")=0,"O","X"))</f>
        <v/>
      </c>
      <c r="J298" s="15" t="str">
        <f>IF(A298="","",IF(AND(ABS(#REF!-SUMIFS('MP내역(중립)'!G:G,'MP내역(중립)'!A:A,A298,'MP내역(중립)'!F:F,"Y"))&lt;0.001,ABS(#REF!-SUMIFS('MP내역(중립)'!G:G,'MP내역(중립)'!A:A,A298,'MP내역(중립)'!B:B,"&lt;&gt;합계"))&lt;0.001),"O","X"))</f>
        <v/>
      </c>
      <c r="K298" s="15" t="str">
        <f>IF(A298="","",IF(COUNTIFS('MP내역(중립)'!A:A,A298,'MP내역(중립)'!H:H,"X")=0,"O","X"))</f>
        <v/>
      </c>
      <c r="L298" s="14"/>
    </row>
    <row r="299" spans="5:12" x14ac:dyDescent="0.3">
      <c r="E299" s="15"/>
      <c r="G299" s="15" t="str">
        <f>IF(A299="","",IFERROR(IF(#REF!&lt;VLOOKUP(A299,'포트변경내역(적극)'!A:C,10,0),"O","X"),""))</f>
        <v/>
      </c>
      <c r="H299" s="15" t="str">
        <f>IF(A299="","",COUNTIFS('MP내역(중립)'!$A:$A,A299)-COUNTIFS('MP내역(중립)'!$A:$A,A299,'MP내역(중립)'!$B:$B,"현금")-COUNTIFS('MP내역(중립)'!$A:$A,A299,'MP내역(중립)'!$B:$B,"예수금")-COUNTIFS('MP내역(중립)'!$A:$A,A299,'MP내역(중립)'!$B:$B,"예탁금")-COUNTIFS('MP내역(중립)'!$A:$A,A299,'MP내역(중립)'!$B:$B,"합계"))</f>
        <v/>
      </c>
      <c r="I299" s="15" t="str">
        <f>IF(A299="","",IF(COUNTIFS('MP내역(중립)'!A:A,A299,'MP내역(중립)'!G:G,"&gt;"&amp;#REF!,'MP내역(중립)'!D:D,"&lt;&gt;"&amp;#REF!,'MP내역(중립)'!D:D,"&lt;&gt;"&amp;#REF!,'MP내역(중립)'!B:B,"&lt;&gt;현금",'MP내역(중립)'!B:B,"&lt;&gt;합계")=0,"O","X"))</f>
        <v/>
      </c>
      <c r="J299" s="15" t="str">
        <f>IF(A299="","",IF(AND(ABS(#REF!-SUMIFS('MP내역(중립)'!G:G,'MP내역(중립)'!A:A,A299,'MP내역(중립)'!F:F,"Y"))&lt;0.001,ABS(#REF!-SUMIFS('MP내역(중립)'!G:G,'MP내역(중립)'!A:A,A299,'MP내역(중립)'!B:B,"&lt;&gt;합계"))&lt;0.001),"O","X"))</f>
        <v/>
      </c>
      <c r="K299" s="15" t="str">
        <f>IF(A299="","",IF(COUNTIFS('MP내역(중립)'!A:A,A299,'MP내역(중립)'!H:H,"X")=0,"O","X"))</f>
        <v/>
      </c>
      <c r="L299" s="14"/>
    </row>
    <row r="300" spans="5:12" x14ac:dyDescent="0.3">
      <c r="E300" s="15"/>
      <c r="G300" s="15" t="str">
        <f>IF(A300="","",IFERROR(IF(#REF!&lt;VLOOKUP(A300,'포트변경내역(적극)'!A:C,10,0),"O","X"),""))</f>
        <v/>
      </c>
      <c r="H300" s="15" t="str">
        <f>IF(A300="","",COUNTIFS('MP내역(중립)'!$A:$A,A300)-COUNTIFS('MP내역(중립)'!$A:$A,A300,'MP내역(중립)'!$B:$B,"현금")-COUNTIFS('MP내역(중립)'!$A:$A,A300,'MP내역(중립)'!$B:$B,"예수금")-COUNTIFS('MP내역(중립)'!$A:$A,A300,'MP내역(중립)'!$B:$B,"예탁금")-COUNTIFS('MP내역(중립)'!$A:$A,A300,'MP내역(중립)'!$B:$B,"합계"))</f>
        <v/>
      </c>
      <c r="I300" s="15" t="str">
        <f>IF(A300="","",IF(COUNTIFS('MP내역(중립)'!A:A,A300,'MP내역(중립)'!G:G,"&gt;"&amp;#REF!,'MP내역(중립)'!D:D,"&lt;&gt;"&amp;#REF!,'MP내역(중립)'!D:D,"&lt;&gt;"&amp;#REF!,'MP내역(중립)'!B:B,"&lt;&gt;현금",'MP내역(중립)'!B:B,"&lt;&gt;합계")=0,"O","X"))</f>
        <v/>
      </c>
      <c r="J300" s="15" t="str">
        <f>IF(A300="","",IF(AND(ABS(#REF!-SUMIFS('MP내역(중립)'!G:G,'MP내역(중립)'!A:A,A300,'MP내역(중립)'!F:F,"Y"))&lt;0.001,ABS(#REF!-SUMIFS('MP내역(중립)'!G:G,'MP내역(중립)'!A:A,A300,'MP내역(중립)'!B:B,"&lt;&gt;합계"))&lt;0.001),"O","X"))</f>
        <v/>
      </c>
      <c r="K300" s="15" t="str">
        <f>IF(A300="","",IF(COUNTIFS('MP내역(중립)'!A:A,A300,'MP내역(중립)'!H:H,"X")=0,"O","X"))</f>
        <v/>
      </c>
      <c r="L300" s="14"/>
    </row>
    <row r="301" spans="5:12" x14ac:dyDescent="0.3">
      <c r="E301" s="15"/>
      <c r="G301" s="15" t="str">
        <f>IF(A301="","",IFERROR(IF(#REF!&lt;VLOOKUP(A301,'포트변경내역(적극)'!A:C,10,0),"O","X"),""))</f>
        <v/>
      </c>
      <c r="H301" s="15" t="str">
        <f>IF(A301="","",COUNTIFS('MP내역(중립)'!$A:$A,A301)-COUNTIFS('MP내역(중립)'!$A:$A,A301,'MP내역(중립)'!$B:$B,"현금")-COUNTIFS('MP내역(중립)'!$A:$A,A301,'MP내역(중립)'!$B:$B,"예수금")-COUNTIFS('MP내역(중립)'!$A:$A,A301,'MP내역(중립)'!$B:$B,"예탁금")-COUNTIFS('MP내역(중립)'!$A:$A,A301,'MP내역(중립)'!$B:$B,"합계"))</f>
        <v/>
      </c>
      <c r="I301" s="15" t="str">
        <f>IF(A301="","",IF(COUNTIFS('MP내역(중립)'!A:A,A301,'MP내역(중립)'!G:G,"&gt;"&amp;#REF!,'MP내역(중립)'!D:D,"&lt;&gt;"&amp;#REF!,'MP내역(중립)'!D:D,"&lt;&gt;"&amp;#REF!,'MP내역(중립)'!B:B,"&lt;&gt;현금",'MP내역(중립)'!B:B,"&lt;&gt;합계")=0,"O","X"))</f>
        <v/>
      </c>
      <c r="J301" s="15" t="str">
        <f>IF(A301="","",IF(AND(ABS(#REF!-SUMIFS('MP내역(중립)'!G:G,'MP내역(중립)'!A:A,A301,'MP내역(중립)'!F:F,"Y"))&lt;0.001,ABS(#REF!-SUMIFS('MP내역(중립)'!G:G,'MP내역(중립)'!A:A,A301,'MP내역(중립)'!B:B,"&lt;&gt;합계"))&lt;0.001),"O","X"))</f>
        <v/>
      </c>
      <c r="K301" s="15" t="str">
        <f>IF(A301="","",IF(COUNTIFS('MP내역(중립)'!A:A,A301,'MP내역(중립)'!H:H,"X")=0,"O","X"))</f>
        <v/>
      </c>
      <c r="L301" s="14"/>
    </row>
    <row r="302" spans="5:12" x14ac:dyDescent="0.3">
      <c r="E302" s="15"/>
      <c r="L302" s="14"/>
    </row>
    <row r="303" spans="5:12" x14ac:dyDescent="0.3">
      <c r="E303" s="15"/>
      <c r="L303" s="14"/>
    </row>
    <row r="304" spans="5:12" x14ac:dyDescent="0.3">
      <c r="E304" s="15"/>
      <c r="L304" s="14"/>
    </row>
    <row r="305" spans="5:12" x14ac:dyDescent="0.3">
      <c r="E305" s="15"/>
      <c r="L305" s="14"/>
    </row>
    <row r="306" spans="5:12" x14ac:dyDescent="0.3">
      <c r="E306" s="15"/>
      <c r="L306" s="14"/>
    </row>
    <row r="307" spans="5:12" x14ac:dyDescent="0.3">
      <c r="E307" s="15"/>
      <c r="L307" s="14"/>
    </row>
    <row r="308" spans="5:12" x14ac:dyDescent="0.3">
      <c r="E308" s="15"/>
      <c r="L308" s="14"/>
    </row>
    <row r="309" spans="5:12" x14ac:dyDescent="0.3">
      <c r="E309" s="15"/>
      <c r="L309" s="14"/>
    </row>
    <row r="310" spans="5:12" x14ac:dyDescent="0.3">
      <c r="E310" s="15"/>
      <c r="L310" s="14"/>
    </row>
    <row r="311" spans="5:12" x14ac:dyDescent="0.3">
      <c r="E311" s="15"/>
      <c r="L311" s="14"/>
    </row>
    <row r="312" spans="5:12" x14ac:dyDescent="0.3">
      <c r="E312" s="15"/>
      <c r="L312" s="14"/>
    </row>
    <row r="313" spans="5:12" x14ac:dyDescent="0.3">
      <c r="E313" s="15"/>
      <c r="L313" s="14"/>
    </row>
    <row r="314" spans="5:12" x14ac:dyDescent="0.3">
      <c r="E314" s="15"/>
      <c r="L314" s="14"/>
    </row>
    <row r="315" spans="5:12" x14ac:dyDescent="0.3">
      <c r="E315" s="15"/>
      <c r="L315" s="14"/>
    </row>
  </sheetData>
  <mergeCells count="7">
    <mergeCell ref="O4:O5"/>
    <mergeCell ref="D4:D5"/>
    <mergeCell ref="E4:E5"/>
    <mergeCell ref="F4:F5"/>
    <mergeCell ref="G4:G5"/>
    <mergeCell ref="H4:J4"/>
    <mergeCell ref="K4:N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activeCell="A9" sqref="A9"/>
      <selection pane="bottomLeft" activeCell="A7" sqref="A7"/>
    </sheetView>
  </sheetViews>
  <sheetFormatPr defaultColWidth="9" defaultRowHeight="16.5" x14ac:dyDescent="0.3"/>
  <cols>
    <col min="1" max="1" width="15.125" style="21" customWidth="1"/>
    <col min="2" max="2" width="19" style="21" customWidth="1"/>
    <col min="3" max="3" width="44.25" style="19" customWidth="1"/>
    <col min="4" max="4" width="15.125" style="19" bestFit="1" customWidth="1"/>
    <col min="5" max="5" width="11.5" style="19" customWidth="1"/>
    <col min="6" max="6" width="11.625" style="21" customWidth="1"/>
    <col min="7" max="7" width="12.25" style="23" customWidth="1"/>
    <col min="8" max="8" width="13.25" style="21" bestFit="1" customWidth="1"/>
    <col min="9" max="16384" width="9" style="21"/>
  </cols>
  <sheetData>
    <row r="1" spans="1:9" s="6" customFormat="1" x14ac:dyDescent="0.3">
      <c r="A1" s="46" t="s">
        <v>86</v>
      </c>
      <c r="B1" s="46" t="s">
        <v>87</v>
      </c>
      <c r="C1" s="58" t="s">
        <v>8</v>
      </c>
      <c r="D1" s="58" t="s">
        <v>88</v>
      </c>
      <c r="E1" s="58" t="s">
        <v>89</v>
      </c>
      <c r="F1" s="58" t="s">
        <v>90</v>
      </c>
      <c r="G1" s="46" t="s">
        <v>91</v>
      </c>
      <c r="H1" s="20" t="s">
        <v>92</v>
      </c>
    </row>
    <row r="2" spans="1:9" x14ac:dyDescent="0.3">
      <c r="A2" s="2">
        <f>'50578'!$R$1</f>
        <v>44694</v>
      </c>
      <c r="B2" s="67" t="s">
        <v>202</v>
      </c>
      <c r="C2" s="35" t="str">
        <f>VLOOKUP($B2,투자유니버스!$A:$H,2,0)</f>
        <v>TIGER 200</v>
      </c>
      <c r="D2" s="35" t="str">
        <f>VLOOKUP($B2,투자유니버스!$A:$H,5,0)</f>
        <v>한국주식</v>
      </c>
      <c r="E2" s="35">
        <f>VLOOKUP($B2,투자유니버스!$A:$H,7,0)</f>
        <v>4</v>
      </c>
      <c r="F2" s="35" t="str">
        <f>VLOOKUP($B2,투자유니버스!$A:$H,8,0)</f>
        <v>Y</v>
      </c>
      <c r="G2" s="38">
        <f>VLOOKUP(A2,이론!$A:$B,2,FALSE)*80%/3</f>
        <v>0.23045632268277758</v>
      </c>
      <c r="H2" s="33" t="str">
        <f>IF(A2="","",IF(OR(B2="",B2="합계",C2="합계"),"",IF(COUNTIF(투자유니버스!A:A,B2)&gt;0,"O","X")))</f>
        <v>O</v>
      </c>
      <c r="I2" s="42"/>
    </row>
    <row r="3" spans="1:9" x14ac:dyDescent="0.3">
      <c r="A3" s="2">
        <f>'50578'!$R$1</f>
        <v>44694</v>
      </c>
      <c r="B3" s="67" t="s">
        <v>387</v>
      </c>
      <c r="C3" s="35" t="str">
        <f>VLOOKUP($B3,투자유니버스!$A:$H,2,0)</f>
        <v>KODEX 200</v>
      </c>
      <c r="D3" s="35" t="str">
        <f>VLOOKUP($B3,투자유니버스!$A:$H,5,0)</f>
        <v>한국주식</v>
      </c>
      <c r="E3" s="35">
        <f>VLOOKUP($B3,투자유니버스!$A:$H,7,0)</f>
        <v>4</v>
      </c>
      <c r="F3" s="35" t="str">
        <f>VLOOKUP($B3,투자유니버스!$A:$H,8,0)</f>
        <v>Y</v>
      </c>
      <c r="G3" s="38">
        <f>VLOOKUP(A3,이론!$A:$B,2,FALSE)*80%/3</f>
        <v>0.23045632268277758</v>
      </c>
      <c r="H3" s="33" t="str">
        <f>IF(A3="","",IF(OR(B3="",B3="합계",C3="합계"),"",IF(COUNTIF(투자유니버스!A:A,B3)&gt;0,"O","X")))</f>
        <v>O</v>
      </c>
      <c r="I3" s="42"/>
    </row>
    <row r="4" spans="1:9" x14ac:dyDescent="0.3">
      <c r="A4" s="2">
        <f>'50578'!$R$1</f>
        <v>44694</v>
      </c>
      <c r="B4" s="67" t="s">
        <v>388</v>
      </c>
      <c r="C4" s="35" t="str">
        <f>VLOOKUP($B4,투자유니버스!$A:$H,2,0)</f>
        <v>KBSTAR 200</v>
      </c>
      <c r="D4" s="35" t="str">
        <f>VLOOKUP($B4,투자유니버스!$A:$H,5,0)</f>
        <v>한국주식</v>
      </c>
      <c r="E4" s="35">
        <f>VLOOKUP($B4,투자유니버스!$A:$H,7,0)</f>
        <v>4</v>
      </c>
      <c r="F4" s="35" t="str">
        <f>VLOOKUP($B4,투자유니버스!$A:$H,8,0)</f>
        <v>Y</v>
      </c>
      <c r="G4" s="38">
        <f>VLOOKUP(A4,이론!$A:$B,2,FALSE)*80%/3</f>
        <v>0.23045632268277758</v>
      </c>
      <c r="H4" s="33" t="str">
        <f>IF(A4="","",IF(OR(B4="",B4="합계",C4="합계"),"",IF(COUNTIF(투자유니버스!A:A,B4)&gt;0,"O","X")))</f>
        <v>O</v>
      </c>
      <c r="I4" s="42"/>
    </row>
    <row r="5" spans="1:9" x14ac:dyDescent="0.3">
      <c r="A5" s="2">
        <f>'50578'!$R$1</f>
        <v>44694</v>
      </c>
      <c r="B5" s="67" t="s">
        <v>112</v>
      </c>
      <c r="C5" s="35" t="str">
        <f>VLOOKUP($B5,투자유니버스!$A:$H,2,0)</f>
        <v>TIGER 단기채권액티브</v>
      </c>
      <c r="D5" s="35" t="str">
        <f>VLOOKUP($B5,투자유니버스!$A:$H,5,0)</f>
        <v>한국국공채권</v>
      </c>
      <c r="E5" s="35">
        <f>VLOOKUP($B5,투자유니버스!$A:$H,7,0)</f>
        <v>1</v>
      </c>
      <c r="F5" s="35" t="str">
        <f>VLOOKUP($B5,투자유니버스!$A:$H,8,0)</f>
        <v>N</v>
      </c>
      <c r="G5" s="38">
        <f>(1-VLOOKUP(A4,이론!$A:$B,2,FALSE)*80%)/3</f>
        <v>0.10287701065055577</v>
      </c>
      <c r="H5" s="33" t="str">
        <f>IF(A5="","",IF(OR(B5="",B5="합계",C5="합계"),"",IF(COUNTIF(투자유니버스!A:A,B5)&gt;0,"O","X")))</f>
        <v>O</v>
      </c>
      <c r="I5" s="42"/>
    </row>
    <row r="6" spans="1:9" x14ac:dyDescent="0.3">
      <c r="A6" s="2">
        <f>'50578'!$R$1</f>
        <v>44694</v>
      </c>
      <c r="B6" s="67" t="s">
        <v>110</v>
      </c>
      <c r="C6" s="35" t="str">
        <f>VLOOKUP($B6,투자유니버스!$A:$H,2,0)</f>
        <v>KBSTAR 단기통안채</v>
      </c>
      <c r="D6" s="35" t="str">
        <f>VLOOKUP($B6,투자유니버스!$A:$H,5,0)</f>
        <v>한국국공채권</v>
      </c>
      <c r="E6" s="35">
        <f>VLOOKUP($B6,투자유니버스!$A:$H,7,0)</f>
        <v>1</v>
      </c>
      <c r="F6" s="35" t="str">
        <f>VLOOKUP($B6,투자유니버스!$A:$H,8,0)</f>
        <v>N</v>
      </c>
      <c r="G6" s="38">
        <f>(1-VLOOKUP(A5,이론!$A:$B,2,FALSE)*80%)/3</f>
        <v>0.10287701065055577</v>
      </c>
      <c r="H6" s="33" t="str">
        <f>IF(A6="","",IF(OR(B6="",B6="합계",C6="합계"),"",IF(COUNTIF(투자유니버스!A:A,B6)&gt;0,"O","X")))</f>
        <v>O</v>
      </c>
      <c r="I6" s="42"/>
    </row>
    <row r="7" spans="1:9" x14ac:dyDescent="0.3">
      <c r="A7" s="2">
        <f>'50578'!$R$1</f>
        <v>44694</v>
      </c>
      <c r="B7" s="67" t="s">
        <v>114</v>
      </c>
      <c r="C7" s="35" t="str">
        <f>VLOOKUP($B7,투자유니버스!$A:$H,2,0)</f>
        <v>KOSEF 단기자금</v>
      </c>
      <c r="D7" s="35" t="str">
        <f>VLOOKUP($B7,투자유니버스!$A:$H,5,0)</f>
        <v>한국국공채권</v>
      </c>
      <c r="E7" s="35">
        <f>VLOOKUP($B7,투자유니버스!$A:$H,7,0)</f>
        <v>1</v>
      </c>
      <c r="F7" s="35" t="str">
        <f>VLOOKUP($B7,투자유니버스!$A:$H,8,0)</f>
        <v>N</v>
      </c>
      <c r="G7" s="38">
        <f>(1-VLOOKUP(A6,이론!$A:$B,2,FALSE)*80%)/3</f>
        <v>0.10287701065055577</v>
      </c>
      <c r="H7" s="33" t="str">
        <f>IF(A7="","",IF(OR(B7="",B7="합계",C7="합계"),"",IF(COUNTIF(투자유니버스!A:A,B7)&gt;0,"O","X")))</f>
        <v>O</v>
      </c>
      <c r="I7" s="42"/>
    </row>
    <row r="8" spans="1:9" x14ac:dyDescent="0.3">
      <c r="H8" s="11" t="str">
        <f>IF(A8="","",IF(OR(B8="",B8="합계",C8="합계"),"",IF(COUNTIF(투자유니버스!A:A,B8)&gt;0,"O","X")))</f>
        <v/>
      </c>
    </row>
    <row r="9" spans="1:9" x14ac:dyDescent="0.3">
      <c r="H9" s="11" t="str">
        <f>IF(A9="","",IF(OR(B9="",B9="합계",C9="합계"),"",IF(COUNTIF(투자유니버스!A:A,B9)&gt;0,"O","X")))</f>
        <v/>
      </c>
    </row>
    <row r="10" spans="1:9" x14ac:dyDescent="0.3">
      <c r="H10" s="11" t="str">
        <f>IF(A10="","",IF(OR(B10="",B10="합계",C10="합계"),"",IF(COUNTIF(투자유니버스!A:A,B10)&gt;0,"O","X")))</f>
        <v/>
      </c>
    </row>
    <row r="11" spans="1:9" x14ac:dyDescent="0.3">
      <c r="H11" s="11" t="str">
        <f>IF(A11="","",IF(OR(B11="",B11="합계",C11="합계"),"",IF(COUNTIF(투자유니버스!A:A,B11)&gt;0,"O","X")))</f>
        <v/>
      </c>
    </row>
    <row r="12" spans="1:9" x14ac:dyDescent="0.3">
      <c r="H12" s="11" t="str">
        <f>IF(A12="","",IF(OR(B12="",B12="합계",C12="합계"),"",IF(COUNTIF(투자유니버스!A:A,B12)&gt;0,"O","X")))</f>
        <v/>
      </c>
    </row>
    <row r="13" spans="1:9" x14ac:dyDescent="0.3">
      <c r="H13" s="11" t="str">
        <f>IF(A13="","",IF(OR(B13="",B13="합계",C13="합계"),"",IF(COUNTIF(투자유니버스!A:A,B13)&gt;0,"O","X")))</f>
        <v/>
      </c>
    </row>
    <row r="14" spans="1:9" x14ac:dyDescent="0.3">
      <c r="H14" s="11" t="str">
        <f>IF(A14="","",IF(OR(B14="",B14="합계",C14="합계"),"",IF(COUNTIF(투자유니버스!A:A,B14)&gt;0,"O","X")))</f>
        <v/>
      </c>
    </row>
    <row r="15" spans="1:9" x14ac:dyDescent="0.3">
      <c r="H15" s="11" t="str">
        <f>IF(A15="","",IF(OR(B15="",B15="합계",C15="합계"),"",IF(COUNTIF(투자유니버스!A:A,B15)&gt;0,"O","X")))</f>
        <v/>
      </c>
    </row>
    <row r="16" spans="1:9" x14ac:dyDescent="0.3">
      <c r="H16" s="11" t="str">
        <f>IF(A16="","",IF(OR(B16="",B16="합계",C16="합계"),"",IF(COUNTIF(투자유니버스!A:A,B16)&gt;0,"O","X")))</f>
        <v/>
      </c>
    </row>
    <row r="17" spans="8:8" x14ac:dyDescent="0.3">
      <c r="H17" s="11" t="str">
        <f>IF(A17="","",IF(OR(B17="",B17="합계",C17="합계"),"",IF(COUNTIF(투자유니버스!A:A,B17)&gt;0,"O","X")))</f>
        <v/>
      </c>
    </row>
    <row r="18" spans="8:8" x14ac:dyDescent="0.3">
      <c r="H18" s="11" t="str">
        <f>IF(A18="","",IF(OR(B18="",B18="합계",C18="합계"),"",IF(COUNTIF(투자유니버스!A:A,B18)&gt;0,"O","X")))</f>
        <v/>
      </c>
    </row>
    <row r="19" spans="8:8" x14ac:dyDescent="0.3">
      <c r="H19" s="11" t="str">
        <f>IF(A19="","",IF(OR(B19="",B19="합계",C19="합계"),"",IF(COUNTIF(투자유니버스!A:A,B19)&gt;0,"O","X")))</f>
        <v/>
      </c>
    </row>
    <row r="20" spans="8:8" x14ac:dyDescent="0.3">
      <c r="H20" s="11" t="str">
        <f>IF(A20="","",IF(OR(B20="",B20="합계",C20="합계"),"",IF(COUNTIF(투자유니버스!A:A,B20)&gt;0,"O","X")))</f>
        <v/>
      </c>
    </row>
    <row r="21" spans="8:8" x14ac:dyDescent="0.3">
      <c r="H21" s="11" t="str">
        <f>IF(A21="","",IF(OR(B21="",B21="합계",C21="합계"),"",IF(COUNTIF(투자유니버스!A:A,B21)&gt;0,"O","X")))</f>
        <v/>
      </c>
    </row>
    <row r="22" spans="8:8" x14ac:dyDescent="0.3">
      <c r="H22" s="11" t="str">
        <f>IF(A22="","",IF(OR(B22="",B22="합계",C22="합계"),"",IF(COUNTIF(투자유니버스!A:A,B22)&gt;0,"O","X")))</f>
        <v/>
      </c>
    </row>
    <row r="23" spans="8:8" x14ac:dyDescent="0.3">
      <c r="H23" s="11" t="str">
        <f>IF(A23="","",IF(OR(B23="",B23="합계",C23="합계"),"",IF(COUNTIF(투자유니버스!A:A,B23)&gt;0,"O","X")))</f>
        <v/>
      </c>
    </row>
    <row r="24" spans="8:8" x14ac:dyDescent="0.3">
      <c r="H24" s="11" t="str">
        <f>IF(A24="","",IF(OR(B24="",B24="합계",C24="합계"),"",IF(COUNTIF(투자유니버스!A:A,B24)&gt;0,"O","X")))</f>
        <v/>
      </c>
    </row>
    <row r="25" spans="8:8" x14ac:dyDescent="0.3">
      <c r="H25" s="11" t="str">
        <f>IF(A25="","",IF(OR(B25="",B25="합계",C25="합계"),"",IF(COUNTIF(투자유니버스!A:A,B25)&gt;0,"O","X")))</f>
        <v/>
      </c>
    </row>
    <row r="26" spans="8:8" x14ac:dyDescent="0.3">
      <c r="H26" s="11" t="str">
        <f>IF(A26="","",IF(OR(B26="",B26="합계",C26="합계"),"",IF(COUNTIF(투자유니버스!A:A,B26)&gt;0,"O","X")))</f>
        <v/>
      </c>
    </row>
    <row r="27" spans="8:8" x14ac:dyDescent="0.3">
      <c r="H27" s="11" t="str">
        <f>IF(A27="","",IF(OR(B27="",B27="합계",C27="합계"),"",IF(COUNTIF(투자유니버스!A:A,B27)&gt;0,"O","X")))</f>
        <v/>
      </c>
    </row>
    <row r="28" spans="8:8" x14ac:dyDescent="0.3">
      <c r="H28" s="11" t="str">
        <f>IF(A28="","",IF(OR(B28="",B28="합계",C28="합계"),"",IF(COUNTIF(투자유니버스!A:A,B28)&gt;0,"O","X")))</f>
        <v/>
      </c>
    </row>
    <row r="29" spans="8:8" x14ac:dyDescent="0.3">
      <c r="H29" s="11" t="str">
        <f>IF(A29="","",IF(OR(B29="",B29="합계",C29="합계"),"",IF(COUNTIF(투자유니버스!A:A,B29)&gt;0,"O","X")))</f>
        <v/>
      </c>
    </row>
    <row r="30" spans="8:8" x14ac:dyDescent="0.3">
      <c r="H30" s="11" t="str">
        <f>IF(A30="","",IF(OR(B30="",B30="합계",C30="합계"),"",IF(COUNTIF(투자유니버스!A:A,B30)&gt;0,"O","X")))</f>
        <v/>
      </c>
    </row>
    <row r="31" spans="8:8" x14ac:dyDescent="0.3">
      <c r="H31" s="11" t="str">
        <f>IF(A31="","",IF(OR(B31="",B31="합계",C31="합계"),"",IF(COUNTIF(투자유니버스!A:A,B31)&gt;0,"O","X")))</f>
        <v/>
      </c>
    </row>
    <row r="32" spans="8:8" x14ac:dyDescent="0.3">
      <c r="H32" s="11" t="str">
        <f>IF(A32="","",IF(OR(B32="",B32="합계",C32="합계"),"",IF(COUNTIF(투자유니버스!A:A,B32)&gt;0,"O","X")))</f>
        <v/>
      </c>
    </row>
    <row r="33" spans="8:8" x14ac:dyDescent="0.3">
      <c r="H33" s="11" t="str">
        <f>IF(A33="","",IF(OR(B33="",B33="합계",C33="합계"),"",IF(COUNTIF(투자유니버스!A:A,B33)&gt;0,"O","X")))</f>
        <v/>
      </c>
    </row>
    <row r="34" spans="8:8" x14ac:dyDescent="0.3">
      <c r="H34" s="11" t="str">
        <f>IF(A34="","",IF(OR(B34="",B34="합계",C34="합계"),"",IF(COUNTIF(투자유니버스!A:A,B34)&gt;0,"O","X")))</f>
        <v/>
      </c>
    </row>
  </sheetData>
  <phoneticPr fontId="1" type="noConversion"/>
  <dataValidations count="1">
    <dataValidation type="list" allowBlank="1" showInputMessage="1" showErrorMessage="1" sqref="E213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G5" sqref="G5"/>
      <selection pane="bottomLeft" activeCell="M5" sqref="M5"/>
    </sheetView>
  </sheetViews>
  <sheetFormatPr defaultColWidth="9" defaultRowHeight="16.5" x14ac:dyDescent="0.3"/>
  <cols>
    <col min="1" max="1" width="14" style="3" customWidth="1"/>
    <col min="2" max="2" width="22.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393</v>
      </c>
      <c r="C2" s="7" t="s">
        <v>395</v>
      </c>
      <c r="D2" s="22">
        <v>7000000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중립1)'!E5,전체매매내역!K:K,"미래변동성위험중립1")&gt;0,"추가매수",IF(SUMIFS(전체매매내역!H:H,전체매매내역!G:G,'잔고변경현황(중립1)'!E5,전체매매내역!K:K,"미래변동성위험중립1")&lt;0,"일부매도","전량매도"))="전량매도","",IF(SUMIFS(전체매매내역!H:H,전체매매내역!G:G,'잔고변경현황(중립1)'!E5,전체매매내역!K:K,"미래변동성위험중립1")&gt;0,"추가매수",IF(SUMIFS(전체매매내역!H:H,전체매매내역!G:G,'잔고변경현황(중립1)'!E5,전체매매내역!K:K,"미래변동성위험중립1")&lt;0,"일부매도","전량매도")))</f>
        <v/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SUMIFS(전체매매내역!J:J,전체매매내역!B:B,'잔고변경현황(중립1)'!$A$2,전체매매내역!D:D,'잔고변경현황(중립1)'!$C$2,전체매매내역!G:G,'잔고변경현황(중립1)'!E5,전체매매내역!A:A,'잔고변경현황(중립1)'!A5)</f>
        <v>43</v>
      </c>
      <c r="H5" s="41">
        <f>SUMIFS('50578'!I:I,'50578'!E:E,'잔고변경현황(중립1)'!E5,'50578'!C:C,"미래변동성위험중립1")</f>
        <v>1523060</v>
      </c>
      <c r="I5" s="38">
        <f>SUMIFS('50578'!K:K,'50578'!C:C,"미래변동성위험중립1",'50578'!E:E,'잔고변경현황(중립1)'!E5)/100</f>
        <v>0.2278</v>
      </c>
      <c r="J5" s="38">
        <f>SUMIFS('MP내역(중립)'!G:G,'MP내역(중립)'!A:A,A5,'MP내역(중립)'!B:B,D5)</f>
        <v>0.23045632268277758</v>
      </c>
      <c r="K5" s="38">
        <f>J5-I5</f>
        <v>2.6563226827775732E-3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중립1)'!E6,전체매매내역!K:K,"미래변동성위험중립1")&gt;0,"추가매수",IF(SUMIFS(전체매매내역!H:H,전체매매내역!G:G,'잔고변경현황(중립1)'!E6,전체매매내역!K:K,"미래변동성위험중립1")&lt;0,"일부매도","전량매도"))="전량매도","",IF(SUMIFS(전체매매내역!H:H,전체매매내역!G:G,'잔고변경현황(중립1)'!E6,전체매매내역!K:K,"미래변동성위험중립1")&gt;0,"추가매수",IF(SUMIFS(전체매매내역!H:H,전체매매내역!G:G,'잔고변경현황(중립1)'!E6,전체매매내역!K:K,"미래변동성위험중립1")&lt;0,"일부매도","전량매도")))</f>
        <v/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SUMIFS(전체매매내역!J:J,전체매매내역!B:B,'잔고변경현황(중립1)'!$A$2,전체매매내역!D:D,'잔고변경현황(중립1)'!$C$2,전체매매내역!G:G,'잔고변경현황(중립1)'!E6,전체매매내역!A:A,'잔고변경현황(중립1)'!A6)</f>
        <v>43</v>
      </c>
      <c r="H6" s="41">
        <f>SUMIFS('50578'!I:I,'50578'!E:E,'잔고변경현황(중립1)'!E6,'50578'!C:C,"미래변동성위험중립1")</f>
        <v>1521125</v>
      </c>
      <c r="I6" s="38">
        <f>SUMIFS('50578'!K:K,'50578'!C:C,"미래변동성위험중립1",'50578'!E:E,'잔고변경현황(중립1)'!E6)/100</f>
        <v>0.22760000000000002</v>
      </c>
      <c r="J6" s="38">
        <f>SUMIFS('MP내역(중립)'!G:G,'MP내역(중립)'!A:A,A6,'MP내역(중립)'!B:B,D6)</f>
        <v>0.23045632268277758</v>
      </c>
      <c r="K6" s="38">
        <f t="shared" ref="K6:K10" si="0">J6-I6</f>
        <v>2.8563226827775512E-3</v>
      </c>
      <c r="L6" s="78">
        <f t="shared" ref="L6:L10" si="1">ROUND(G6*K6/I6,0)</f>
        <v>1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중립1)'!E7,전체매매내역!K:K,"미래변동성위험중립1")&gt;0,"추가매수",IF(SUMIFS(전체매매내역!H:H,전체매매내역!G:G,'잔고변경현황(중립1)'!E7,전체매매내역!K:K,"미래변동성위험중립1")&lt;0,"일부매도","전량매도"))="전량매도","",IF(SUMIFS(전체매매내역!H:H,전체매매내역!G:G,'잔고변경현황(중립1)'!E7,전체매매내역!K:K,"미래변동성위험중립1")&gt;0,"추가매수",IF(SUMIFS(전체매매내역!H:H,전체매매내역!G:G,'잔고변경현황(중립1)'!E7,전체매매내역!K:K,"미래변동성위험중립1")&lt;0,"일부매도","전량매도")))</f>
        <v/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SUMIFS(전체매매내역!J:J,전체매매내역!B:B,'잔고변경현황(중립1)'!$A$2,전체매매내역!D:D,'잔고변경현황(중립1)'!$C$2,전체매매내역!G:G,'잔고변경현황(중립1)'!E7,전체매매내역!A:A,'잔고변경현황(중립1)'!A7)</f>
        <v>42</v>
      </c>
      <c r="H7" s="41">
        <f>SUMIFS('50578'!I:I,'50578'!E:E,'잔고변경현황(중립1)'!E7,'50578'!C:C,"미래변동성위험중립1")</f>
        <v>1494780</v>
      </c>
      <c r="I7" s="38">
        <f>SUMIFS('50578'!K:K,'50578'!C:C,"미래변동성위험중립1",'50578'!E:E,'잔고변경현황(중립1)'!E7)/100</f>
        <v>0.22359999999999999</v>
      </c>
      <c r="J7" s="38">
        <f>SUMIFS('MP내역(중립)'!G:G,'MP내역(중립)'!A:A,A7,'MP내역(중립)'!B:B,D7)</f>
        <v>0.23045632268277758</v>
      </c>
      <c r="K7" s="38">
        <f t="shared" si="0"/>
        <v>6.8563226827775825E-3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중립1)'!E8,전체매매내역!K:K,"미래변동성위험중립1")&gt;0,"추가매수",IF(SUMIFS(전체매매내역!H:H,전체매매내역!G:G,'잔고변경현황(중립1)'!E8,전체매매내역!K:K,"미래변동성위험중립1")&lt;0,"일부매도","전량매도"))="전량매도","",IF(SUMIFS(전체매매내역!H:H,전체매매내역!G:G,'잔고변경현황(중립1)'!E8,전체매매내역!K:K,"미래변동성위험중립1")&gt;0,"추가매수",IF(SUMIFS(전체매매내역!H:H,전체매매내역!G:G,'잔고변경현황(중립1)'!E8,전체매매내역!K:K,"미래변동성위험중립1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SUMIFS(전체매매내역!J:J,전체매매내역!B:B,'잔고변경현황(중립1)'!$A$2,전체매매내역!D:D,'잔고변경현황(중립1)'!$C$2,전체매매내역!G:G,'잔고변경현황(중립1)'!E8,전체매매내역!A:A,'잔고변경현황(중립1)'!A8)</f>
        <v>13</v>
      </c>
      <c r="H8" s="41">
        <f>SUMIFS('50578'!I:I,'50578'!E:E,'잔고변경현황(중립1)'!E8,'50578'!C:C,"미래변동성위험중립1")</f>
        <v>656370</v>
      </c>
      <c r="I8" s="38">
        <f>SUMIFS('50578'!K:K,'50578'!C:C,"미래변동성위험중립1",'50578'!E:E,'잔고변경현황(중립1)'!E8)/100</f>
        <v>9.820000000000001E-2</v>
      </c>
      <c r="J8" s="38">
        <f>SUMIFS('MP내역(중립)'!G:G,'MP내역(중립)'!A:A,A8,'MP내역(중립)'!B:B,D8)</f>
        <v>0.10287701065055577</v>
      </c>
      <c r="K8" s="38">
        <f t="shared" si="0"/>
        <v>4.6770106505557574E-3</v>
      </c>
      <c r="L8" s="78">
        <f t="shared" si="1"/>
        <v>1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중립1)'!E9,전체매매내역!K:K,"미래변동성위험중립1")&gt;0,"추가매수",IF(SUMIFS(전체매매내역!H:H,전체매매내역!G:G,'잔고변경현황(중립1)'!E9,전체매매내역!K:K,"미래변동성위험중립1")&lt;0,"일부매도","전량매도"))="전량매도","",IF(SUMIFS(전체매매내역!H:H,전체매매내역!G:G,'잔고변경현황(중립1)'!E9,전체매매내역!K:K,"미래변동성위험중립1")&gt;0,"추가매수",IF(SUMIFS(전체매매내역!H:H,전체매매내역!G:G,'잔고변경현황(중립1)'!E9,전체매매내역!K:K,"미래변동성위험중립1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SUMIFS(전체매매내역!J:J,전체매매내역!B:B,'잔고변경현황(중립1)'!$A$2,전체매매내역!D:D,'잔고변경현황(중립1)'!$C$2,전체매매내역!G:G,'잔고변경현황(중립1)'!E9,전체매매내역!A:A,'잔고변경현황(중립1)'!A9)</f>
        <v>6</v>
      </c>
      <c r="H9" s="41">
        <f>SUMIFS('50578'!I:I,'50578'!E:E,'잔고변경현황(중립1)'!E9,'50578'!C:C,"미래변동성위험중립1")</f>
        <v>630720</v>
      </c>
      <c r="I9" s="38">
        <f>SUMIFS('50578'!K:K,'50578'!C:C,"미래변동성위험중립1",'50578'!E:E,'잔고변경현황(중립1)'!E9)/100</f>
        <v>9.4399999999999998E-2</v>
      </c>
      <c r="J9" s="38">
        <f>SUMIFS('MP내역(중립)'!G:G,'MP내역(중립)'!A:A,A9,'MP내역(중립)'!B:B,D9)</f>
        <v>0.10287701065055577</v>
      </c>
      <c r="K9" s="38">
        <f t="shared" si="0"/>
        <v>8.4770106505557691E-3</v>
      </c>
      <c r="L9" s="78">
        <f t="shared" si="1"/>
        <v>1</v>
      </c>
      <c r="M9" s="35" t="str">
        <f t="shared" si="2"/>
        <v>일정금액의유동성확보</v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중립1)'!E10,전체매매내역!K:K,"미래변동성위험중립1")&gt;0,"추가매수",IF(SUMIFS(전체매매내역!H:H,전체매매내역!G:G,'잔고변경현황(중립1)'!E10,전체매매내역!K:K,"미래변동성위험중립1")&lt;0,"일부매도","전량매도"))="전량매도","",IF(SUMIFS(전체매매내역!H:H,전체매매내역!G:G,'잔고변경현황(중립1)'!E10,전체매매내역!K:K,"미래변동성위험중립1")&gt;0,"추가매수",IF(SUMIFS(전체매매내역!H:H,전체매매내역!G:G,'잔고변경현황(중립1)'!E10,전체매매내역!K:K,"미래변동성위험중립1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SUMIFS(전체매매내역!J:J,전체매매내역!B:B,'잔고변경현황(중립1)'!$A$2,전체매매내역!D:D,'잔고변경현황(중립1)'!$C$2,전체매매내역!G:G,'잔고변경현황(중립1)'!E10,전체매매내역!A:A,'잔고변경현황(중립1)'!A10)</f>
        <v>6</v>
      </c>
      <c r="H10" s="41">
        <f>SUMIFS('50578'!I:I,'50578'!E:E,'잔고변경현황(중립1)'!E10,'50578'!C:C,"미래변동성위험중립1")</f>
        <v>607950</v>
      </c>
      <c r="I10" s="38">
        <f>SUMIFS('50578'!K:K,'50578'!C:C,"미래변동성위험중립1",'50578'!E:E,'잔고변경현황(중립1)'!E10)/100</f>
        <v>9.0899999999999995E-2</v>
      </c>
      <c r="J10" s="38">
        <f>SUMIFS('MP내역(중립)'!G:G,'MP내역(중립)'!A:A,A10,'MP내역(중립)'!B:B,D10)</f>
        <v>0.10287701065055577</v>
      </c>
      <c r="K10" s="38">
        <f t="shared" si="0"/>
        <v>1.1977010650555772E-2</v>
      </c>
      <c r="L10" s="78">
        <f t="shared" si="1"/>
        <v>1</v>
      </c>
      <c r="M10" s="35" t="str">
        <f t="shared" si="2"/>
        <v>일정금액의유동성확보</v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 t="str">
        <f>IF(IF(SUMIFS(전체매매내역!H:H,전체매매내역!G:G,'잔고변경현황(중립1)'!E11,전체매매내역!K:K,"미래변동성위험중립1")&gt;0,"추가매수",IF(SUMIFS(전체매매내역!H:H,전체매매내역!G:G,'잔고변경현황(중립1)'!E11,전체매매내역!K:K,"미래변동성위험중립1")&lt;0,"일부매도","전량매도"))="전량매도","",IF(SUMIFS(전체매매내역!H:H,전체매매내역!G:G,'잔고변경현황(중립1)'!E11,전체매매내역!K:K,"미래변동성위험중립1")&gt;0,"추가매수",IF(SUMIFS(전체매매내역!H:H,전체매매내역!G:G,'잔고변경현황(중립1)'!E11,전체매매내역!K:K,"미래변동성위험중립1")&lt;0,"일부매도","전량매도")))</f>
        <v/>
      </c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SUMIFS('22012'!I:I,'22012'!C:C,"미래변동성위험중립1")</f>
        <v>0</v>
      </c>
      <c r="I11" s="71">
        <f>1-SUM(I5:I10)</f>
        <v>3.7499999999999867E-2</v>
      </c>
      <c r="J11" s="38">
        <f>SUMIFS('MP내역(중립)'!G:G,'MP내역(중립)'!A:A,A11,'MP내역(중립)'!B:B,D11)</f>
        <v>0</v>
      </c>
      <c r="K11" s="38">
        <f>J11-I11</f>
        <v>-3.7499999999999867E-2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s="21" customFormat="1" x14ac:dyDescent="0.3">
      <c r="C39" s="64"/>
      <c r="E39" s="19"/>
      <c r="F39" s="19"/>
      <c r="H39" s="19"/>
      <c r="I39" s="23"/>
      <c r="J39" s="23"/>
      <c r="K39" s="23"/>
      <c r="L39" s="23"/>
      <c r="M39" s="19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G5" sqref="G5"/>
      <selection pane="bottomLeft" activeCell="C5" sqref="C5"/>
    </sheetView>
  </sheetViews>
  <sheetFormatPr defaultColWidth="9" defaultRowHeight="16.5" x14ac:dyDescent="0.3"/>
  <cols>
    <col min="1" max="1" width="14" style="3" customWidth="1"/>
    <col min="2" max="2" width="22.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393</v>
      </c>
      <c r="C2" s="7" t="s">
        <v>396</v>
      </c>
      <c r="D2" s="22">
        <v>10000000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중립2)'!E5,전체매매내역!K:K,"미래변동성위험중립2")&gt;0,"추가매수",IF(SUMIFS(전체매매내역!H:H,전체매매내역!G:G,'잔고변경현황(중립2)'!E5,전체매매내역!K:K,"미래변동성위험중립2")&lt;0,"일부매도","전량매도"))="전량매도","",IF(SUMIFS(전체매매내역!H:H,전체매매내역!G:G,'잔고변경현황(중립2)'!E5,전체매매내역!K:K,"미래변동성위험중립2")&gt;0,"추가매수",IF(SUMIFS(전체매매내역!H:H,전체매매내역!G:G,'잔고변경현황(중립2)'!E5,전체매매내역!K:K,"미래변동성위험중립2")&lt;0,"일부매도","전량매도")))</f>
        <v/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SUMIFS(전체매매내역!J:J,전체매매내역!B:B,'잔고변경현황(중립2)'!$A$2,전체매매내역!D:D,'잔고변경현황(중립2)'!$C$2,전체매매내역!G:G,'잔고변경현황(중립2)'!E5,전체매매내역!A:A,'잔고변경현황(중립2)'!A5)</f>
        <v>61</v>
      </c>
      <c r="H5" s="40">
        <f>SUMIFS('50578'!I:I,'50578'!E:E,'잔고변경현황(중립2)'!E5,'50578'!C:C,"미래변동성위험중립2")</f>
        <v>2160620</v>
      </c>
      <c r="I5" s="38">
        <f>SUMIFS('50578'!K:K,'50578'!C:C,"미래변동성위험중립2",'50578'!E:E,'잔고변경현황(중립2)'!E5)/100</f>
        <v>0.2263</v>
      </c>
      <c r="J5" s="38">
        <f>SUMIFS('MP내역(중립)'!G:G,'MP내역(중립)'!A:A,A5,'MP내역(중립)'!B:B,D5)</f>
        <v>0.23045632268277758</v>
      </c>
      <c r="K5" s="38">
        <f>J5-I5</f>
        <v>4.1563226827775746E-3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중립2)'!E6,전체매매내역!K:K,"미래변동성위험중립2")&gt;0,"추가매수",IF(SUMIFS(전체매매내역!H:H,전체매매내역!G:G,'잔고변경현황(중립2)'!E6,전체매매내역!K:K,"미래변동성위험중립2")&lt;0,"일부매도","전량매도"))="전량매도","",IF(SUMIFS(전체매매내역!H:H,전체매매내역!G:G,'잔고변경현황(중립2)'!E6,전체매매내역!K:K,"미래변동성위험중립2")&gt;0,"추가매수",IF(SUMIFS(전체매매내역!H:H,전체매매내역!G:G,'잔고변경현황(중립2)'!E6,전체매매내역!K:K,"미래변동성위험중립2")&lt;0,"일부매도","전량매도")))</f>
        <v/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SUMIFS(전체매매내역!J:J,전체매매내역!B:B,'잔고변경현황(중립2)'!$A$2,전체매매내역!D:D,'잔고변경현황(중립2)'!$C$2,전체매매내역!G:G,'잔고변경현황(중립2)'!E6,전체매매내역!A:A,'잔고변경현황(중립2)'!A6)</f>
        <v>61</v>
      </c>
      <c r="H6" s="40">
        <f>SUMIFS('50578'!I:I,'50578'!E:E,'잔고변경현황(중립2)'!E6,'50578'!C:C,"미래변동성위험중립2")</f>
        <v>2157875</v>
      </c>
      <c r="I6" s="38">
        <f>SUMIFS('50578'!K:K,'50578'!C:C,"미래변동성위험중립2",'50578'!E:E,'잔고변경현황(중립2)'!E6)/100</f>
        <v>0.22600000000000001</v>
      </c>
      <c r="J6" s="38">
        <f>SUMIFS('MP내역(중립)'!G:G,'MP내역(중립)'!A:A,A6,'MP내역(중립)'!B:B,D6)</f>
        <v>0.23045632268277758</v>
      </c>
      <c r="K6" s="38">
        <f t="shared" ref="K6:K10" si="0">J6-I6</f>
        <v>4.4563226827775693E-3</v>
      </c>
      <c r="L6" s="78">
        <f t="shared" ref="L6:L10" si="1">ROUND(G6*K6/I6,0)</f>
        <v>1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중립2)'!E7,전체매매내역!K:K,"미래변동성위험중립2")&gt;0,"추가매수",IF(SUMIFS(전체매매내역!H:H,전체매매내역!G:G,'잔고변경현황(중립2)'!E7,전체매매내역!K:K,"미래변동성위험중립2")&lt;0,"일부매도","전량매도"))="전량매도","",IF(SUMIFS(전체매매내역!H:H,전체매매내역!G:G,'잔고변경현황(중립2)'!E7,전체매매내역!K:K,"미래변동성위험중립2")&gt;0,"추가매수",IF(SUMIFS(전체매매내역!H:H,전체매매내역!G:G,'잔고변경현황(중립2)'!E7,전체매매내역!K:K,"미래변동성위험중립2")&lt;0,"일부매도","전량매도")))</f>
        <v/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SUMIFS(전체매매내역!J:J,전체매매내역!B:B,'잔고변경현황(중립2)'!$A$2,전체매매내역!D:D,'잔고변경현황(중립2)'!$C$2,전체매매내역!G:G,'잔고변경현황(중립2)'!E7,전체매매내역!A:A,'잔고변경현황(중립2)'!A7)</f>
        <v>61</v>
      </c>
      <c r="H7" s="40">
        <f>SUMIFS('50578'!I:I,'50578'!E:E,'잔고변경현황(중립2)'!E7,'50578'!C:C,"미래변동성위험중립2")</f>
        <v>2170990</v>
      </c>
      <c r="I7" s="38">
        <f>SUMIFS('50578'!K:K,'50578'!C:C,"미래변동성위험중립2",'50578'!E:E,'잔고변경현황(중립2)'!E7)/100</f>
        <v>0.22739999999999999</v>
      </c>
      <c r="J7" s="38">
        <f>SUMIFS('MP내역(중립)'!G:G,'MP내역(중립)'!A:A,A7,'MP내역(중립)'!B:B,D7)</f>
        <v>0.23045632268277758</v>
      </c>
      <c r="K7" s="38">
        <f t="shared" si="0"/>
        <v>3.0563226827775847E-3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중립2)'!E8,전체매매내역!K:K,"미래변동성위험중립2")&gt;0,"추가매수",IF(SUMIFS(전체매매내역!H:H,전체매매내역!G:G,'잔고변경현황(중립2)'!E8,전체매매내역!K:K,"미래변동성위험중립2")&lt;0,"일부매도","전량매도"))="전량매도","",IF(SUMIFS(전체매매내역!H:H,전체매매내역!G:G,'잔고변경현황(중립2)'!E8,전체매매내역!K:K,"미래변동성위험중립2")&gt;0,"추가매수",IF(SUMIFS(전체매매내역!H:H,전체매매내역!G:G,'잔고변경현황(중립2)'!E8,전체매매내역!K:K,"미래변동성위험중립2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SUMIFS(전체매매내역!J:J,전체매매내역!B:B,'잔고변경현황(중립2)'!$A$2,전체매매내역!D:D,'잔고변경현황(중립2)'!$C$2,전체매매내역!G:G,'잔고변경현황(중립2)'!E8,전체매매내역!A:A,'잔고변경현황(중립2)'!A8)</f>
        <v>18</v>
      </c>
      <c r="H8" s="40">
        <f>SUMIFS('50578'!I:I,'50578'!E:E,'잔고변경현황(중립2)'!E8,'50578'!C:C,"미래변동성위험중립2")</f>
        <v>908820</v>
      </c>
      <c r="I8" s="38">
        <f>SUMIFS('50578'!K:K,'50578'!C:C,"미래변동성위험중립2",'50578'!E:E,'잔고변경현황(중립2)'!E8)/100</f>
        <v>9.5199999999999993E-2</v>
      </c>
      <c r="J8" s="38">
        <f>SUMIFS('MP내역(중립)'!G:G,'MP내역(중립)'!A:A,A8,'MP내역(중립)'!B:B,D8)</f>
        <v>0.10287701065055577</v>
      </c>
      <c r="K8" s="38">
        <f t="shared" si="0"/>
        <v>7.6770106505557739E-3</v>
      </c>
      <c r="L8" s="78">
        <f t="shared" si="1"/>
        <v>1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중립2)'!E9,전체매매내역!K:K,"미래변동성위험중립2")&gt;0,"추가매수",IF(SUMIFS(전체매매내역!H:H,전체매매내역!G:G,'잔고변경현황(중립2)'!E9,전체매매내역!K:K,"미래변동성위험중립2")&lt;0,"일부매도","전량매도"))="전량매도","",IF(SUMIFS(전체매매내역!H:H,전체매매내역!G:G,'잔고변경현황(중립2)'!E9,전체매매내역!K:K,"미래변동성위험중립2")&gt;0,"추가매수",IF(SUMIFS(전체매매내역!H:H,전체매매내역!G:G,'잔고변경현황(중립2)'!E9,전체매매내역!K:K,"미래변동성위험중립2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SUMIFS(전체매매내역!J:J,전체매매내역!B:B,'잔고변경현황(중립2)'!$A$2,전체매매내역!D:D,'잔고변경현황(중립2)'!$C$2,전체매매내역!G:G,'잔고변경현황(중립2)'!E9,전체매매내역!A:A,'잔고변경현황(중립2)'!A9)</f>
        <v>9</v>
      </c>
      <c r="H9" s="40">
        <f>SUMIFS('50578'!I:I,'50578'!E:E,'잔고변경현황(중립2)'!E9,'50578'!C:C,"미래변동성위험중립2")</f>
        <v>946080</v>
      </c>
      <c r="I9" s="38">
        <f>SUMIFS('50578'!K:K,'50578'!C:C,"미래변동성위험중립2",'50578'!E:E,'잔고변경현황(중립2)'!E9)/100</f>
        <v>9.9100000000000008E-2</v>
      </c>
      <c r="J9" s="38">
        <f>SUMIFS('MP내역(중립)'!G:G,'MP내역(중립)'!A:A,A9,'MP내역(중립)'!B:B,D9)</f>
        <v>0.10287701065055577</v>
      </c>
      <c r="K9" s="38">
        <f t="shared" si="0"/>
        <v>3.7770106505557594E-3</v>
      </c>
      <c r="L9" s="78">
        <f t="shared" si="1"/>
        <v>0</v>
      </c>
      <c r="M9" s="35" t="str">
        <f t="shared" si="2"/>
        <v/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중립2)'!E10,전체매매내역!K:K,"미래변동성위험중립2")&gt;0,"추가매수",IF(SUMIFS(전체매매내역!H:H,전체매매내역!G:G,'잔고변경현황(중립2)'!E10,전체매매내역!K:K,"미래변동성위험중립2")&lt;0,"일부매도","전량매도"))="전량매도","",IF(SUMIFS(전체매매내역!H:H,전체매매내역!G:G,'잔고변경현황(중립2)'!E10,전체매매내역!K:K,"미래변동성위험중립2")&gt;0,"추가매수",IF(SUMIFS(전체매매내역!H:H,전체매매내역!G:G,'잔고변경현황(중립2)'!E10,전체매매내역!K:K,"미래변동성위험중립2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SUMIFS(전체매매내역!J:J,전체매매내역!B:B,'잔고변경현황(중립2)'!$A$2,전체매매내역!D:D,'잔고변경현황(중립2)'!$C$2,전체매매내역!G:G,'잔고변경현황(중립2)'!E10,전체매매내역!A:A,'잔고변경현황(중립2)'!A10)</f>
        <v>9</v>
      </c>
      <c r="H10" s="40">
        <f>SUMIFS('50578'!I:I,'50578'!E:E,'잔고변경현황(중립2)'!E10,'50578'!C:C,"미래변동성위험중립2")</f>
        <v>911925</v>
      </c>
      <c r="I10" s="38">
        <f>SUMIFS('50578'!K:K,'50578'!C:C,"미래변동성위험중립2",'50578'!E:E,'잔고변경현황(중립2)'!E10)/100</f>
        <v>9.5500000000000002E-2</v>
      </c>
      <c r="J10" s="38">
        <f>SUMIFS('MP내역(중립)'!G:G,'MP내역(중립)'!A:A,A10,'MP내역(중립)'!B:B,D10)</f>
        <v>0.10287701065055577</v>
      </c>
      <c r="K10" s="38">
        <f t="shared" si="0"/>
        <v>7.3770106505557653E-3</v>
      </c>
      <c r="L10" s="78">
        <f t="shared" si="1"/>
        <v>1</v>
      </c>
      <c r="M10" s="35" t="str">
        <f t="shared" si="2"/>
        <v>일정금액의유동성확보</v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/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SUMIFS('22012'!I:I,'22012'!C:C,"미래변동성위험중립2")</f>
        <v>241083</v>
      </c>
      <c r="I11" s="71">
        <f>1-SUM(I5:I10)</f>
        <v>3.0500000000000083E-2</v>
      </c>
      <c r="J11" s="38">
        <f>SUMIFS('MP내역(중립)'!G:G,'MP내역(중립)'!A:A,A11,'MP내역(중립)'!B:B,D11)</f>
        <v>0</v>
      </c>
      <c r="K11" s="38">
        <f>J11-I11</f>
        <v>-3.0500000000000083E-2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x14ac:dyDescent="0.3">
      <c r="L39" s="23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G5" sqref="G5"/>
      <selection pane="bottomLeft" activeCell="C5" sqref="C5"/>
    </sheetView>
  </sheetViews>
  <sheetFormatPr defaultColWidth="9" defaultRowHeight="16.5" x14ac:dyDescent="0.3"/>
  <cols>
    <col min="1" max="1" width="14" style="3" customWidth="1"/>
    <col min="2" max="2" width="22.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393</v>
      </c>
      <c r="C2" s="7" t="s">
        <v>397</v>
      </c>
      <c r="D2" s="22">
        <v>13000000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중립3)'!E5,전체매매내역!K:K,"미래변동성위험중립3")&gt;0,"추가매수",IF(SUMIFS(전체매매내역!H:H,전체매매내역!G:G,'잔고변경현황(중립3)'!E5,전체매매내역!K:K,"미래변동성위험중립3")&lt;0,"일부매도","전량매도"))="전량매도","",IF(SUMIFS(전체매매내역!H:H,전체매매내역!G:G,'잔고변경현황(중립3)'!E5,전체매매내역!K:K,"미래변동성위험중립3")&gt;0,"추가매수",IF(SUMIFS(전체매매내역!H:H,전체매매내역!G:G,'잔고변경현황(중립3)'!E5,전체매매내역!K:K,"미래변동성위험중립3")&lt;0,"일부매도","전량매도")))</f>
        <v/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SUMIFS(전체매매내역!J:J,전체매매내역!B:B,'잔고변경현황(중립3)'!$A$2,전체매매내역!D:D,'잔고변경현황(중립3)'!$C$2,전체매매내역!G:G,'잔고변경현황(중립3)'!E5,전체매매내역!A:A,'잔고변경현황(중립3)'!A5)</f>
        <v>79</v>
      </c>
      <c r="H5" s="40">
        <f>SUMIFS('50578'!I:I,'50578'!E:E,'잔고변경현황(중립3)'!E5,'50578'!C:C,"미래변동성위험중립3")</f>
        <v>2798180</v>
      </c>
      <c r="I5" s="38">
        <f>SUMIFS('50578'!K:K,'50578'!C:C,"미래변동성위험중립3",'50578'!E:E,'잔고변경현황(중립3)'!E5)/100</f>
        <v>0.22550000000000001</v>
      </c>
      <c r="J5" s="38">
        <f>SUMIFS('MP내역(중립)'!G:G,'MP내역(중립)'!A:A,A5,'MP내역(중립)'!B:B,D5)</f>
        <v>0.23045632268277758</v>
      </c>
      <c r="K5" s="38">
        <f>J5-I5</f>
        <v>4.9563226827775697E-3</v>
      </c>
      <c r="L5" s="78">
        <f>ROUND(G5*K5/I5,0)</f>
        <v>2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중립3)'!E6,전체매매내역!K:K,"미래변동성위험중립3")&gt;0,"추가매수",IF(SUMIFS(전체매매내역!H:H,전체매매내역!G:G,'잔고변경현황(중립3)'!E6,전체매매내역!K:K,"미래변동성위험중립3")&lt;0,"일부매도","전량매도"))="전량매도","",IF(SUMIFS(전체매매내역!H:H,전체매매내역!G:G,'잔고변경현황(중립3)'!E6,전체매매내역!K:K,"미래변동성위험중립3")&gt;0,"추가매수",IF(SUMIFS(전체매매내역!H:H,전체매매내역!G:G,'잔고변경현황(중립3)'!E6,전체매매내역!K:K,"미래변동성위험중립3")&lt;0,"일부매도","전량매도")))</f>
        <v/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SUMIFS(전체매매내역!J:J,전체매매내역!B:B,'잔고변경현황(중립3)'!$A$2,전체매매내역!D:D,'잔고변경현황(중립3)'!$C$2,전체매매내역!G:G,'잔고변경현황(중립3)'!E6,전체매매내역!A:A,'잔고변경현황(중립3)'!A6)</f>
        <v>79</v>
      </c>
      <c r="H6" s="40">
        <f>SUMIFS('50578'!I:I,'50578'!E:E,'잔고변경현황(중립3)'!E6,'50578'!C:C,"미래변동성위험중립3")</f>
        <v>2794625</v>
      </c>
      <c r="I6" s="38">
        <f>SUMIFS('50578'!K:K,'50578'!C:C,"미래변동성위험중립3",'50578'!E:E,'잔고변경현황(중립3)'!E6)/100</f>
        <v>0.22519999999999998</v>
      </c>
      <c r="J6" s="38">
        <f>SUMIFS('MP내역(중립)'!G:G,'MP내역(중립)'!A:A,A6,'MP내역(중립)'!B:B,D6)</f>
        <v>0.23045632268277758</v>
      </c>
      <c r="K6" s="38">
        <f t="shared" ref="K6:K10" si="0">J6-I6</f>
        <v>5.2563226827775922E-3</v>
      </c>
      <c r="L6" s="78">
        <f t="shared" ref="L6:L10" si="1">ROUND(G6*K6/I6,0)</f>
        <v>2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중립3)'!E7,전체매매내역!K:K,"미래변동성위험중립3")&gt;0,"추가매수",IF(SUMIFS(전체매매내역!H:H,전체매매내역!G:G,'잔고변경현황(중립3)'!E7,전체매매내역!K:K,"미래변동성위험중립3")&lt;0,"일부매도","전량매도"))="전량매도","",IF(SUMIFS(전체매매내역!H:H,전체매매내역!G:G,'잔고변경현황(중립3)'!E7,전체매매내역!K:K,"미래변동성위험중립3")&gt;0,"추가매수",IF(SUMIFS(전체매매내역!H:H,전체매매내역!G:G,'잔고변경현황(중립3)'!E7,전체매매내역!K:K,"미래변동성위험중립3")&lt;0,"일부매도","전량매도")))</f>
        <v/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SUMIFS(전체매매내역!J:J,전체매매내역!B:B,'잔고변경현황(중립3)'!$A$2,전체매매내역!D:D,'잔고변경현황(중립3)'!$C$2,전체매매내역!G:G,'잔고변경현황(중립3)'!E7,전체매매내역!A:A,'잔고변경현황(중립3)'!A7)</f>
        <v>79</v>
      </c>
      <c r="H7" s="40">
        <f>SUMIFS('50578'!I:I,'50578'!E:E,'잔고변경현황(중립3)'!E7,'50578'!C:C,"미래변동성위험중립3")</f>
        <v>2811610</v>
      </c>
      <c r="I7" s="38">
        <f>SUMIFS('50578'!K:K,'50578'!C:C,"미래변동성위험중립3",'50578'!E:E,'잔고변경현황(중립3)'!E7)/100</f>
        <v>0.2266</v>
      </c>
      <c r="J7" s="38">
        <f>SUMIFS('MP내역(중립)'!G:G,'MP내역(중립)'!A:A,A7,'MP내역(중립)'!B:B,D7)</f>
        <v>0.23045632268277758</v>
      </c>
      <c r="K7" s="38">
        <f t="shared" si="0"/>
        <v>3.8563226827775798E-3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중립3)'!E8,전체매매내역!K:K,"미래변동성위험중립3")&gt;0,"추가매수",IF(SUMIFS(전체매매내역!H:H,전체매매내역!G:G,'잔고변경현황(중립3)'!E8,전체매매내역!K:K,"미래변동성위험중립3")&lt;0,"일부매도","전량매도"))="전량매도","",IF(SUMIFS(전체매매내역!H:H,전체매매내역!G:G,'잔고변경현황(중립3)'!E8,전체매매내역!K:K,"미래변동성위험중립3")&gt;0,"추가매수",IF(SUMIFS(전체매매내역!H:H,전체매매내역!G:G,'잔고변경현황(중립3)'!E8,전체매매내역!K:K,"미래변동성위험중립3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SUMIFS(전체매매내역!J:J,전체매매내역!B:B,'잔고변경현황(중립3)'!$A$2,전체매매내역!D:D,'잔고변경현황(중립3)'!$C$2,전체매매내역!G:G,'잔고변경현황(중립3)'!E8,전체매매내역!A:A,'잔고변경현황(중립3)'!A8)</f>
        <v>23</v>
      </c>
      <c r="H8" s="40">
        <f>SUMIFS('50578'!I:I,'50578'!E:E,'잔고변경현황(중립3)'!E8,'50578'!C:C,"미래변동성위험중립3")</f>
        <v>1161270</v>
      </c>
      <c r="I8" s="38">
        <f>SUMIFS('50578'!K:K,'50578'!C:C,"미래변동성위험중립3",'50578'!E:E,'잔고변경현황(중립3)'!E8)/100</f>
        <v>9.3599999999999989E-2</v>
      </c>
      <c r="J8" s="38">
        <f>SUMIFS('MP내역(중립)'!G:G,'MP내역(중립)'!A:A,A8,'MP내역(중립)'!B:B,D8)</f>
        <v>0.10287701065055577</v>
      </c>
      <c r="K8" s="38">
        <f t="shared" si="0"/>
        <v>9.2770106505557781E-3</v>
      </c>
      <c r="L8" s="78">
        <f t="shared" si="1"/>
        <v>2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중립3)'!E9,전체매매내역!K:K,"미래변동성위험중립3")&gt;0,"추가매수",IF(SUMIFS(전체매매내역!H:H,전체매매내역!G:G,'잔고변경현황(중립3)'!E9,전체매매내역!K:K,"미래변동성위험중립3")&lt;0,"일부매도","전량매도"))="전량매도","",IF(SUMIFS(전체매매내역!H:H,전체매매내역!G:G,'잔고변경현황(중립3)'!E9,전체매매내역!K:K,"미래변동성위험중립3")&gt;0,"추가매수",IF(SUMIFS(전체매매내역!H:H,전체매매내역!G:G,'잔고변경현황(중립3)'!E9,전체매매내역!K:K,"미래변동성위험중립3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SUMIFS(전체매매내역!J:J,전체매매내역!B:B,'잔고변경현황(중립3)'!$A$2,전체매매내역!D:D,'잔고변경현황(중립3)'!$C$2,전체매매내역!G:G,'잔고변경현황(중립3)'!E9,전체매매내역!A:A,'잔고변경현황(중립3)'!A9)</f>
        <v>11</v>
      </c>
      <c r="H9" s="40">
        <f>SUMIFS('50578'!I:I,'50578'!E:E,'잔고변경현황(중립3)'!E9,'50578'!C:C,"미래변동성위험중립3")</f>
        <v>1156320</v>
      </c>
      <c r="I9" s="38">
        <f>SUMIFS('50578'!K:K,'50578'!C:C,"미래변동성위험중립3",'50578'!E:E,'잔고변경현황(중립3)'!E9)/100</f>
        <v>9.3200000000000005E-2</v>
      </c>
      <c r="J9" s="38">
        <f>SUMIFS('MP내역(중립)'!G:G,'MP내역(중립)'!A:A,A9,'MP내역(중립)'!B:B,D9)</f>
        <v>0.10287701065055577</v>
      </c>
      <c r="K9" s="38">
        <f t="shared" si="0"/>
        <v>9.6770106505557618E-3</v>
      </c>
      <c r="L9" s="78">
        <f t="shared" si="1"/>
        <v>1</v>
      </c>
      <c r="M9" s="35" t="str">
        <f t="shared" si="2"/>
        <v>일정금액의유동성확보</v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중립3)'!E10,전체매매내역!K:K,"미래변동성위험중립3")&gt;0,"추가매수",IF(SUMIFS(전체매매내역!H:H,전체매매내역!G:G,'잔고변경현황(중립3)'!E10,전체매매내역!K:K,"미래변동성위험중립3")&lt;0,"일부매도","전량매도"))="전량매도","",IF(SUMIFS(전체매매내역!H:H,전체매매내역!G:G,'잔고변경현황(중립3)'!E10,전체매매내역!K:K,"미래변동성위험중립3")&gt;0,"추가매수",IF(SUMIFS(전체매매내역!H:H,전체매매내역!G:G,'잔고변경현황(중립3)'!E10,전체매매내역!K:K,"미래변동성위험중립3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SUMIFS(전체매매내역!J:J,전체매매내역!B:B,'잔고변경현황(중립3)'!$A$2,전체매매내역!D:D,'잔고변경현황(중립3)'!$C$2,전체매매내역!G:G,'잔고변경현황(중립3)'!E10,전체매매내역!A:A,'잔고변경현황(중립3)'!A10)</f>
        <v>12</v>
      </c>
      <c r="H10" s="40">
        <f>SUMIFS('50578'!I:I,'50578'!E:E,'잔고변경현황(중립3)'!E10,'50578'!C:C,"미래변동성위험중립3")</f>
        <v>1215900</v>
      </c>
      <c r="I10" s="38">
        <f>SUMIFS('50578'!K:K,'50578'!C:C,"미래변동성위험중립3",'50578'!E:E,'잔고변경현황(중립3)'!E10)/100</f>
        <v>9.8000000000000004E-2</v>
      </c>
      <c r="J10" s="38">
        <f>SUMIFS('MP내역(중립)'!G:G,'MP내역(중립)'!A:A,A10,'MP내역(중립)'!B:B,D10)</f>
        <v>0.10287701065055577</v>
      </c>
      <c r="K10" s="38">
        <f t="shared" si="0"/>
        <v>4.8770106505557631E-3</v>
      </c>
      <c r="L10" s="78">
        <f t="shared" si="1"/>
        <v>1</v>
      </c>
      <c r="M10" s="35" t="str">
        <f t="shared" si="2"/>
        <v>일정금액의유동성확보</v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/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SUMIFS('22012'!I:I,'22012'!C:C,"미래변동성위험중립3")</f>
        <v>0</v>
      </c>
      <c r="I11" s="71">
        <f>1-SUM(I5:I10)</f>
        <v>3.7899999999999934E-2</v>
      </c>
      <c r="J11" s="38">
        <f>SUMIFS('MP내역(중립)'!G:G,'MP내역(중립)'!A:A,A11,'MP내역(중립)'!B:B,D11)</f>
        <v>0</v>
      </c>
      <c r="K11" s="38">
        <f>J11-I11</f>
        <v>-3.7899999999999934E-2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x14ac:dyDescent="0.3">
      <c r="L37" s="23"/>
    </row>
    <row r="38" spans="3:13" x14ac:dyDescent="0.3">
      <c r="L38" s="23"/>
    </row>
    <row r="39" spans="3:13" x14ac:dyDescent="0.3">
      <c r="L39" s="23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3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G7" sqref="G7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5.75" style="1" customWidth="1"/>
    <col min="5" max="5" width="14.5" style="14" customWidth="1"/>
    <col min="6" max="6" width="11.875" style="15" bestFit="1" customWidth="1"/>
    <col min="7" max="7" width="10.125" style="15" customWidth="1"/>
    <col min="8" max="8" width="11.25" style="15" bestFit="1" customWidth="1"/>
    <col min="9" max="9" width="10.625" style="15" customWidth="1"/>
    <col min="10" max="10" width="11.625" style="15" customWidth="1"/>
    <col min="11" max="11" width="10" style="15" customWidth="1"/>
    <col min="12" max="12" width="13.25" style="15" customWidth="1"/>
    <col min="13" max="13" width="11.625" style="14" customWidth="1"/>
    <col min="14" max="14" width="9" style="14"/>
    <col min="15" max="15" width="20" style="14" customWidth="1"/>
    <col min="16" max="16384" width="9" style="14"/>
  </cols>
  <sheetData>
    <row r="1" spans="1:15" s="36" customFormat="1" ht="33" x14ac:dyDescent="0.3">
      <c r="A1" s="47" t="s">
        <v>9</v>
      </c>
      <c r="B1" s="48" t="s">
        <v>392</v>
      </c>
      <c r="C1" s="47" t="s">
        <v>78</v>
      </c>
      <c r="D1" s="47" t="s">
        <v>14</v>
      </c>
      <c r="E1" s="52" t="s">
        <v>2</v>
      </c>
      <c r="F1" s="53" t="s">
        <v>18</v>
      </c>
      <c r="G1" s="54" t="s">
        <v>3</v>
      </c>
      <c r="H1" s="55" t="s">
        <v>39</v>
      </c>
      <c r="I1" s="55" t="s">
        <v>40</v>
      </c>
      <c r="J1" s="37"/>
      <c r="K1" s="37"/>
    </row>
    <row r="2" spans="1:15" s="1" customFormat="1" x14ac:dyDescent="0.3">
      <c r="A2" s="7" t="s">
        <v>295</v>
      </c>
      <c r="B2" s="7" t="s">
        <v>394</v>
      </c>
      <c r="C2" s="9">
        <v>1</v>
      </c>
      <c r="D2" s="18">
        <v>1</v>
      </c>
      <c r="E2" s="18">
        <v>5</v>
      </c>
      <c r="F2" s="8"/>
      <c r="G2" s="13"/>
      <c r="H2" s="13"/>
      <c r="I2" s="13"/>
      <c r="J2" s="17"/>
      <c r="K2" s="17"/>
    </row>
    <row r="3" spans="1:15" s="1" customFormat="1" x14ac:dyDescent="0.3">
      <c r="F3" s="17"/>
      <c r="G3" s="17"/>
      <c r="H3" s="17"/>
      <c r="I3" s="17"/>
      <c r="J3" s="17"/>
      <c r="K3" s="17"/>
      <c r="L3" s="17"/>
    </row>
    <row r="4" spans="1:15" s="1" customFormat="1" x14ac:dyDescent="0.3">
      <c r="A4" s="56" t="s">
        <v>23</v>
      </c>
      <c r="B4" s="68" t="s">
        <v>390</v>
      </c>
      <c r="C4" s="68" t="s">
        <v>391</v>
      </c>
      <c r="D4" s="118" t="s">
        <v>43</v>
      </c>
      <c r="E4" s="118" t="s">
        <v>79</v>
      </c>
      <c r="F4" s="118" t="s">
        <v>44</v>
      </c>
      <c r="G4" s="120" t="s">
        <v>0</v>
      </c>
      <c r="H4" s="115" t="s">
        <v>80</v>
      </c>
      <c r="I4" s="115"/>
      <c r="J4" s="115"/>
      <c r="K4" s="115" t="s">
        <v>29</v>
      </c>
      <c r="L4" s="115"/>
      <c r="M4" s="115"/>
      <c r="N4" s="115"/>
      <c r="O4" s="116" t="s">
        <v>11</v>
      </c>
    </row>
    <row r="5" spans="1:15" s="1" customFormat="1" ht="49.5" x14ac:dyDescent="0.3">
      <c r="A5" s="57" t="s">
        <v>81</v>
      </c>
      <c r="B5" s="68">
        <v>4</v>
      </c>
      <c r="C5" s="68">
        <v>1</v>
      </c>
      <c r="D5" s="119"/>
      <c r="E5" s="119"/>
      <c r="F5" s="119"/>
      <c r="G5" s="121"/>
      <c r="H5" s="28" t="s">
        <v>15</v>
      </c>
      <c r="I5" s="28" t="s">
        <v>82</v>
      </c>
      <c r="J5" s="28" t="s">
        <v>83</v>
      </c>
      <c r="K5" s="28" t="s">
        <v>84</v>
      </c>
      <c r="L5" s="29" t="s">
        <v>85</v>
      </c>
      <c r="M5" s="29" t="s">
        <v>32</v>
      </c>
      <c r="N5" s="29" t="s">
        <v>25</v>
      </c>
      <c r="O5" s="117"/>
    </row>
    <row r="6" spans="1:15" s="1" customFormat="1" x14ac:dyDescent="0.3">
      <c r="A6" s="2">
        <f>'50578'!$R$1</f>
        <v>44694</v>
      </c>
      <c r="B6" s="25">
        <f>IF(ISBLANK($A6),"",SUMIFS('MP내역(적극)'!$G:$G,'MP내역(적극)'!$A:$A,$A6,'MP내역(적극)'!$D:$D,B$4,'MP내역(적극)'!$E:$E,B$5))</f>
        <v>0.86421121006041579</v>
      </c>
      <c r="C6" s="25">
        <f>IF(ISBLANK($A6),"",SUMIFS('MP내역(적극)'!$G:$G,'MP내역(적극)'!$A:$A,$A6,'MP내역(적극)'!$D:$D,C$4,'MP내역(적극)'!$E:$E,C$5))</f>
        <v>0.13578878993958421</v>
      </c>
      <c r="D6" s="25">
        <f>IF(ISBLANK(A6),"",SUM(B6:C6))</f>
        <v>1</v>
      </c>
      <c r="E6" s="25">
        <f>IF(ISBLANK(A6),"",SUMIFS('MP내역(적극)'!G:G,'MP내역(적극)'!A:A,'포트변경내역(적극)'!A6,'MP내역(적극)'!F:F,"Y"))</f>
        <v>0.86421121006041579</v>
      </c>
      <c r="F6" s="32">
        <f>IF(ISBLANK(A6),"",SUMPRODUCT($B$5:$C$5,B6:C6))</f>
        <v>3.5926336301812474</v>
      </c>
      <c r="G6" s="12"/>
      <c r="H6" s="10" t="str">
        <f>IF(ISBLANK(E6),"",IF($C$2&gt;=E6,"O","X"))</f>
        <v>O</v>
      </c>
      <c r="I6" s="10" t="str">
        <f>IF(ISBLANK(F6),"",IF(AND($D$2&lt;=F6,F6&lt;=$E$2),"O","X"))</f>
        <v>O</v>
      </c>
      <c r="J6" s="10" t="str">
        <f>IF(ISBLANK(A6),"",IFERROR(IF(F6&gt;VLOOKUP(A6,'포트변경내역(중립)'!A:F,6,0),"O","X"),""))</f>
        <v>O</v>
      </c>
      <c r="K6" s="10">
        <f>IF(ISBLANK(A6),"",COUNTIFS('MP내역(적극)'!$A:$A,A6)-COUNTIFS('MP내역(적극)'!$A:$A,A6,'MP내역(적극)'!$B:$B,"현금")-COUNTIFS('MP내역(적극)'!$A:$A,A6,'MP내역(적극)'!$B:$B,"예수금")-COUNTIFS('MP내역(적극)'!$A:$A,A6,'MP내역(적극)'!$B:$B,"예탁금")-COUNTIFS('MP내역(적극)'!$A:$A,A6,'MP내역(적극)'!$B:$B,"합계"))</f>
        <v>6</v>
      </c>
      <c r="L6" s="10" t="str">
        <f>IF(ISBLANK(A6),"",IF(COUNTIFS('MP내역(적극)'!A:A,A6,'MP내역(적극)'!G:G,"&gt;"&amp;#REF!,'MP내역(적극)'!D:D,"&lt;&gt;"&amp;#REF!,'MP내역(적극)'!D:D,"&lt;&gt;"&amp;#REF!,'MP내역(적극)'!B:B,"&lt;&gt;현금",'MP내역(적극)'!B:B,"&lt;&gt;합계")=0,"O","X"))</f>
        <v>O</v>
      </c>
      <c r="M6" s="10" t="str">
        <f>IF(ISBLANK(A6),"",IF(AND(ABS(E6-SUMIFS('MP내역(적극)'!G:G,'MP내역(적극)'!A:A,A6,'MP내역(적극)'!F:F,"Y"))&lt;0.001,ABS(D6-SUMIFS('MP내역(적극)'!G:G,'MP내역(적극)'!A:A,A6,'MP내역(적극)'!B:B,"&lt;&gt;합계"))&lt;0.001),"O","X"))</f>
        <v>O</v>
      </c>
      <c r="N6" s="10" t="str">
        <f>IF(ISBLANK(A6),"",IF(COUNTIFS('MP내역(적극)'!A:A,A6,'MP내역(적극)'!H:H,"X")=0,"O","X"))</f>
        <v>O</v>
      </c>
      <c r="O6" s="30"/>
    </row>
    <row r="7" spans="1:15" x14ac:dyDescent="0.3">
      <c r="A7" s="14"/>
      <c r="B7" s="14"/>
      <c r="C7" s="14"/>
      <c r="D7" s="14"/>
      <c r="F7" s="14"/>
      <c r="G7" s="14"/>
      <c r="M7" s="15"/>
      <c r="N7" s="15"/>
    </row>
    <row r="8" spans="1:15" x14ac:dyDescent="0.3">
      <c r="A8" s="14"/>
      <c r="B8" s="14"/>
      <c r="C8" s="14"/>
      <c r="D8" s="14"/>
      <c r="F8" s="14"/>
      <c r="G8" s="14"/>
      <c r="M8" s="15"/>
      <c r="N8" s="15"/>
    </row>
    <row r="9" spans="1:15" x14ac:dyDescent="0.3">
      <c r="A9" s="14"/>
      <c r="B9" s="14"/>
      <c r="C9" s="14"/>
      <c r="D9" s="14"/>
      <c r="F9" s="14"/>
      <c r="G9" s="14"/>
      <c r="M9" s="15"/>
      <c r="N9" s="15"/>
    </row>
    <row r="10" spans="1:15" x14ac:dyDescent="0.3">
      <c r="A10" s="14"/>
      <c r="B10" s="14"/>
      <c r="C10" s="14"/>
      <c r="D10" s="14"/>
      <c r="F10" s="14"/>
      <c r="G10" s="14"/>
      <c r="M10" s="15"/>
      <c r="N10" s="15"/>
    </row>
    <row r="11" spans="1:15" x14ac:dyDescent="0.3">
      <c r="A11" s="14"/>
      <c r="B11" s="14"/>
      <c r="C11" s="14"/>
      <c r="D11" s="14"/>
      <c r="F11" s="14"/>
      <c r="G11" s="14"/>
      <c r="M11" s="15"/>
      <c r="N11" s="15"/>
    </row>
    <row r="12" spans="1:15" x14ac:dyDescent="0.3">
      <c r="A12" s="14"/>
      <c r="B12" s="14"/>
      <c r="C12" s="14"/>
      <c r="D12" s="14"/>
      <c r="F12" s="14"/>
      <c r="G12" s="14"/>
      <c r="M12" s="15"/>
      <c r="N12" s="15"/>
    </row>
    <row r="13" spans="1:15" x14ac:dyDescent="0.3">
      <c r="A13" s="14"/>
      <c r="B13" s="14"/>
      <c r="C13" s="14"/>
      <c r="D13" s="14"/>
      <c r="F13" s="14"/>
      <c r="G13" s="14"/>
      <c r="M13" s="15"/>
      <c r="N13" s="15"/>
    </row>
    <row r="14" spans="1:15" x14ac:dyDescent="0.3">
      <c r="A14" s="14"/>
      <c r="B14" s="14"/>
      <c r="C14" s="14"/>
      <c r="D14" s="14"/>
      <c r="F14" s="14"/>
      <c r="G14" s="14"/>
      <c r="M14" s="15"/>
      <c r="N14" s="15"/>
    </row>
    <row r="15" spans="1:15" x14ac:dyDescent="0.3">
      <c r="A15" s="14"/>
      <c r="B15" s="14"/>
      <c r="C15" s="14"/>
      <c r="D15" s="14"/>
      <c r="F15" s="14"/>
      <c r="G15" s="14"/>
      <c r="M15" s="15"/>
      <c r="N15" s="15"/>
    </row>
    <row r="16" spans="1:15" x14ac:dyDescent="0.3">
      <c r="A16" s="14"/>
      <c r="B16" s="14"/>
      <c r="C16" s="14"/>
      <c r="D16" s="14"/>
      <c r="F16" s="14"/>
      <c r="G16" s="14"/>
      <c r="M16" s="15"/>
      <c r="N16" s="15"/>
    </row>
    <row r="17" spans="1:14" x14ac:dyDescent="0.3">
      <c r="A17" s="14"/>
      <c r="B17" s="14"/>
      <c r="C17" s="14"/>
      <c r="D17" s="14"/>
      <c r="F17" s="14"/>
      <c r="G17" s="14"/>
      <c r="M17" s="15"/>
      <c r="N17" s="15"/>
    </row>
    <row r="18" spans="1:14" x14ac:dyDescent="0.3">
      <c r="A18" s="14"/>
      <c r="B18" s="14"/>
      <c r="C18" s="14"/>
      <c r="D18" s="14"/>
      <c r="E18" s="15"/>
      <c r="L18" s="14"/>
    </row>
    <row r="19" spans="1:14" x14ac:dyDescent="0.3">
      <c r="A19" s="14"/>
      <c r="B19" s="14"/>
      <c r="C19" s="14"/>
      <c r="D19" s="14"/>
      <c r="E19" s="15"/>
      <c r="G19" s="15" t="str">
        <f>IF(A19="","",IFERROR(IF(#REF!&gt;VLOOKUP(A19,'포트변경내역(중립)'!A:C,10,0),"O","X"),""))</f>
        <v/>
      </c>
      <c r="H19" s="15" t="str">
        <f>IF(A19="","",COUNTIFS('MP내역(적극)'!$A:$A,A19)-COUNTIFS('MP내역(적극)'!$A:$A,A19,'MP내역(적극)'!$B:$B,"현금")-COUNTIFS('MP내역(적극)'!$A:$A,A19,'MP내역(적극)'!$B:$B,"예수금")-COUNTIFS('MP내역(적극)'!$A:$A,A19,'MP내역(적극)'!$B:$B,"예탁금")-COUNTIFS('MP내역(적극)'!$A:$A,A19,'MP내역(적극)'!$B:$B,"합계"))</f>
        <v/>
      </c>
      <c r="I19" s="15" t="str">
        <f>IF(A19="","",IF(COUNTIFS('MP내역(적극)'!A:A,A19,'MP내역(적극)'!G:G,"&gt;"&amp;#REF!,'MP내역(적극)'!D:D,"&lt;&gt;"&amp;#REF!,'MP내역(적극)'!D:D,"&lt;&gt;"&amp;#REF!,'MP내역(적극)'!B:B,"&lt;&gt;현금",'MP내역(적극)'!B:B,"&lt;&gt;합계")=0,"O","X"))</f>
        <v/>
      </c>
      <c r="J19" s="15" t="str">
        <f>IF(A19="","",IF(AND(ABS(#REF!-SUMIFS('MP내역(적극)'!G:G,'MP내역(적극)'!A:A,A19,'MP내역(적극)'!F:F,"Y"))&lt;0.001,ABS(#REF!-SUMIFS('MP내역(적극)'!G:G,'MP내역(적극)'!A:A,A19,'MP내역(적극)'!B:B,"&lt;&gt;합계"))&lt;0.001),"O","X"))</f>
        <v/>
      </c>
      <c r="K19" s="15" t="str">
        <f>IF(A19="","",IF(COUNTIFS('MP내역(적극)'!A:A,A19,'MP내역(적극)'!H:H,"X")=0,"O","X"))</f>
        <v/>
      </c>
      <c r="L19" s="14"/>
    </row>
    <row r="20" spans="1:14" x14ac:dyDescent="0.3">
      <c r="A20" s="14"/>
      <c r="B20" s="14"/>
      <c r="C20" s="14"/>
      <c r="D20" s="14"/>
      <c r="E20" s="15"/>
      <c r="G20" s="15" t="str">
        <f>IF(A20="","",IFERROR(IF(#REF!&gt;VLOOKUP(A20,'포트변경내역(중립)'!A:C,10,0),"O","X"),""))</f>
        <v/>
      </c>
      <c r="H20" s="15" t="str">
        <f>IF(A20="","",COUNTIFS('MP내역(적극)'!$A:$A,A20)-COUNTIFS('MP내역(적극)'!$A:$A,A20,'MP내역(적극)'!$B:$B,"현금")-COUNTIFS('MP내역(적극)'!$A:$A,A20,'MP내역(적극)'!$B:$B,"예수금")-COUNTIFS('MP내역(적극)'!$A:$A,A20,'MP내역(적극)'!$B:$B,"예탁금")-COUNTIFS('MP내역(적극)'!$A:$A,A20,'MP내역(적극)'!$B:$B,"합계"))</f>
        <v/>
      </c>
      <c r="I20" s="15" t="str">
        <f>IF(A20="","",IF(COUNTIFS('MP내역(적극)'!A:A,A20,'MP내역(적극)'!G:G,"&gt;"&amp;#REF!,'MP내역(적극)'!D:D,"&lt;&gt;"&amp;#REF!,'MP내역(적극)'!D:D,"&lt;&gt;"&amp;#REF!,'MP내역(적극)'!B:B,"&lt;&gt;현금",'MP내역(적극)'!B:B,"&lt;&gt;합계")=0,"O","X"))</f>
        <v/>
      </c>
      <c r="J20" s="15" t="str">
        <f>IF(A20="","",IF(AND(ABS(#REF!-SUMIFS('MP내역(적극)'!G:G,'MP내역(적극)'!A:A,A20,'MP내역(적극)'!F:F,"Y"))&lt;0.001,ABS(#REF!-SUMIFS('MP내역(적극)'!G:G,'MP내역(적극)'!A:A,A20,'MP내역(적극)'!B:B,"&lt;&gt;합계"))&lt;0.001),"O","X"))</f>
        <v/>
      </c>
      <c r="K20" s="15" t="str">
        <f>IF(A20="","",IF(COUNTIFS('MP내역(적극)'!A:A,A20,'MP내역(적극)'!H:H,"X")=0,"O","X"))</f>
        <v/>
      </c>
      <c r="L20" s="14"/>
    </row>
    <row r="21" spans="1:14" x14ac:dyDescent="0.3">
      <c r="A21" s="14"/>
      <c r="B21" s="14"/>
      <c r="C21" s="14"/>
      <c r="D21" s="14"/>
      <c r="E21" s="15"/>
      <c r="G21" s="15" t="str">
        <f>IF(A21="","",IFERROR(IF(#REF!&gt;VLOOKUP(A21,'포트변경내역(중립)'!A:C,10,0),"O","X"),""))</f>
        <v/>
      </c>
      <c r="H21" s="15" t="str">
        <f>IF(A21="","",COUNTIFS('MP내역(적극)'!$A:$A,A21)-COUNTIFS('MP내역(적극)'!$A:$A,A21,'MP내역(적극)'!$B:$B,"현금")-COUNTIFS('MP내역(적극)'!$A:$A,A21,'MP내역(적극)'!$B:$B,"예수금")-COUNTIFS('MP내역(적극)'!$A:$A,A21,'MP내역(적극)'!$B:$B,"예탁금")-COUNTIFS('MP내역(적극)'!$A:$A,A21,'MP내역(적극)'!$B:$B,"합계"))</f>
        <v/>
      </c>
      <c r="I21" s="15" t="str">
        <f>IF(A21="","",IF(COUNTIFS('MP내역(적극)'!A:A,A21,'MP내역(적극)'!G:G,"&gt;"&amp;#REF!,'MP내역(적극)'!D:D,"&lt;&gt;"&amp;#REF!,'MP내역(적극)'!D:D,"&lt;&gt;"&amp;#REF!,'MP내역(적극)'!B:B,"&lt;&gt;현금",'MP내역(적극)'!B:B,"&lt;&gt;합계")=0,"O","X"))</f>
        <v/>
      </c>
      <c r="J21" s="15" t="str">
        <f>IF(A21="","",IF(AND(ABS(#REF!-SUMIFS('MP내역(적극)'!G:G,'MP내역(적극)'!A:A,A21,'MP내역(적극)'!F:F,"Y"))&lt;0.001,ABS(#REF!-SUMIFS('MP내역(적극)'!G:G,'MP내역(적극)'!A:A,A21,'MP내역(적극)'!B:B,"&lt;&gt;합계"))&lt;0.001),"O","X"))</f>
        <v/>
      </c>
      <c r="K21" s="15" t="str">
        <f>IF(A21="","",IF(COUNTIFS('MP내역(적극)'!A:A,A21,'MP내역(적극)'!H:H,"X")=0,"O","X"))</f>
        <v/>
      </c>
      <c r="L21" s="14"/>
    </row>
    <row r="22" spans="1:14" x14ac:dyDescent="0.3">
      <c r="A22" s="14"/>
      <c r="B22" s="14"/>
      <c r="C22" s="14"/>
      <c r="D22" s="14"/>
      <c r="E22" s="15"/>
      <c r="G22" s="15" t="str">
        <f>IF(A22="","",IFERROR(IF(#REF!&gt;VLOOKUP(A22,'포트변경내역(중립)'!A:C,10,0),"O","X"),""))</f>
        <v/>
      </c>
      <c r="H22" s="15" t="str">
        <f>IF(A22="","",COUNTIFS('MP내역(적극)'!$A:$A,A22)-COUNTIFS('MP내역(적극)'!$A:$A,A22,'MP내역(적극)'!$B:$B,"현금")-COUNTIFS('MP내역(적극)'!$A:$A,A22,'MP내역(적극)'!$B:$B,"예수금")-COUNTIFS('MP내역(적극)'!$A:$A,A22,'MP내역(적극)'!$B:$B,"예탁금")-COUNTIFS('MP내역(적극)'!$A:$A,A22,'MP내역(적극)'!$B:$B,"합계"))</f>
        <v/>
      </c>
      <c r="I22" s="15" t="str">
        <f>IF(A22="","",IF(COUNTIFS('MP내역(적극)'!A:A,A22,'MP내역(적극)'!G:G,"&gt;"&amp;#REF!,'MP내역(적극)'!D:D,"&lt;&gt;"&amp;#REF!,'MP내역(적극)'!D:D,"&lt;&gt;"&amp;#REF!,'MP내역(적극)'!B:B,"&lt;&gt;현금",'MP내역(적극)'!B:B,"&lt;&gt;합계")=0,"O","X"))</f>
        <v/>
      </c>
      <c r="J22" s="15" t="str">
        <f>IF(A22="","",IF(AND(ABS(#REF!-SUMIFS('MP내역(적극)'!G:G,'MP내역(적극)'!A:A,A22,'MP내역(적극)'!F:F,"Y"))&lt;0.001,ABS(#REF!-SUMIFS('MP내역(적극)'!G:G,'MP내역(적극)'!A:A,A22,'MP내역(적극)'!B:B,"&lt;&gt;합계"))&lt;0.001),"O","X"))</f>
        <v/>
      </c>
      <c r="K22" s="15" t="str">
        <f>IF(A22="","",IF(COUNTIFS('MP내역(적극)'!A:A,A22,'MP내역(적극)'!H:H,"X")=0,"O","X"))</f>
        <v/>
      </c>
      <c r="L22" s="14"/>
    </row>
    <row r="23" spans="1:14" x14ac:dyDescent="0.3">
      <c r="A23" s="14"/>
      <c r="B23" s="14"/>
      <c r="C23" s="14"/>
      <c r="D23" s="14"/>
      <c r="E23" s="15"/>
      <c r="G23" s="15" t="str">
        <f>IF(A23="","",IFERROR(IF(#REF!&gt;VLOOKUP(A23,'포트변경내역(중립)'!A:C,10,0),"O","X"),""))</f>
        <v/>
      </c>
      <c r="H23" s="15" t="str">
        <f>IF(A23="","",COUNTIFS('MP내역(적극)'!$A:$A,A23)-COUNTIFS('MP내역(적극)'!$A:$A,A23,'MP내역(적극)'!$B:$B,"현금")-COUNTIFS('MP내역(적극)'!$A:$A,A23,'MP내역(적극)'!$B:$B,"예수금")-COUNTIFS('MP내역(적극)'!$A:$A,A23,'MP내역(적극)'!$B:$B,"예탁금")-COUNTIFS('MP내역(적극)'!$A:$A,A23,'MP내역(적극)'!$B:$B,"합계"))</f>
        <v/>
      </c>
      <c r="I23" s="15" t="str">
        <f>IF(A23="","",IF(COUNTIFS('MP내역(적극)'!A:A,A23,'MP내역(적극)'!G:G,"&gt;"&amp;#REF!,'MP내역(적극)'!D:D,"&lt;&gt;"&amp;#REF!,'MP내역(적극)'!D:D,"&lt;&gt;"&amp;#REF!,'MP내역(적극)'!B:B,"&lt;&gt;현금",'MP내역(적극)'!B:B,"&lt;&gt;합계")=0,"O","X"))</f>
        <v/>
      </c>
      <c r="J23" s="15" t="str">
        <f>IF(A23="","",IF(AND(ABS(#REF!-SUMIFS('MP내역(적극)'!G:G,'MP내역(적극)'!A:A,A23,'MP내역(적극)'!F:F,"Y"))&lt;0.001,ABS(#REF!-SUMIFS('MP내역(적극)'!G:G,'MP내역(적극)'!A:A,A23,'MP내역(적극)'!B:B,"&lt;&gt;합계"))&lt;0.001),"O","X"))</f>
        <v/>
      </c>
      <c r="K23" s="15" t="str">
        <f>IF(A23="","",IF(COUNTIFS('MP내역(적극)'!A:A,A23,'MP내역(적극)'!H:H,"X")=0,"O","X"))</f>
        <v/>
      </c>
      <c r="L23" s="14"/>
    </row>
    <row r="24" spans="1:14" x14ac:dyDescent="0.3">
      <c r="A24" s="14"/>
      <c r="B24" s="14"/>
      <c r="C24" s="14"/>
      <c r="D24" s="14"/>
      <c r="E24" s="15"/>
      <c r="G24" s="15" t="str">
        <f>IF(A24="","",IFERROR(IF(#REF!&gt;VLOOKUP(A24,'포트변경내역(중립)'!A:C,10,0),"O","X"),""))</f>
        <v/>
      </c>
      <c r="H24" s="15" t="str">
        <f>IF(A24="","",COUNTIFS('MP내역(적극)'!$A:$A,A24)-COUNTIFS('MP내역(적극)'!$A:$A,A24,'MP내역(적극)'!$B:$B,"현금")-COUNTIFS('MP내역(적극)'!$A:$A,A24,'MP내역(적극)'!$B:$B,"예수금")-COUNTIFS('MP내역(적극)'!$A:$A,A24,'MP내역(적극)'!$B:$B,"예탁금")-COUNTIFS('MP내역(적극)'!$A:$A,A24,'MP내역(적극)'!$B:$B,"합계"))</f>
        <v/>
      </c>
      <c r="I24" s="15" t="str">
        <f>IF(A24="","",IF(COUNTIFS('MP내역(적극)'!A:A,A24,'MP내역(적극)'!G:G,"&gt;"&amp;#REF!,'MP내역(적극)'!D:D,"&lt;&gt;"&amp;#REF!,'MP내역(적극)'!D:D,"&lt;&gt;"&amp;#REF!,'MP내역(적극)'!B:B,"&lt;&gt;현금",'MP내역(적극)'!B:B,"&lt;&gt;합계")=0,"O","X"))</f>
        <v/>
      </c>
      <c r="J24" s="15" t="str">
        <f>IF(A24="","",IF(AND(ABS(#REF!-SUMIFS('MP내역(적극)'!G:G,'MP내역(적극)'!A:A,A24,'MP내역(적극)'!F:F,"Y"))&lt;0.001,ABS(#REF!-SUMIFS('MP내역(적극)'!G:G,'MP내역(적극)'!A:A,A24,'MP내역(적극)'!B:B,"&lt;&gt;합계"))&lt;0.001),"O","X"))</f>
        <v/>
      </c>
      <c r="K24" s="15" t="str">
        <f>IF(A24="","",IF(COUNTIFS('MP내역(적극)'!A:A,A24,'MP내역(적극)'!H:H,"X")=0,"O","X"))</f>
        <v/>
      </c>
      <c r="L24" s="14"/>
    </row>
    <row r="25" spans="1:14" x14ac:dyDescent="0.3">
      <c r="A25" s="14"/>
      <c r="B25" s="14"/>
      <c r="C25" s="14"/>
      <c r="D25" s="14"/>
      <c r="E25" s="15"/>
      <c r="G25" s="15" t="str">
        <f>IF(A25="","",IFERROR(IF(#REF!&gt;VLOOKUP(A25,'포트변경내역(중립)'!A:C,10,0),"O","X"),""))</f>
        <v/>
      </c>
      <c r="H25" s="15" t="str">
        <f>IF(A25="","",COUNTIFS('MP내역(적극)'!$A:$A,A25)-COUNTIFS('MP내역(적극)'!$A:$A,A25,'MP내역(적극)'!$B:$B,"현금")-COUNTIFS('MP내역(적극)'!$A:$A,A25,'MP내역(적극)'!$B:$B,"예수금")-COUNTIFS('MP내역(적극)'!$A:$A,A25,'MP내역(적극)'!$B:$B,"예탁금")-COUNTIFS('MP내역(적극)'!$A:$A,A25,'MP내역(적극)'!$B:$B,"합계"))</f>
        <v/>
      </c>
      <c r="I25" s="15" t="str">
        <f>IF(A25="","",IF(COUNTIFS('MP내역(적극)'!A:A,A25,'MP내역(적극)'!G:G,"&gt;"&amp;#REF!,'MP내역(적극)'!D:D,"&lt;&gt;"&amp;#REF!,'MP내역(적극)'!D:D,"&lt;&gt;"&amp;#REF!,'MP내역(적극)'!B:B,"&lt;&gt;현금",'MP내역(적극)'!B:B,"&lt;&gt;합계")=0,"O","X"))</f>
        <v/>
      </c>
      <c r="J25" s="15" t="str">
        <f>IF(A25="","",IF(AND(ABS(#REF!-SUMIFS('MP내역(적극)'!G:G,'MP내역(적극)'!A:A,A25,'MP내역(적극)'!F:F,"Y"))&lt;0.001,ABS(#REF!-SUMIFS('MP내역(적극)'!G:G,'MP내역(적극)'!A:A,A25,'MP내역(적극)'!B:B,"&lt;&gt;합계"))&lt;0.001),"O","X"))</f>
        <v/>
      </c>
      <c r="K25" s="15" t="str">
        <f>IF(A25="","",IF(COUNTIFS('MP내역(적극)'!A:A,A25,'MP내역(적극)'!H:H,"X")=0,"O","X"))</f>
        <v/>
      </c>
      <c r="L25" s="14"/>
    </row>
    <row r="26" spans="1:14" x14ac:dyDescent="0.3">
      <c r="A26" s="14"/>
      <c r="B26" s="14"/>
      <c r="C26" s="14"/>
      <c r="D26" s="14"/>
      <c r="E26" s="15"/>
      <c r="G26" s="15" t="str">
        <f>IF(A26="","",IFERROR(IF(#REF!&gt;VLOOKUP(A26,'포트변경내역(중립)'!A:C,10,0),"O","X"),""))</f>
        <v/>
      </c>
      <c r="H26" s="15" t="str">
        <f>IF(A26="","",COUNTIFS('MP내역(적극)'!$A:$A,A26)-COUNTIFS('MP내역(적극)'!$A:$A,A26,'MP내역(적극)'!$B:$B,"현금")-COUNTIFS('MP내역(적극)'!$A:$A,A26,'MP내역(적극)'!$B:$B,"예수금")-COUNTIFS('MP내역(적극)'!$A:$A,A26,'MP내역(적극)'!$B:$B,"예탁금")-COUNTIFS('MP내역(적극)'!$A:$A,A26,'MP내역(적극)'!$B:$B,"합계"))</f>
        <v/>
      </c>
      <c r="I26" s="15" t="str">
        <f>IF(A26="","",IF(COUNTIFS('MP내역(적극)'!A:A,A26,'MP내역(적극)'!G:G,"&gt;"&amp;#REF!,'MP내역(적극)'!D:D,"&lt;&gt;"&amp;#REF!,'MP내역(적극)'!D:D,"&lt;&gt;"&amp;#REF!,'MP내역(적극)'!B:B,"&lt;&gt;현금",'MP내역(적극)'!B:B,"&lt;&gt;합계")=0,"O","X"))</f>
        <v/>
      </c>
      <c r="J26" s="15" t="str">
        <f>IF(A26="","",IF(AND(ABS(#REF!-SUMIFS('MP내역(적극)'!G:G,'MP내역(적극)'!A:A,A26,'MP내역(적극)'!F:F,"Y"))&lt;0.001,ABS(#REF!-SUMIFS('MP내역(적극)'!G:G,'MP내역(적극)'!A:A,A26,'MP내역(적극)'!B:B,"&lt;&gt;합계"))&lt;0.001),"O","X"))</f>
        <v/>
      </c>
      <c r="K26" s="15" t="str">
        <f>IF(A26="","",IF(COUNTIFS('MP내역(적극)'!A:A,A26,'MP내역(적극)'!H:H,"X")=0,"O","X"))</f>
        <v/>
      </c>
      <c r="L26" s="14"/>
    </row>
    <row r="27" spans="1:14" x14ac:dyDescent="0.3">
      <c r="A27" s="14"/>
      <c r="B27" s="14"/>
      <c r="C27" s="14"/>
      <c r="D27" s="14"/>
      <c r="E27" s="15"/>
      <c r="G27" s="15" t="str">
        <f>IF(A27="","",IFERROR(IF(#REF!&gt;VLOOKUP(A27,'포트변경내역(중립)'!A:C,10,0),"O","X"),""))</f>
        <v/>
      </c>
      <c r="H27" s="15" t="str">
        <f>IF(A27="","",COUNTIFS('MP내역(적극)'!$A:$A,A27)-COUNTIFS('MP내역(적극)'!$A:$A,A27,'MP내역(적극)'!$B:$B,"현금")-COUNTIFS('MP내역(적극)'!$A:$A,A27,'MP내역(적극)'!$B:$B,"예수금")-COUNTIFS('MP내역(적극)'!$A:$A,A27,'MP내역(적극)'!$B:$B,"예탁금")-COUNTIFS('MP내역(적극)'!$A:$A,A27,'MP내역(적극)'!$B:$B,"합계"))</f>
        <v/>
      </c>
      <c r="I27" s="15" t="str">
        <f>IF(A27="","",IF(COUNTIFS('MP내역(적극)'!A:A,A27,'MP내역(적극)'!G:G,"&gt;"&amp;#REF!,'MP내역(적극)'!D:D,"&lt;&gt;"&amp;#REF!,'MP내역(적극)'!D:D,"&lt;&gt;"&amp;#REF!,'MP내역(적극)'!B:B,"&lt;&gt;현금",'MP내역(적극)'!B:B,"&lt;&gt;합계")=0,"O","X"))</f>
        <v/>
      </c>
      <c r="J27" s="15" t="str">
        <f>IF(A27="","",IF(AND(ABS(#REF!-SUMIFS('MP내역(적극)'!G:G,'MP내역(적극)'!A:A,A27,'MP내역(적극)'!F:F,"Y"))&lt;0.001,ABS(#REF!-SUMIFS('MP내역(적극)'!G:G,'MP내역(적극)'!A:A,A27,'MP내역(적극)'!B:B,"&lt;&gt;합계"))&lt;0.001),"O","X"))</f>
        <v/>
      </c>
      <c r="K27" s="15" t="str">
        <f>IF(A27="","",IF(COUNTIFS('MP내역(적극)'!A:A,A27,'MP내역(적극)'!H:H,"X")=0,"O","X"))</f>
        <v/>
      </c>
      <c r="L27" s="14"/>
    </row>
    <row r="28" spans="1:14" x14ac:dyDescent="0.3">
      <c r="A28" s="14"/>
      <c r="B28" s="14"/>
      <c r="C28" s="14"/>
      <c r="D28" s="14"/>
      <c r="E28" s="15"/>
      <c r="G28" s="15" t="str">
        <f>IF(A28="","",IFERROR(IF(#REF!&gt;VLOOKUP(A28,'포트변경내역(중립)'!A:C,10,0),"O","X"),""))</f>
        <v/>
      </c>
      <c r="H28" s="15" t="str">
        <f>IF(A28="","",COUNTIFS('MP내역(적극)'!$A:$A,A28)-COUNTIFS('MP내역(적극)'!$A:$A,A28,'MP내역(적극)'!$B:$B,"현금")-COUNTIFS('MP내역(적극)'!$A:$A,A28,'MP내역(적극)'!$B:$B,"예수금")-COUNTIFS('MP내역(적극)'!$A:$A,A28,'MP내역(적극)'!$B:$B,"예탁금")-COUNTIFS('MP내역(적극)'!$A:$A,A28,'MP내역(적극)'!$B:$B,"합계"))</f>
        <v/>
      </c>
      <c r="I28" s="15" t="str">
        <f>IF(A28="","",IF(COUNTIFS('MP내역(적극)'!A:A,A28,'MP내역(적극)'!G:G,"&gt;"&amp;#REF!,'MP내역(적극)'!D:D,"&lt;&gt;"&amp;#REF!,'MP내역(적극)'!D:D,"&lt;&gt;"&amp;#REF!,'MP내역(적극)'!B:B,"&lt;&gt;현금",'MP내역(적극)'!B:B,"&lt;&gt;합계")=0,"O","X"))</f>
        <v/>
      </c>
      <c r="J28" s="15" t="str">
        <f>IF(A28="","",IF(AND(ABS(#REF!-SUMIFS('MP내역(적극)'!G:G,'MP내역(적극)'!A:A,A28,'MP내역(적극)'!F:F,"Y"))&lt;0.001,ABS(#REF!-SUMIFS('MP내역(적극)'!G:G,'MP내역(적극)'!A:A,A28,'MP내역(적극)'!B:B,"&lt;&gt;합계"))&lt;0.001),"O","X"))</f>
        <v/>
      </c>
      <c r="K28" s="15" t="str">
        <f>IF(A28="","",IF(COUNTIFS('MP내역(적극)'!A:A,A28,'MP내역(적극)'!H:H,"X")=0,"O","X"))</f>
        <v/>
      </c>
      <c r="L28" s="14"/>
    </row>
    <row r="29" spans="1:14" x14ac:dyDescent="0.3">
      <c r="A29" s="14"/>
      <c r="B29" s="14"/>
      <c r="C29" s="14"/>
      <c r="D29" s="14"/>
      <c r="E29" s="15"/>
      <c r="G29" s="15" t="str">
        <f>IF(A29="","",IFERROR(IF(#REF!&gt;VLOOKUP(A29,'포트변경내역(중립)'!A:C,10,0),"O","X"),""))</f>
        <v/>
      </c>
      <c r="H29" s="15" t="str">
        <f>IF(A29="","",COUNTIFS('MP내역(적극)'!$A:$A,A29)-COUNTIFS('MP내역(적극)'!$A:$A,A29,'MP내역(적극)'!$B:$B,"현금")-COUNTIFS('MP내역(적극)'!$A:$A,A29,'MP내역(적극)'!$B:$B,"예수금")-COUNTIFS('MP내역(적극)'!$A:$A,A29,'MP내역(적극)'!$B:$B,"예탁금")-COUNTIFS('MP내역(적극)'!$A:$A,A29,'MP내역(적극)'!$B:$B,"합계"))</f>
        <v/>
      </c>
      <c r="I29" s="15" t="str">
        <f>IF(A29="","",IF(COUNTIFS('MP내역(적극)'!A:A,A29,'MP내역(적극)'!G:G,"&gt;"&amp;#REF!,'MP내역(적극)'!D:D,"&lt;&gt;"&amp;#REF!,'MP내역(적극)'!D:D,"&lt;&gt;"&amp;#REF!,'MP내역(적극)'!B:B,"&lt;&gt;현금",'MP내역(적극)'!B:B,"&lt;&gt;합계")=0,"O","X"))</f>
        <v/>
      </c>
      <c r="J29" s="15" t="str">
        <f>IF(A29="","",IF(AND(ABS(#REF!-SUMIFS('MP내역(적극)'!G:G,'MP내역(적극)'!A:A,A29,'MP내역(적극)'!F:F,"Y"))&lt;0.001,ABS(#REF!-SUMIFS('MP내역(적극)'!G:G,'MP내역(적극)'!A:A,A29,'MP내역(적극)'!B:B,"&lt;&gt;합계"))&lt;0.001),"O","X"))</f>
        <v/>
      </c>
      <c r="K29" s="15" t="str">
        <f>IF(A29="","",IF(COUNTIFS('MP내역(적극)'!A:A,A29,'MP내역(적극)'!H:H,"X")=0,"O","X"))</f>
        <v/>
      </c>
      <c r="L29" s="14"/>
    </row>
    <row r="30" spans="1:14" x14ac:dyDescent="0.3">
      <c r="A30" s="14"/>
      <c r="B30" s="14"/>
      <c r="C30" s="14"/>
      <c r="D30" s="14"/>
      <c r="E30" s="15"/>
      <c r="G30" s="15" t="str">
        <f>IF(A30="","",IFERROR(IF(#REF!&gt;VLOOKUP(A30,'포트변경내역(중립)'!A:C,10,0),"O","X"),""))</f>
        <v/>
      </c>
      <c r="H30" s="15" t="str">
        <f>IF(A30="","",COUNTIFS('MP내역(적극)'!$A:$A,A30)-COUNTIFS('MP내역(적극)'!$A:$A,A30,'MP내역(적극)'!$B:$B,"현금")-COUNTIFS('MP내역(적극)'!$A:$A,A30,'MP내역(적극)'!$B:$B,"예수금")-COUNTIFS('MP내역(적극)'!$A:$A,A30,'MP내역(적극)'!$B:$B,"예탁금")-COUNTIFS('MP내역(적극)'!$A:$A,A30,'MP내역(적극)'!$B:$B,"합계"))</f>
        <v/>
      </c>
      <c r="I30" s="15" t="str">
        <f>IF(A30="","",IF(COUNTIFS('MP내역(적극)'!A:A,A30,'MP내역(적극)'!G:G,"&gt;"&amp;#REF!,'MP내역(적극)'!D:D,"&lt;&gt;"&amp;#REF!,'MP내역(적극)'!D:D,"&lt;&gt;"&amp;#REF!,'MP내역(적극)'!B:B,"&lt;&gt;현금",'MP내역(적극)'!B:B,"&lt;&gt;합계")=0,"O","X"))</f>
        <v/>
      </c>
      <c r="J30" s="15" t="str">
        <f>IF(A30="","",IF(AND(ABS(#REF!-SUMIFS('MP내역(적극)'!G:G,'MP내역(적극)'!A:A,A30,'MP내역(적극)'!F:F,"Y"))&lt;0.001,ABS(#REF!-SUMIFS('MP내역(적극)'!G:G,'MP내역(적극)'!A:A,A30,'MP내역(적극)'!B:B,"&lt;&gt;합계"))&lt;0.001),"O","X"))</f>
        <v/>
      </c>
      <c r="K30" s="15" t="str">
        <f>IF(A30="","",IF(COUNTIFS('MP내역(적극)'!A:A,A30,'MP내역(적극)'!H:H,"X")=0,"O","X"))</f>
        <v/>
      </c>
      <c r="L30" s="14"/>
    </row>
    <row r="31" spans="1:14" x14ac:dyDescent="0.3">
      <c r="A31" s="14"/>
      <c r="B31" s="14"/>
      <c r="C31" s="14"/>
      <c r="D31" s="14"/>
      <c r="E31" s="15"/>
      <c r="G31" s="15" t="str">
        <f>IF(A31="","",IFERROR(IF(#REF!&gt;VLOOKUP(A31,'포트변경내역(중립)'!A:C,10,0),"O","X"),""))</f>
        <v/>
      </c>
      <c r="H31" s="15" t="str">
        <f>IF(A31="","",COUNTIFS('MP내역(적극)'!$A:$A,A31)-COUNTIFS('MP내역(적극)'!$A:$A,A31,'MP내역(적극)'!$B:$B,"현금")-COUNTIFS('MP내역(적극)'!$A:$A,A31,'MP내역(적극)'!$B:$B,"예수금")-COUNTIFS('MP내역(적극)'!$A:$A,A31,'MP내역(적극)'!$B:$B,"예탁금")-COUNTIFS('MP내역(적극)'!$A:$A,A31,'MP내역(적극)'!$B:$B,"합계"))</f>
        <v/>
      </c>
      <c r="I31" s="15" t="str">
        <f>IF(A31="","",IF(COUNTIFS('MP내역(적극)'!A:A,A31,'MP내역(적극)'!G:G,"&gt;"&amp;#REF!,'MP내역(적극)'!D:D,"&lt;&gt;"&amp;#REF!,'MP내역(적극)'!D:D,"&lt;&gt;"&amp;#REF!,'MP내역(적극)'!B:B,"&lt;&gt;현금",'MP내역(적극)'!B:B,"&lt;&gt;합계")=0,"O","X"))</f>
        <v/>
      </c>
      <c r="J31" s="15" t="str">
        <f>IF(A31="","",IF(AND(ABS(#REF!-SUMIFS('MP내역(적극)'!G:G,'MP내역(적극)'!A:A,A31,'MP내역(적극)'!F:F,"Y"))&lt;0.001,ABS(#REF!-SUMIFS('MP내역(적극)'!G:G,'MP내역(적극)'!A:A,A31,'MP내역(적극)'!B:B,"&lt;&gt;합계"))&lt;0.001),"O","X"))</f>
        <v/>
      </c>
      <c r="K31" s="15" t="str">
        <f>IF(A31="","",IF(COUNTIFS('MP내역(적극)'!A:A,A31,'MP내역(적극)'!H:H,"X")=0,"O","X"))</f>
        <v/>
      </c>
      <c r="L31" s="14"/>
    </row>
    <row r="32" spans="1:14" x14ac:dyDescent="0.3">
      <c r="A32" s="14"/>
      <c r="B32" s="14"/>
      <c r="C32" s="14"/>
      <c r="D32" s="14"/>
      <c r="E32" s="15"/>
      <c r="G32" s="15" t="str">
        <f>IF(A32="","",IFERROR(IF(#REF!&gt;VLOOKUP(A32,'포트변경내역(중립)'!A:C,10,0),"O","X"),""))</f>
        <v/>
      </c>
      <c r="H32" s="15" t="str">
        <f>IF(A32="","",COUNTIFS('MP내역(적극)'!$A:$A,A32)-COUNTIFS('MP내역(적극)'!$A:$A,A32,'MP내역(적극)'!$B:$B,"현금")-COUNTIFS('MP내역(적극)'!$A:$A,A32,'MP내역(적극)'!$B:$B,"예수금")-COUNTIFS('MP내역(적극)'!$A:$A,A32,'MP내역(적극)'!$B:$B,"예탁금")-COUNTIFS('MP내역(적극)'!$A:$A,A32,'MP내역(적극)'!$B:$B,"합계"))</f>
        <v/>
      </c>
      <c r="I32" s="15" t="str">
        <f>IF(A32="","",IF(COUNTIFS('MP내역(적극)'!A:A,A32,'MP내역(적극)'!G:G,"&gt;"&amp;#REF!,'MP내역(적극)'!D:D,"&lt;&gt;"&amp;#REF!,'MP내역(적극)'!D:D,"&lt;&gt;"&amp;#REF!,'MP내역(적극)'!B:B,"&lt;&gt;현금",'MP내역(적극)'!B:B,"&lt;&gt;합계")=0,"O","X"))</f>
        <v/>
      </c>
      <c r="J32" s="15" t="str">
        <f>IF(A32="","",IF(AND(ABS(#REF!-SUMIFS('MP내역(적극)'!G:G,'MP내역(적극)'!A:A,A32,'MP내역(적극)'!F:F,"Y"))&lt;0.001,ABS(#REF!-SUMIFS('MP내역(적극)'!G:G,'MP내역(적극)'!A:A,A32,'MP내역(적극)'!B:B,"&lt;&gt;합계"))&lt;0.001),"O","X"))</f>
        <v/>
      </c>
      <c r="K32" s="15" t="str">
        <f>IF(A32="","",IF(COUNTIFS('MP내역(적극)'!A:A,A32,'MP내역(적극)'!H:H,"X")=0,"O","X"))</f>
        <v/>
      </c>
      <c r="L32" s="14"/>
    </row>
    <row r="33" spans="5:11" s="14" customFormat="1" x14ac:dyDescent="0.3">
      <c r="E33" s="15"/>
      <c r="F33" s="15"/>
      <c r="G33" s="15" t="str">
        <f>IF(A33="","",IFERROR(IF(#REF!&gt;VLOOKUP(A33,'포트변경내역(중립)'!A:C,10,0),"O","X"),""))</f>
        <v/>
      </c>
      <c r="H33" s="15" t="str">
        <f>IF(A33="","",COUNTIFS('MP내역(적극)'!$A:$A,A33)-COUNTIFS('MP내역(적극)'!$A:$A,A33,'MP내역(적극)'!$B:$B,"현금")-COUNTIFS('MP내역(적극)'!$A:$A,A33,'MP내역(적극)'!$B:$B,"예수금")-COUNTIFS('MP내역(적극)'!$A:$A,A33,'MP내역(적극)'!$B:$B,"예탁금")-COUNTIFS('MP내역(적극)'!$A:$A,A33,'MP내역(적극)'!$B:$B,"합계"))</f>
        <v/>
      </c>
      <c r="I33" s="15" t="str">
        <f>IF(A33="","",IF(COUNTIFS('MP내역(적극)'!A:A,A33,'MP내역(적극)'!G:G,"&gt;"&amp;#REF!,'MP내역(적극)'!D:D,"&lt;&gt;"&amp;#REF!,'MP내역(적극)'!D:D,"&lt;&gt;"&amp;#REF!,'MP내역(적극)'!B:B,"&lt;&gt;현금",'MP내역(적극)'!B:B,"&lt;&gt;합계")=0,"O","X"))</f>
        <v/>
      </c>
      <c r="J33" s="15" t="str">
        <f>IF(A33="","",IF(AND(ABS(#REF!-SUMIFS('MP내역(적극)'!G:G,'MP내역(적극)'!A:A,A33,'MP내역(적극)'!F:F,"Y"))&lt;0.001,ABS(#REF!-SUMIFS('MP내역(적극)'!G:G,'MP내역(적극)'!A:A,A33,'MP내역(적극)'!B:B,"&lt;&gt;합계"))&lt;0.001),"O","X"))</f>
        <v/>
      </c>
      <c r="K33" s="15" t="str">
        <f>IF(A33="","",IF(COUNTIFS('MP내역(적극)'!A:A,A33,'MP내역(적극)'!H:H,"X")=0,"O","X"))</f>
        <v/>
      </c>
    </row>
    <row r="34" spans="5:11" s="14" customFormat="1" x14ac:dyDescent="0.3">
      <c r="E34" s="15"/>
      <c r="F34" s="15"/>
      <c r="G34" s="15" t="str">
        <f>IF(A34="","",IFERROR(IF(#REF!&gt;VLOOKUP(A34,'포트변경내역(중립)'!A:C,10,0),"O","X"),""))</f>
        <v/>
      </c>
      <c r="H34" s="15" t="str">
        <f>IF(A34="","",COUNTIFS('MP내역(적극)'!$A:$A,A34)-COUNTIFS('MP내역(적극)'!$A:$A,A34,'MP내역(적극)'!$B:$B,"현금")-COUNTIFS('MP내역(적극)'!$A:$A,A34,'MP내역(적극)'!$B:$B,"예수금")-COUNTIFS('MP내역(적극)'!$A:$A,A34,'MP내역(적극)'!$B:$B,"예탁금")-COUNTIFS('MP내역(적극)'!$A:$A,A34,'MP내역(적극)'!$B:$B,"합계"))</f>
        <v/>
      </c>
      <c r="I34" s="15" t="str">
        <f>IF(A34="","",IF(COUNTIFS('MP내역(적극)'!A:A,A34,'MP내역(적극)'!G:G,"&gt;"&amp;#REF!,'MP내역(적극)'!D:D,"&lt;&gt;"&amp;#REF!,'MP내역(적극)'!D:D,"&lt;&gt;"&amp;#REF!,'MP내역(적극)'!B:B,"&lt;&gt;현금",'MP내역(적극)'!B:B,"&lt;&gt;합계")=0,"O","X"))</f>
        <v/>
      </c>
      <c r="J34" s="15" t="str">
        <f>IF(A34="","",IF(AND(ABS(#REF!-SUMIFS('MP내역(적극)'!G:G,'MP내역(적극)'!A:A,A34,'MP내역(적극)'!F:F,"Y"))&lt;0.001,ABS(#REF!-SUMIFS('MP내역(적극)'!G:G,'MP내역(적극)'!A:A,A34,'MP내역(적극)'!B:B,"&lt;&gt;합계"))&lt;0.001),"O","X"))</f>
        <v/>
      </c>
      <c r="K34" s="15" t="str">
        <f>IF(A34="","",IF(COUNTIFS('MP내역(적극)'!A:A,A34,'MP내역(적극)'!H:H,"X")=0,"O","X"))</f>
        <v/>
      </c>
    </row>
    <row r="35" spans="5:11" s="14" customFormat="1" x14ac:dyDescent="0.3">
      <c r="E35" s="15"/>
      <c r="F35" s="15"/>
      <c r="G35" s="15" t="str">
        <f>IF(A35="","",IFERROR(IF(#REF!&gt;VLOOKUP(A35,'포트변경내역(중립)'!A:C,10,0),"O","X"),""))</f>
        <v/>
      </c>
      <c r="H35" s="15" t="str">
        <f>IF(A35="","",COUNTIFS('MP내역(적극)'!$A:$A,A35)-COUNTIFS('MP내역(적극)'!$A:$A,A35,'MP내역(적극)'!$B:$B,"현금")-COUNTIFS('MP내역(적극)'!$A:$A,A35,'MP내역(적극)'!$B:$B,"예수금")-COUNTIFS('MP내역(적극)'!$A:$A,A35,'MP내역(적극)'!$B:$B,"예탁금")-COUNTIFS('MP내역(적극)'!$A:$A,A35,'MP내역(적극)'!$B:$B,"합계"))</f>
        <v/>
      </c>
      <c r="I35" s="15" t="str">
        <f>IF(A35="","",IF(COUNTIFS('MP내역(적극)'!A:A,A35,'MP내역(적극)'!G:G,"&gt;"&amp;#REF!,'MP내역(적극)'!D:D,"&lt;&gt;"&amp;#REF!,'MP내역(적극)'!D:D,"&lt;&gt;"&amp;#REF!,'MP내역(적극)'!B:B,"&lt;&gt;현금",'MP내역(적극)'!B:B,"&lt;&gt;합계")=0,"O","X"))</f>
        <v/>
      </c>
      <c r="J35" s="15" t="str">
        <f>IF(A35="","",IF(AND(ABS(#REF!-SUMIFS('MP내역(적극)'!G:G,'MP내역(적극)'!A:A,A35,'MP내역(적극)'!F:F,"Y"))&lt;0.001,ABS(#REF!-SUMIFS('MP내역(적극)'!G:G,'MP내역(적극)'!A:A,A35,'MP내역(적극)'!B:B,"&lt;&gt;합계"))&lt;0.001),"O","X"))</f>
        <v/>
      </c>
      <c r="K35" s="15" t="str">
        <f>IF(A35="","",IF(COUNTIFS('MP내역(적극)'!A:A,A35,'MP내역(적극)'!H:H,"X")=0,"O","X"))</f>
        <v/>
      </c>
    </row>
    <row r="36" spans="5:11" s="14" customFormat="1" x14ac:dyDescent="0.3">
      <c r="E36" s="15"/>
      <c r="F36" s="15"/>
      <c r="G36" s="15" t="str">
        <f>IF(A36="","",IFERROR(IF(#REF!&gt;VLOOKUP(A36,'포트변경내역(중립)'!A:C,10,0),"O","X"),""))</f>
        <v/>
      </c>
      <c r="H36" s="15" t="str">
        <f>IF(A36="","",COUNTIFS('MP내역(적극)'!$A:$A,A36)-COUNTIFS('MP내역(적극)'!$A:$A,A36,'MP내역(적극)'!$B:$B,"현금")-COUNTIFS('MP내역(적극)'!$A:$A,A36,'MP내역(적극)'!$B:$B,"예수금")-COUNTIFS('MP내역(적극)'!$A:$A,A36,'MP내역(적극)'!$B:$B,"예탁금")-COUNTIFS('MP내역(적극)'!$A:$A,A36,'MP내역(적극)'!$B:$B,"합계"))</f>
        <v/>
      </c>
      <c r="I36" s="15" t="str">
        <f>IF(A36="","",IF(COUNTIFS('MP내역(적극)'!A:A,A36,'MP내역(적극)'!G:G,"&gt;"&amp;#REF!,'MP내역(적극)'!D:D,"&lt;&gt;"&amp;#REF!,'MP내역(적극)'!D:D,"&lt;&gt;"&amp;#REF!,'MP내역(적극)'!B:B,"&lt;&gt;현금",'MP내역(적극)'!B:B,"&lt;&gt;합계")=0,"O","X"))</f>
        <v/>
      </c>
      <c r="J36" s="15" t="str">
        <f>IF(A36="","",IF(AND(ABS(#REF!-SUMIFS('MP내역(적극)'!G:G,'MP내역(적극)'!A:A,A36,'MP내역(적극)'!F:F,"Y"))&lt;0.001,ABS(#REF!-SUMIFS('MP내역(적극)'!G:G,'MP내역(적극)'!A:A,A36,'MP내역(적극)'!B:B,"&lt;&gt;합계"))&lt;0.001),"O","X"))</f>
        <v/>
      </c>
      <c r="K36" s="15" t="str">
        <f>IF(A36="","",IF(COUNTIFS('MP내역(적극)'!A:A,A36,'MP내역(적극)'!H:H,"X")=0,"O","X"))</f>
        <v/>
      </c>
    </row>
    <row r="37" spans="5:11" s="14" customFormat="1" x14ac:dyDescent="0.3">
      <c r="E37" s="15"/>
      <c r="F37" s="15"/>
      <c r="G37" s="15" t="str">
        <f>IF(A37="","",IFERROR(IF(#REF!&gt;VLOOKUP(A37,'포트변경내역(중립)'!A:C,10,0),"O","X"),""))</f>
        <v/>
      </c>
      <c r="H37" s="15" t="str">
        <f>IF(A37="","",COUNTIFS('MP내역(적극)'!$A:$A,A37)-COUNTIFS('MP내역(적극)'!$A:$A,A37,'MP내역(적극)'!$B:$B,"현금")-COUNTIFS('MP내역(적극)'!$A:$A,A37,'MP내역(적극)'!$B:$B,"예수금")-COUNTIFS('MP내역(적극)'!$A:$A,A37,'MP내역(적극)'!$B:$B,"예탁금")-COUNTIFS('MP내역(적극)'!$A:$A,A37,'MP내역(적극)'!$B:$B,"합계"))</f>
        <v/>
      </c>
      <c r="I37" s="15" t="str">
        <f>IF(A37="","",IF(COUNTIFS('MP내역(적극)'!A:A,A37,'MP내역(적극)'!G:G,"&gt;"&amp;#REF!,'MP내역(적극)'!D:D,"&lt;&gt;"&amp;#REF!,'MP내역(적극)'!D:D,"&lt;&gt;"&amp;#REF!,'MP내역(적극)'!B:B,"&lt;&gt;현금",'MP내역(적극)'!B:B,"&lt;&gt;합계")=0,"O","X"))</f>
        <v/>
      </c>
      <c r="J37" s="15" t="str">
        <f>IF(A37="","",IF(AND(ABS(#REF!-SUMIFS('MP내역(적극)'!G:G,'MP내역(적극)'!A:A,A37,'MP내역(적극)'!F:F,"Y"))&lt;0.001,ABS(#REF!-SUMIFS('MP내역(적극)'!G:G,'MP내역(적극)'!A:A,A37,'MP내역(적극)'!B:B,"&lt;&gt;합계"))&lt;0.001),"O","X"))</f>
        <v/>
      </c>
      <c r="K37" s="15" t="str">
        <f>IF(A37="","",IF(COUNTIFS('MP내역(적극)'!A:A,A37,'MP내역(적극)'!H:H,"X")=0,"O","X"))</f>
        <v/>
      </c>
    </row>
    <row r="38" spans="5:11" s="14" customFormat="1" x14ac:dyDescent="0.3">
      <c r="E38" s="15"/>
      <c r="F38" s="15"/>
      <c r="G38" s="15" t="str">
        <f>IF(A38="","",IFERROR(IF(#REF!&gt;VLOOKUP(A38,'포트변경내역(중립)'!A:C,10,0),"O","X"),""))</f>
        <v/>
      </c>
      <c r="H38" s="15" t="str">
        <f>IF(A38="","",COUNTIFS('MP내역(적극)'!$A:$A,A38)-COUNTIFS('MP내역(적극)'!$A:$A,A38,'MP내역(적극)'!$B:$B,"현금")-COUNTIFS('MP내역(적극)'!$A:$A,A38,'MP내역(적극)'!$B:$B,"예수금")-COUNTIFS('MP내역(적극)'!$A:$A,A38,'MP내역(적극)'!$B:$B,"예탁금")-COUNTIFS('MP내역(적극)'!$A:$A,A38,'MP내역(적극)'!$B:$B,"합계"))</f>
        <v/>
      </c>
      <c r="I38" s="15" t="str">
        <f>IF(A38="","",IF(COUNTIFS('MP내역(적극)'!A:A,A38,'MP내역(적극)'!G:G,"&gt;"&amp;#REF!,'MP내역(적극)'!D:D,"&lt;&gt;"&amp;#REF!,'MP내역(적극)'!D:D,"&lt;&gt;"&amp;#REF!,'MP내역(적극)'!B:B,"&lt;&gt;현금",'MP내역(적극)'!B:B,"&lt;&gt;합계")=0,"O","X"))</f>
        <v/>
      </c>
      <c r="J38" s="15" t="str">
        <f>IF(A38="","",IF(AND(ABS(#REF!-SUMIFS('MP내역(적극)'!G:G,'MP내역(적극)'!A:A,A38,'MP내역(적극)'!F:F,"Y"))&lt;0.001,ABS(#REF!-SUMIFS('MP내역(적극)'!G:G,'MP내역(적극)'!A:A,A38,'MP내역(적극)'!B:B,"&lt;&gt;합계"))&lt;0.001),"O","X"))</f>
        <v/>
      </c>
      <c r="K38" s="15" t="str">
        <f>IF(A38="","",IF(COUNTIFS('MP내역(적극)'!A:A,A38,'MP내역(적극)'!H:H,"X")=0,"O","X"))</f>
        <v/>
      </c>
    </row>
    <row r="39" spans="5:11" s="14" customFormat="1" x14ac:dyDescent="0.3">
      <c r="E39" s="15"/>
      <c r="F39" s="15"/>
      <c r="G39" s="15" t="str">
        <f>IF(A39="","",IFERROR(IF(#REF!&gt;VLOOKUP(A39,'포트변경내역(중립)'!A:C,10,0),"O","X"),""))</f>
        <v/>
      </c>
      <c r="H39" s="15" t="str">
        <f>IF(A39="","",COUNTIFS('MP내역(적극)'!$A:$A,A39)-COUNTIFS('MP내역(적극)'!$A:$A,A39,'MP내역(적극)'!$B:$B,"현금")-COUNTIFS('MP내역(적극)'!$A:$A,A39,'MP내역(적극)'!$B:$B,"예수금")-COUNTIFS('MP내역(적극)'!$A:$A,A39,'MP내역(적극)'!$B:$B,"예탁금")-COUNTIFS('MP내역(적극)'!$A:$A,A39,'MP내역(적극)'!$B:$B,"합계"))</f>
        <v/>
      </c>
      <c r="I39" s="15" t="str">
        <f>IF(A39="","",IF(COUNTIFS('MP내역(적극)'!A:A,A39,'MP내역(적극)'!G:G,"&gt;"&amp;#REF!,'MP내역(적극)'!D:D,"&lt;&gt;"&amp;#REF!,'MP내역(적극)'!D:D,"&lt;&gt;"&amp;#REF!,'MP내역(적극)'!B:B,"&lt;&gt;현금",'MP내역(적극)'!B:B,"&lt;&gt;합계")=0,"O","X"))</f>
        <v/>
      </c>
      <c r="J39" s="15" t="str">
        <f>IF(A39="","",IF(AND(ABS(#REF!-SUMIFS('MP내역(적극)'!G:G,'MP내역(적극)'!A:A,A39,'MP내역(적극)'!F:F,"Y"))&lt;0.001,ABS(#REF!-SUMIFS('MP내역(적극)'!G:G,'MP내역(적극)'!A:A,A39,'MP내역(적극)'!B:B,"&lt;&gt;합계"))&lt;0.001),"O","X"))</f>
        <v/>
      </c>
      <c r="K39" s="15" t="str">
        <f>IF(A39="","",IF(COUNTIFS('MP내역(적극)'!A:A,A39,'MP내역(적극)'!H:H,"X")=0,"O","X"))</f>
        <v/>
      </c>
    </row>
    <row r="40" spans="5:11" s="14" customFormat="1" x14ac:dyDescent="0.3">
      <c r="E40" s="15"/>
      <c r="F40" s="15"/>
      <c r="G40" s="15" t="str">
        <f>IF(A40="","",IFERROR(IF(#REF!&gt;VLOOKUP(A40,'포트변경내역(중립)'!A:C,10,0),"O","X"),""))</f>
        <v/>
      </c>
      <c r="H40" s="15" t="str">
        <f>IF(A40="","",COUNTIFS('MP내역(적극)'!$A:$A,A40)-COUNTIFS('MP내역(적극)'!$A:$A,A40,'MP내역(적극)'!$B:$B,"현금")-COUNTIFS('MP내역(적극)'!$A:$A,A40,'MP내역(적극)'!$B:$B,"예수금")-COUNTIFS('MP내역(적극)'!$A:$A,A40,'MP내역(적극)'!$B:$B,"예탁금")-COUNTIFS('MP내역(적극)'!$A:$A,A40,'MP내역(적극)'!$B:$B,"합계"))</f>
        <v/>
      </c>
      <c r="I40" s="15" t="str">
        <f>IF(A40="","",IF(COUNTIFS('MP내역(적극)'!A:A,A40,'MP내역(적극)'!G:G,"&gt;"&amp;#REF!,'MP내역(적극)'!D:D,"&lt;&gt;"&amp;#REF!,'MP내역(적극)'!D:D,"&lt;&gt;"&amp;#REF!,'MP내역(적극)'!B:B,"&lt;&gt;현금",'MP내역(적극)'!B:B,"&lt;&gt;합계")=0,"O","X"))</f>
        <v/>
      </c>
      <c r="J40" s="15" t="str">
        <f>IF(A40="","",IF(AND(ABS(#REF!-SUMIFS('MP내역(적극)'!G:G,'MP내역(적극)'!A:A,A40,'MP내역(적극)'!F:F,"Y"))&lt;0.001,ABS(#REF!-SUMIFS('MP내역(적극)'!G:G,'MP내역(적극)'!A:A,A40,'MP내역(적극)'!B:B,"&lt;&gt;합계"))&lt;0.001),"O","X"))</f>
        <v/>
      </c>
      <c r="K40" s="15" t="str">
        <f>IF(A40="","",IF(COUNTIFS('MP내역(적극)'!A:A,A40,'MP내역(적극)'!H:H,"X")=0,"O","X"))</f>
        <v/>
      </c>
    </row>
    <row r="41" spans="5:11" s="14" customFormat="1" x14ac:dyDescent="0.3">
      <c r="E41" s="15"/>
      <c r="F41" s="15"/>
      <c r="G41" s="15" t="str">
        <f>IF(A41="","",IFERROR(IF(#REF!&gt;VLOOKUP(A41,'포트변경내역(중립)'!A:C,10,0),"O","X"),""))</f>
        <v/>
      </c>
      <c r="H41" s="15" t="str">
        <f>IF(A41="","",COUNTIFS('MP내역(적극)'!$A:$A,A41)-COUNTIFS('MP내역(적극)'!$A:$A,A41,'MP내역(적극)'!$B:$B,"현금")-COUNTIFS('MP내역(적극)'!$A:$A,A41,'MP내역(적극)'!$B:$B,"예수금")-COUNTIFS('MP내역(적극)'!$A:$A,A41,'MP내역(적극)'!$B:$B,"예탁금")-COUNTIFS('MP내역(적극)'!$A:$A,A41,'MP내역(적극)'!$B:$B,"합계"))</f>
        <v/>
      </c>
      <c r="I41" s="15" t="str">
        <f>IF(A41="","",IF(COUNTIFS('MP내역(적극)'!A:A,A41,'MP내역(적극)'!G:G,"&gt;"&amp;#REF!,'MP내역(적극)'!D:D,"&lt;&gt;"&amp;#REF!,'MP내역(적극)'!D:D,"&lt;&gt;"&amp;#REF!,'MP내역(적극)'!B:B,"&lt;&gt;현금",'MP내역(적극)'!B:B,"&lt;&gt;합계")=0,"O","X"))</f>
        <v/>
      </c>
      <c r="J41" s="15" t="str">
        <f>IF(A41="","",IF(AND(ABS(#REF!-SUMIFS('MP내역(적극)'!G:G,'MP내역(적극)'!A:A,A41,'MP내역(적극)'!F:F,"Y"))&lt;0.001,ABS(#REF!-SUMIFS('MP내역(적극)'!G:G,'MP내역(적극)'!A:A,A41,'MP내역(적극)'!B:B,"&lt;&gt;합계"))&lt;0.001),"O","X"))</f>
        <v/>
      </c>
      <c r="K41" s="15" t="str">
        <f>IF(A41="","",IF(COUNTIFS('MP내역(적극)'!A:A,A41,'MP내역(적극)'!H:H,"X")=0,"O","X"))</f>
        <v/>
      </c>
    </row>
    <row r="42" spans="5:11" s="14" customFormat="1" x14ac:dyDescent="0.3">
      <c r="E42" s="15"/>
      <c r="F42" s="15"/>
      <c r="G42" s="15" t="str">
        <f>IF(A42="","",IFERROR(IF(#REF!&gt;VLOOKUP(A42,'포트변경내역(중립)'!A:C,10,0),"O","X"),""))</f>
        <v/>
      </c>
      <c r="H42" s="15" t="str">
        <f>IF(A42="","",COUNTIFS('MP내역(적극)'!$A:$A,A42)-COUNTIFS('MP내역(적극)'!$A:$A,A42,'MP내역(적극)'!$B:$B,"현금")-COUNTIFS('MP내역(적극)'!$A:$A,A42,'MP내역(적극)'!$B:$B,"예수금")-COUNTIFS('MP내역(적극)'!$A:$A,A42,'MP내역(적극)'!$B:$B,"예탁금")-COUNTIFS('MP내역(적극)'!$A:$A,A42,'MP내역(적극)'!$B:$B,"합계"))</f>
        <v/>
      </c>
      <c r="I42" s="15" t="str">
        <f>IF(A42="","",IF(COUNTIFS('MP내역(적극)'!A:A,A42,'MP내역(적극)'!G:G,"&gt;"&amp;#REF!,'MP내역(적극)'!D:D,"&lt;&gt;"&amp;#REF!,'MP내역(적극)'!D:D,"&lt;&gt;"&amp;#REF!,'MP내역(적극)'!B:B,"&lt;&gt;현금",'MP내역(적극)'!B:B,"&lt;&gt;합계")=0,"O","X"))</f>
        <v/>
      </c>
      <c r="J42" s="15" t="str">
        <f>IF(A42="","",IF(AND(ABS(#REF!-SUMIFS('MP내역(적극)'!G:G,'MP내역(적극)'!A:A,A42,'MP내역(적극)'!F:F,"Y"))&lt;0.001,ABS(#REF!-SUMIFS('MP내역(적극)'!G:G,'MP내역(적극)'!A:A,A42,'MP내역(적극)'!B:B,"&lt;&gt;합계"))&lt;0.001),"O","X"))</f>
        <v/>
      </c>
      <c r="K42" s="15" t="str">
        <f>IF(A42="","",IF(COUNTIFS('MP내역(적극)'!A:A,A42,'MP내역(적극)'!H:H,"X")=0,"O","X"))</f>
        <v/>
      </c>
    </row>
    <row r="43" spans="5:11" s="14" customFormat="1" x14ac:dyDescent="0.3">
      <c r="E43" s="15"/>
      <c r="F43" s="15"/>
      <c r="G43" s="15" t="str">
        <f>IF(A43="","",IFERROR(IF(#REF!&gt;VLOOKUP(A43,'포트변경내역(중립)'!A:C,10,0),"O","X"),""))</f>
        <v/>
      </c>
      <c r="H43" s="15" t="str">
        <f>IF(A43="","",COUNTIFS('MP내역(적극)'!$A:$A,A43)-COUNTIFS('MP내역(적극)'!$A:$A,A43,'MP내역(적극)'!$B:$B,"현금")-COUNTIFS('MP내역(적극)'!$A:$A,A43,'MP내역(적극)'!$B:$B,"예수금")-COUNTIFS('MP내역(적극)'!$A:$A,A43,'MP내역(적극)'!$B:$B,"예탁금")-COUNTIFS('MP내역(적극)'!$A:$A,A43,'MP내역(적극)'!$B:$B,"합계"))</f>
        <v/>
      </c>
      <c r="I43" s="15" t="str">
        <f>IF(A43="","",IF(COUNTIFS('MP내역(적극)'!A:A,A43,'MP내역(적극)'!G:G,"&gt;"&amp;#REF!,'MP내역(적극)'!D:D,"&lt;&gt;"&amp;#REF!,'MP내역(적극)'!D:D,"&lt;&gt;"&amp;#REF!,'MP내역(적극)'!B:B,"&lt;&gt;현금",'MP내역(적극)'!B:B,"&lt;&gt;합계")=0,"O","X"))</f>
        <v/>
      </c>
      <c r="J43" s="15" t="str">
        <f>IF(A43="","",IF(AND(ABS(#REF!-SUMIFS('MP내역(적극)'!G:G,'MP내역(적극)'!A:A,A43,'MP내역(적극)'!F:F,"Y"))&lt;0.001,ABS(#REF!-SUMIFS('MP내역(적극)'!G:G,'MP내역(적극)'!A:A,A43,'MP내역(적극)'!B:B,"&lt;&gt;합계"))&lt;0.001),"O","X"))</f>
        <v/>
      </c>
      <c r="K43" s="15" t="str">
        <f>IF(A43="","",IF(COUNTIFS('MP내역(적극)'!A:A,A43,'MP내역(적극)'!H:H,"X")=0,"O","X"))</f>
        <v/>
      </c>
    </row>
    <row r="44" spans="5:11" s="14" customFormat="1" x14ac:dyDescent="0.3">
      <c r="E44" s="15"/>
      <c r="F44" s="15"/>
      <c r="G44" s="15" t="str">
        <f>IF(A44="","",IFERROR(IF(#REF!&gt;VLOOKUP(A44,'포트변경내역(중립)'!A:C,10,0),"O","X"),""))</f>
        <v/>
      </c>
      <c r="H44" s="15" t="str">
        <f>IF(A44="","",COUNTIFS('MP내역(적극)'!$A:$A,A44)-COUNTIFS('MP내역(적극)'!$A:$A,A44,'MP내역(적극)'!$B:$B,"현금")-COUNTIFS('MP내역(적극)'!$A:$A,A44,'MP내역(적극)'!$B:$B,"예수금")-COUNTIFS('MP내역(적극)'!$A:$A,A44,'MP내역(적극)'!$B:$B,"예탁금")-COUNTIFS('MP내역(적극)'!$A:$A,A44,'MP내역(적극)'!$B:$B,"합계"))</f>
        <v/>
      </c>
      <c r="I44" s="15" t="str">
        <f>IF(A44="","",IF(COUNTIFS('MP내역(적극)'!A:A,A44,'MP내역(적극)'!G:G,"&gt;"&amp;#REF!,'MP내역(적극)'!D:D,"&lt;&gt;"&amp;#REF!,'MP내역(적극)'!D:D,"&lt;&gt;"&amp;#REF!,'MP내역(적극)'!B:B,"&lt;&gt;현금",'MP내역(적극)'!B:B,"&lt;&gt;합계")=0,"O","X"))</f>
        <v/>
      </c>
      <c r="J44" s="15" t="str">
        <f>IF(A44="","",IF(AND(ABS(#REF!-SUMIFS('MP내역(적극)'!G:G,'MP내역(적극)'!A:A,A44,'MP내역(적극)'!F:F,"Y"))&lt;0.001,ABS(#REF!-SUMIFS('MP내역(적극)'!G:G,'MP내역(적극)'!A:A,A44,'MP내역(적극)'!B:B,"&lt;&gt;합계"))&lt;0.001),"O","X"))</f>
        <v/>
      </c>
      <c r="K44" s="15" t="str">
        <f>IF(A44="","",IF(COUNTIFS('MP내역(적극)'!A:A,A44,'MP내역(적극)'!H:H,"X")=0,"O","X"))</f>
        <v/>
      </c>
    </row>
    <row r="45" spans="5:11" s="14" customFormat="1" x14ac:dyDescent="0.3">
      <c r="E45" s="15"/>
      <c r="F45" s="15"/>
      <c r="G45" s="15" t="str">
        <f>IF(A45="","",IFERROR(IF(#REF!&gt;VLOOKUP(A45,'포트변경내역(중립)'!A:C,10,0),"O","X"),""))</f>
        <v/>
      </c>
      <c r="H45" s="15" t="str">
        <f>IF(A45="","",COUNTIFS('MP내역(적극)'!$A:$A,A45)-COUNTIFS('MP내역(적극)'!$A:$A,A45,'MP내역(적극)'!$B:$B,"현금")-COUNTIFS('MP내역(적극)'!$A:$A,A45,'MP내역(적극)'!$B:$B,"예수금")-COUNTIFS('MP내역(적극)'!$A:$A,A45,'MP내역(적극)'!$B:$B,"예탁금")-COUNTIFS('MP내역(적극)'!$A:$A,A45,'MP내역(적극)'!$B:$B,"합계"))</f>
        <v/>
      </c>
      <c r="I45" s="15" t="str">
        <f>IF(A45="","",IF(COUNTIFS('MP내역(적극)'!A:A,A45,'MP내역(적극)'!G:G,"&gt;"&amp;#REF!,'MP내역(적극)'!D:D,"&lt;&gt;"&amp;#REF!,'MP내역(적극)'!D:D,"&lt;&gt;"&amp;#REF!,'MP내역(적극)'!B:B,"&lt;&gt;현금",'MP내역(적극)'!B:B,"&lt;&gt;합계")=0,"O","X"))</f>
        <v/>
      </c>
      <c r="J45" s="15" t="str">
        <f>IF(A45="","",IF(AND(ABS(#REF!-SUMIFS('MP내역(적극)'!G:G,'MP내역(적극)'!A:A,A45,'MP내역(적극)'!F:F,"Y"))&lt;0.001,ABS(#REF!-SUMIFS('MP내역(적극)'!G:G,'MP내역(적극)'!A:A,A45,'MP내역(적극)'!B:B,"&lt;&gt;합계"))&lt;0.001),"O","X"))</f>
        <v/>
      </c>
      <c r="K45" s="15" t="str">
        <f>IF(A45="","",IF(COUNTIFS('MP내역(적극)'!A:A,A45,'MP내역(적극)'!H:H,"X")=0,"O","X"))</f>
        <v/>
      </c>
    </row>
    <row r="46" spans="5:11" s="14" customFormat="1" x14ac:dyDescent="0.3">
      <c r="E46" s="15"/>
      <c r="F46" s="15"/>
      <c r="G46" s="15" t="str">
        <f>IF(A46="","",IFERROR(IF(#REF!&gt;VLOOKUP(A46,'포트변경내역(중립)'!A:C,10,0),"O","X"),""))</f>
        <v/>
      </c>
      <c r="H46" s="15" t="str">
        <f>IF(A46="","",COUNTIFS('MP내역(적극)'!$A:$A,A46)-COUNTIFS('MP내역(적극)'!$A:$A,A46,'MP내역(적극)'!$B:$B,"현금")-COUNTIFS('MP내역(적극)'!$A:$A,A46,'MP내역(적극)'!$B:$B,"예수금")-COUNTIFS('MP내역(적극)'!$A:$A,A46,'MP내역(적극)'!$B:$B,"예탁금")-COUNTIFS('MP내역(적극)'!$A:$A,A46,'MP내역(적극)'!$B:$B,"합계"))</f>
        <v/>
      </c>
      <c r="I46" s="15" t="str">
        <f>IF(A46="","",IF(COUNTIFS('MP내역(적극)'!A:A,A46,'MP내역(적극)'!G:G,"&gt;"&amp;#REF!,'MP내역(적극)'!D:D,"&lt;&gt;"&amp;#REF!,'MP내역(적극)'!D:D,"&lt;&gt;"&amp;#REF!,'MP내역(적극)'!B:B,"&lt;&gt;현금",'MP내역(적극)'!B:B,"&lt;&gt;합계")=0,"O","X"))</f>
        <v/>
      </c>
      <c r="J46" s="15" t="str">
        <f>IF(A46="","",IF(AND(ABS(#REF!-SUMIFS('MP내역(적극)'!G:G,'MP내역(적극)'!A:A,A46,'MP내역(적극)'!F:F,"Y"))&lt;0.001,ABS(#REF!-SUMIFS('MP내역(적극)'!G:G,'MP내역(적극)'!A:A,A46,'MP내역(적극)'!B:B,"&lt;&gt;합계"))&lt;0.001),"O","X"))</f>
        <v/>
      </c>
      <c r="K46" s="15" t="str">
        <f>IF(A46="","",IF(COUNTIFS('MP내역(적극)'!A:A,A46,'MP내역(적극)'!H:H,"X")=0,"O","X"))</f>
        <v/>
      </c>
    </row>
    <row r="47" spans="5:11" s="14" customFormat="1" x14ac:dyDescent="0.3">
      <c r="E47" s="15"/>
      <c r="F47" s="15"/>
      <c r="G47" s="15" t="str">
        <f>IF(A47="","",IFERROR(IF(#REF!&gt;VLOOKUP(A47,'포트변경내역(중립)'!A:C,10,0),"O","X"),""))</f>
        <v/>
      </c>
      <c r="H47" s="15" t="str">
        <f>IF(A47="","",COUNTIFS('MP내역(적극)'!$A:$A,A47)-COUNTIFS('MP내역(적극)'!$A:$A,A47,'MP내역(적극)'!$B:$B,"현금")-COUNTIFS('MP내역(적극)'!$A:$A,A47,'MP내역(적극)'!$B:$B,"예수금")-COUNTIFS('MP내역(적극)'!$A:$A,A47,'MP내역(적극)'!$B:$B,"예탁금")-COUNTIFS('MP내역(적극)'!$A:$A,A47,'MP내역(적극)'!$B:$B,"합계"))</f>
        <v/>
      </c>
      <c r="I47" s="15" t="str">
        <f>IF(A47="","",IF(COUNTIFS('MP내역(적극)'!A:A,A47,'MP내역(적극)'!G:G,"&gt;"&amp;#REF!,'MP내역(적극)'!D:D,"&lt;&gt;"&amp;#REF!,'MP내역(적극)'!D:D,"&lt;&gt;"&amp;#REF!,'MP내역(적극)'!B:B,"&lt;&gt;현금",'MP내역(적극)'!B:B,"&lt;&gt;합계")=0,"O","X"))</f>
        <v/>
      </c>
      <c r="J47" s="15" t="str">
        <f>IF(A47="","",IF(AND(ABS(#REF!-SUMIFS('MP내역(적극)'!G:G,'MP내역(적극)'!A:A,A47,'MP내역(적극)'!F:F,"Y"))&lt;0.001,ABS(#REF!-SUMIFS('MP내역(적극)'!G:G,'MP내역(적극)'!A:A,A47,'MP내역(적극)'!B:B,"&lt;&gt;합계"))&lt;0.001),"O","X"))</f>
        <v/>
      </c>
      <c r="K47" s="15" t="str">
        <f>IF(A47="","",IF(COUNTIFS('MP내역(적극)'!A:A,A47,'MP내역(적극)'!H:H,"X")=0,"O","X"))</f>
        <v/>
      </c>
    </row>
    <row r="48" spans="5:11" s="14" customFormat="1" x14ac:dyDescent="0.3">
      <c r="E48" s="15"/>
      <c r="F48" s="15"/>
      <c r="G48" s="15" t="str">
        <f>IF(A48="","",IFERROR(IF(#REF!&gt;VLOOKUP(A48,'포트변경내역(중립)'!A:C,10,0),"O","X"),""))</f>
        <v/>
      </c>
      <c r="H48" s="15" t="str">
        <f>IF(A48="","",COUNTIFS('MP내역(적극)'!$A:$A,A48)-COUNTIFS('MP내역(적극)'!$A:$A,A48,'MP내역(적극)'!$B:$B,"현금")-COUNTIFS('MP내역(적극)'!$A:$A,A48,'MP내역(적극)'!$B:$B,"예수금")-COUNTIFS('MP내역(적극)'!$A:$A,A48,'MP내역(적극)'!$B:$B,"예탁금")-COUNTIFS('MP내역(적극)'!$A:$A,A48,'MP내역(적극)'!$B:$B,"합계"))</f>
        <v/>
      </c>
      <c r="I48" s="15" t="str">
        <f>IF(A48="","",IF(COUNTIFS('MP내역(적극)'!A:A,A48,'MP내역(적극)'!G:G,"&gt;"&amp;#REF!,'MP내역(적극)'!D:D,"&lt;&gt;"&amp;#REF!,'MP내역(적극)'!D:D,"&lt;&gt;"&amp;#REF!,'MP내역(적극)'!B:B,"&lt;&gt;현금",'MP내역(적극)'!B:B,"&lt;&gt;합계")=0,"O","X"))</f>
        <v/>
      </c>
      <c r="J48" s="15" t="str">
        <f>IF(A48="","",IF(AND(ABS(#REF!-SUMIFS('MP내역(적극)'!G:G,'MP내역(적극)'!A:A,A48,'MP내역(적극)'!F:F,"Y"))&lt;0.001,ABS(#REF!-SUMIFS('MP내역(적극)'!G:G,'MP내역(적극)'!A:A,A48,'MP내역(적극)'!B:B,"&lt;&gt;합계"))&lt;0.001),"O","X"))</f>
        <v/>
      </c>
      <c r="K48" s="15" t="str">
        <f>IF(A48="","",IF(COUNTIFS('MP내역(적극)'!A:A,A48,'MP내역(적극)'!H:H,"X")=0,"O","X"))</f>
        <v/>
      </c>
    </row>
    <row r="49" spans="5:11" s="14" customFormat="1" x14ac:dyDescent="0.3">
      <c r="E49" s="15"/>
      <c r="F49" s="15"/>
      <c r="G49" s="15" t="str">
        <f>IF(A49="","",IFERROR(IF(#REF!&gt;VLOOKUP(A49,'포트변경내역(중립)'!A:C,10,0),"O","X"),""))</f>
        <v/>
      </c>
      <c r="H49" s="15" t="str">
        <f>IF(A49="","",COUNTIFS('MP내역(적극)'!$A:$A,A49)-COUNTIFS('MP내역(적극)'!$A:$A,A49,'MP내역(적극)'!$B:$B,"현금")-COUNTIFS('MP내역(적극)'!$A:$A,A49,'MP내역(적극)'!$B:$B,"예수금")-COUNTIFS('MP내역(적극)'!$A:$A,A49,'MP내역(적극)'!$B:$B,"예탁금")-COUNTIFS('MP내역(적극)'!$A:$A,A49,'MP내역(적극)'!$B:$B,"합계"))</f>
        <v/>
      </c>
      <c r="I49" s="15" t="str">
        <f>IF(A49="","",IF(COUNTIFS('MP내역(적극)'!A:A,A49,'MP내역(적극)'!G:G,"&gt;"&amp;#REF!,'MP내역(적극)'!D:D,"&lt;&gt;"&amp;#REF!,'MP내역(적극)'!D:D,"&lt;&gt;"&amp;#REF!,'MP내역(적극)'!B:B,"&lt;&gt;현금",'MP내역(적극)'!B:B,"&lt;&gt;합계")=0,"O","X"))</f>
        <v/>
      </c>
      <c r="J49" s="15" t="str">
        <f>IF(A49="","",IF(AND(ABS(#REF!-SUMIFS('MP내역(적극)'!G:G,'MP내역(적극)'!A:A,A49,'MP내역(적극)'!F:F,"Y"))&lt;0.001,ABS(#REF!-SUMIFS('MP내역(적극)'!G:G,'MP내역(적극)'!A:A,A49,'MP내역(적극)'!B:B,"&lt;&gt;합계"))&lt;0.001),"O","X"))</f>
        <v/>
      </c>
      <c r="K49" s="15" t="str">
        <f>IF(A49="","",IF(COUNTIFS('MP내역(적극)'!A:A,A49,'MP내역(적극)'!H:H,"X")=0,"O","X"))</f>
        <v/>
      </c>
    </row>
    <row r="50" spans="5:11" s="14" customFormat="1" x14ac:dyDescent="0.3">
      <c r="E50" s="15"/>
      <c r="F50" s="15"/>
      <c r="G50" s="15" t="str">
        <f>IF(A50="","",IFERROR(IF(#REF!&gt;VLOOKUP(A50,'포트변경내역(중립)'!A:C,10,0),"O","X"),""))</f>
        <v/>
      </c>
      <c r="H50" s="15" t="str">
        <f>IF(A50="","",COUNTIFS('MP내역(적극)'!$A:$A,A50)-COUNTIFS('MP내역(적극)'!$A:$A,A50,'MP내역(적극)'!$B:$B,"현금")-COUNTIFS('MP내역(적극)'!$A:$A,A50,'MP내역(적극)'!$B:$B,"예수금")-COUNTIFS('MP내역(적극)'!$A:$A,A50,'MP내역(적극)'!$B:$B,"예탁금")-COUNTIFS('MP내역(적극)'!$A:$A,A50,'MP내역(적극)'!$B:$B,"합계"))</f>
        <v/>
      </c>
      <c r="I50" s="15" t="str">
        <f>IF(A50="","",IF(COUNTIFS('MP내역(적극)'!A:A,A50,'MP내역(적극)'!G:G,"&gt;"&amp;#REF!,'MP내역(적극)'!D:D,"&lt;&gt;"&amp;#REF!,'MP내역(적극)'!D:D,"&lt;&gt;"&amp;#REF!,'MP내역(적극)'!B:B,"&lt;&gt;현금",'MP내역(적극)'!B:B,"&lt;&gt;합계")=0,"O","X"))</f>
        <v/>
      </c>
      <c r="J50" s="15" t="str">
        <f>IF(A50="","",IF(AND(ABS(#REF!-SUMIFS('MP내역(적극)'!G:G,'MP내역(적극)'!A:A,A50,'MP내역(적극)'!F:F,"Y"))&lt;0.001,ABS(#REF!-SUMIFS('MP내역(적극)'!G:G,'MP내역(적극)'!A:A,A50,'MP내역(적극)'!B:B,"&lt;&gt;합계"))&lt;0.001),"O","X"))</f>
        <v/>
      </c>
      <c r="K50" s="15" t="str">
        <f>IF(A50="","",IF(COUNTIFS('MP내역(적극)'!A:A,A50,'MP내역(적극)'!H:H,"X")=0,"O","X"))</f>
        <v/>
      </c>
    </row>
    <row r="51" spans="5:11" s="14" customFormat="1" x14ac:dyDescent="0.3">
      <c r="E51" s="15"/>
      <c r="F51" s="15"/>
      <c r="G51" s="15" t="str">
        <f>IF(A51="","",IFERROR(IF(#REF!&gt;VLOOKUP(A51,'포트변경내역(중립)'!A:C,10,0),"O","X"),""))</f>
        <v/>
      </c>
      <c r="H51" s="15" t="str">
        <f>IF(A51="","",COUNTIFS('MP내역(적극)'!$A:$A,A51)-COUNTIFS('MP내역(적극)'!$A:$A,A51,'MP내역(적극)'!$B:$B,"현금")-COUNTIFS('MP내역(적극)'!$A:$A,A51,'MP내역(적극)'!$B:$B,"예수금")-COUNTIFS('MP내역(적극)'!$A:$A,A51,'MP내역(적극)'!$B:$B,"예탁금")-COUNTIFS('MP내역(적극)'!$A:$A,A51,'MP내역(적극)'!$B:$B,"합계"))</f>
        <v/>
      </c>
      <c r="I51" s="15" t="str">
        <f>IF(A51="","",IF(COUNTIFS('MP내역(적극)'!A:A,A51,'MP내역(적극)'!G:G,"&gt;"&amp;#REF!,'MP내역(적극)'!D:D,"&lt;&gt;"&amp;#REF!,'MP내역(적극)'!D:D,"&lt;&gt;"&amp;#REF!,'MP내역(적극)'!B:B,"&lt;&gt;현금",'MP내역(적극)'!B:B,"&lt;&gt;합계")=0,"O","X"))</f>
        <v/>
      </c>
      <c r="J51" s="15" t="str">
        <f>IF(A51="","",IF(AND(ABS(#REF!-SUMIFS('MP내역(적극)'!G:G,'MP내역(적극)'!A:A,A51,'MP내역(적극)'!F:F,"Y"))&lt;0.001,ABS(#REF!-SUMIFS('MP내역(적극)'!G:G,'MP내역(적극)'!A:A,A51,'MP내역(적극)'!B:B,"&lt;&gt;합계"))&lt;0.001),"O","X"))</f>
        <v/>
      </c>
      <c r="K51" s="15" t="str">
        <f>IF(A51="","",IF(COUNTIFS('MP내역(적극)'!A:A,A51,'MP내역(적극)'!H:H,"X")=0,"O","X"))</f>
        <v/>
      </c>
    </row>
    <row r="52" spans="5:11" s="14" customFormat="1" x14ac:dyDescent="0.3">
      <c r="E52" s="15"/>
      <c r="F52" s="15"/>
      <c r="G52" s="15" t="str">
        <f>IF(A52="","",IFERROR(IF(#REF!&gt;VLOOKUP(A52,'포트변경내역(중립)'!A:C,10,0),"O","X"),""))</f>
        <v/>
      </c>
      <c r="H52" s="15" t="str">
        <f>IF(A52="","",COUNTIFS('MP내역(적극)'!$A:$A,A52)-COUNTIFS('MP내역(적극)'!$A:$A,A52,'MP내역(적극)'!$B:$B,"현금")-COUNTIFS('MP내역(적극)'!$A:$A,A52,'MP내역(적극)'!$B:$B,"예수금")-COUNTIFS('MP내역(적극)'!$A:$A,A52,'MP내역(적극)'!$B:$B,"예탁금")-COUNTIFS('MP내역(적극)'!$A:$A,A52,'MP내역(적극)'!$B:$B,"합계"))</f>
        <v/>
      </c>
      <c r="I52" s="15" t="str">
        <f>IF(A52="","",IF(COUNTIFS('MP내역(적극)'!A:A,A52,'MP내역(적극)'!G:G,"&gt;"&amp;#REF!,'MP내역(적극)'!D:D,"&lt;&gt;"&amp;#REF!,'MP내역(적극)'!D:D,"&lt;&gt;"&amp;#REF!,'MP내역(적극)'!B:B,"&lt;&gt;현금",'MP내역(적극)'!B:B,"&lt;&gt;합계")=0,"O","X"))</f>
        <v/>
      </c>
      <c r="J52" s="15" t="str">
        <f>IF(A52="","",IF(AND(ABS(#REF!-SUMIFS('MP내역(적극)'!G:G,'MP내역(적극)'!A:A,A52,'MP내역(적극)'!F:F,"Y"))&lt;0.001,ABS(#REF!-SUMIFS('MP내역(적극)'!G:G,'MP내역(적극)'!A:A,A52,'MP내역(적극)'!B:B,"&lt;&gt;합계"))&lt;0.001),"O","X"))</f>
        <v/>
      </c>
      <c r="K52" s="15" t="str">
        <f>IF(A52="","",IF(COUNTIFS('MP내역(적극)'!A:A,A52,'MP내역(적극)'!H:H,"X")=0,"O","X"))</f>
        <v/>
      </c>
    </row>
    <row r="53" spans="5:11" s="14" customFormat="1" x14ac:dyDescent="0.3">
      <c r="E53" s="15"/>
      <c r="F53" s="15"/>
      <c r="G53" s="15" t="str">
        <f>IF(A53="","",IFERROR(IF(#REF!&gt;VLOOKUP(A53,'포트변경내역(중립)'!A:C,10,0),"O","X"),""))</f>
        <v/>
      </c>
      <c r="H53" s="15" t="str">
        <f>IF(A53="","",COUNTIFS('MP내역(적극)'!$A:$A,A53)-COUNTIFS('MP내역(적극)'!$A:$A,A53,'MP내역(적극)'!$B:$B,"현금")-COUNTIFS('MP내역(적극)'!$A:$A,A53,'MP내역(적극)'!$B:$B,"예수금")-COUNTIFS('MP내역(적극)'!$A:$A,A53,'MP내역(적극)'!$B:$B,"예탁금")-COUNTIFS('MP내역(적극)'!$A:$A,A53,'MP내역(적극)'!$B:$B,"합계"))</f>
        <v/>
      </c>
      <c r="I53" s="15" t="str">
        <f>IF(A53="","",IF(COUNTIFS('MP내역(적극)'!A:A,A53,'MP내역(적극)'!G:G,"&gt;"&amp;#REF!,'MP내역(적극)'!D:D,"&lt;&gt;"&amp;#REF!,'MP내역(적극)'!D:D,"&lt;&gt;"&amp;#REF!,'MP내역(적극)'!B:B,"&lt;&gt;현금",'MP내역(적극)'!B:B,"&lt;&gt;합계")=0,"O","X"))</f>
        <v/>
      </c>
      <c r="J53" s="15" t="str">
        <f>IF(A53="","",IF(AND(ABS(#REF!-SUMIFS('MP내역(적극)'!G:G,'MP내역(적극)'!A:A,A53,'MP내역(적극)'!F:F,"Y"))&lt;0.001,ABS(#REF!-SUMIFS('MP내역(적극)'!G:G,'MP내역(적극)'!A:A,A53,'MP내역(적극)'!B:B,"&lt;&gt;합계"))&lt;0.001),"O","X"))</f>
        <v/>
      </c>
      <c r="K53" s="15" t="str">
        <f>IF(A53="","",IF(COUNTIFS('MP내역(적극)'!A:A,A53,'MP내역(적극)'!H:H,"X")=0,"O","X"))</f>
        <v/>
      </c>
    </row>
    <row r="54" spans="5:11" s="14" customFormat="1" x14ac:dyDescent="0.3">
      <c r="E54" s="15"/>
      <c r="F54" s="15"/>
      <c r="G54" s="15" t="str">
        <f>IF(A54="","",IFERROR(IF(#REF!&gt;VLOOKUP(A54,'포트변경내역(중립)'!A:C,10,0),"O","X"),""))</f>
        <v/>
      </c>
      <c r="H54" s="15" t="str">
        <f>IF(A54="","",COUNTIFS('MP내역(적극)'!$A:$A,A54)-COUNTIFS('MP내역(적극)'!$A:$A,A54,'MP내역(적극)'!$B:$B,"현금")-COUNTIFS('MP내역(적극)'!$A:$A,A54,'MP내역(적극)'!$B:$B,"예수금")-COUNTIFS('MP내역(적극)'!$A:$A,A54,'MP내역(적극)'!$B:$B,"예탁금")-COUNTIFS('MP내역(적극)'!$A:$A,A54,'MP내역(적극)'!$B:$B,"합계"))</f>
        <v/>
      </c>
      <c r="I54" s="15" t="str">
        <f>IF(A54="","",IF(COUNTIFS('MP내역(적극)'!A:A,A54,'MP내역(적극)'!G:G,"&gt;"&amp;#REF!,'MP내역(적극)'!D:D,"&lt;&gt;"&amp;#REF!,'MP내역(적극)'!D:D,"&lt;&gt;"&amp;#REF!,'MP내역(적극)'!B:B,"&lt;&gt;현금",'MP내역(적극)'!B:B,"&lt;&gt;합계")=0,"O","X"))</f>
        <v/>
      </c>
      <c r="J54" s="15" t="str">
        <f>IF(A54="","",IF(AND(ABS(#REF!-SUMIFS('MP내역(적극)'!G:G,'MP내역(적극)'!A:A,A54,'MP내역(적극)'!F:F,"Y"))&lt;0.001,ABS(#REF!-SUMIFS('MP내역(적극)'!G:G,'MP내역(적극)'!A:A,A54,'MP내역(적극)'!B:B,"&lt;&gt;합계"))&lt;0.001),"O","X"))</f>
        <v/>
      </c>
      <c r="K54" s="15" t="str">
        <f>IF(A54="","",IF(COUNTIFS('MP내역(적극)'!A:A,A54,'MP내역(적극)'!H:H,"X")=0,"O","X"))</f>
        <v/>
      </c>
    </row>
    <row r="55" spans="5:11" s="14" customFormat="1" x14ac:dyDescent="0.3">
      <c r="E55" s="15"/>
      <c r="F55" s="15"/>
      <c r="G55" s="15" t="str">
        <f>IF(A55="","",IFERROR(IF(#REF!&gt;VLOOKUP(A55,'포트변경내역(중립)'!A:C,10,0),"O","X"),""))</f>
        <v/>
      </c>
      <c r="H55" s="15" t="str">
        <f>IF(A55="","",COUNTIFS('MP내역(적극)'!$A:$A,A55)-COUNTIFS('MP내역(적극)'!$A:$A,A55,'MP내역(적극)'!$B:$B,"현금")-COUNTIFS('MP내역(적극)'!$A:$A,A55,'MP내역(적극)'!$B:$B,"예수금")-COUNTIFS('MP내역(적극)'!$A:$A,A55,'MP내역(적극)'!$B:$B,"예탁금")-COUNTIFS('MP내역(적극)'!$A:$A,A55,'MP내역(적극)'!$B:$B,"합계"))</f>
        <v/>
      </c>
      <c r="I55" s="15" t="str">
        <f>IF(A55="","",IF(COUNTIFS('MP내역(적극)'!A:A,A55,'MP내역(적극)'!G:G,"&gt;"&amp;#REF!,'MP내역(적극)'!D:D,"&lt;&gt;"&amp;#REF!,'MP내역(적극)'!D:D,"&lt;&gt;"&amp;#REF!,'MP내역(적극)'!B:B,"&lt;&gt;현금",'MP내역(적극)'!B:B,"&lt;&gt;합계")=0,"O","X"))</f>
        <v/>
      </c>
      <c r="J55" s="15" t="str">
        <f>IF(A55="","",IF(AND(ABS(#REF!-SUMIFS('MP내역(적극)'!G:G,'MP내역(적극)'!A:A,A55,'MP내역(적극)'!F:F,"Y"))&lt;0.001,ABS(#REF!-SUMIFS('MP내역(적극)'!G:G,'MP내역(적극)'!A:A,A55,'MP내역(적극)'!B:B,"&lt;&gt;합계"))&lt;0.001),"O","X"))</f>
        <v/>
      </c>
      <c r="K55" s="15" t="str">
        <f>IF(A55="","",IF(COUNTIFS('MP내역(적극)'!A:A,A55,'MP내역(적극)'!H:H,"X")=0,"O","X"))</f>
        <v/>
      </c>
    </row>
    <row r="56" spans="5:11" s="14" customFormat="1" x14ac:dyDescent="0.3">
      <c r="E56" s="15"/>
      <c r="F56" s="15"/>
      <c r="G56" s="15" t="str">
        <f>IF(A56="","",IFERROR(IF(#REF!&gt;VLOOKUP(A56,'포트변경내역(중립)'!A:C,10,0),"O","X"),""))</f>
        <v/>
      </c>
      <c r="H56" s="15" t="str">
        <f>IF(A56="","",COUNTIFS('MP내역(적극)'!$A:$A,A56)-COUNTIFS('MP내역(적극)'!$A:$A,A56,'MP내역(적극)'!$B:$B,"현금")-COUNTIFS('MP내역(적극)'!$A:$A,A56,'MP내역(적극)'!$B:$B,"예수금")-COUNTIFS('MP내역(적극)'!$A:$A,A56,'MP내역(적극)'!$B:$B,"예탁금")-COUNTIFS('MP내역(적극)'!$A:$A,A56,'MP내역(적극)'!$B:$B,"합계"))</f>
        <v/>
      </c>
      <c r="I56" s="15" t="str">
        <f>IF(A56="","",IF(COUNTIFS('MP내역(적극)'!A:A,A56,'MP내역(적극)'!G:G,"&gt;"&amp;#REF!,'MP내역(적극)'!D:D,"&lt;&gt;"&amp;#REF!,'MP내역(적극)'!D:D,"&lt;&gt;"&amp;#REF!,'MP내역(적극)'!B:B,"&lt;&gt;현금",'MP내역(적극)'!B:B,"&lt;&gt;합계")=0,"O","X"))</f>
        <v/>
      </c>
      <c r="J56" s="15" t="str">
        <f>IF(A56="","",IF(AND(ABS(#REF!-SUMIFS('MP내역(적극)'!G:G,'MP내역(적극)'!A:A,A56,'MP내역(적극)'!F:F,"Y"))&lt;0.001,ABS(#REF!-SUMIFS('MP내역(적극)'!G:G,'MP내역(적극)'!A:A,A56,'MP내역(적극)'!B:B,"&lt;&gt;합계"))&lt;0.001),"O","X"))</f>
        <v/>
      </c>
      <c r="K56" s="15" t="str">
        <f>IF(A56="","",IF(COUNTIFS('MP내역(적극)'!A:A,A56,'MP내역(적극)'!H:H,"X")=0,"O","X"))</f>
        <v/>
      </c>
    </row>
    <row r="57" spans="5:11" s="14" customFormat="1" x14ac:dyDescent="0.3">
      <c r="E57" s="15"/>
      <c r="F57" s="15"/>
      <c r="G57" s="15" t="str">
        <f>IF(A57="","",IFERROR(IF(#REF!&gt;VLOOKUP(A57,'포트변경내역(중립)'!A:C,10,0),"O","X"),""))</f>
        <v/>
      </c>
      <c r="H57" s="15" t="str">
        <f>IF(A57="","",COUNTIFS('MP내역(적극)'!$A:$A,A57)-COUNTIFS('MP내역(적극)'!$A:$A,A57,'MP내역(적극)'!$B:$B,"현금")-COUNTIFS('MP내역(적극)'!$A:$A,A57,'MP내역(적극)'!$B:$B,"예수금")-COUNTIFS('MP내역(적극)'!$A:$A,A57,'MP내역(적극)'!$B:$B,"예탁금")-COUNTIFS('MP내역(적극)'!$A:$A,A57,'MP내역(적극)'!$B:$B,"합계"))</f>
        <v/>
      </c>
      <c r="I57" s="15" t="str">
        <f>IF(A57="","",IF(COUNTIFS('MP내역(적극)'!A:A,A57,'MP내역(적극)'!G:G,"&gt;"&amp;#REF!,'MP내역(적극)'!D:D,"&lt;&gt;"&amp;#REF!,'MP내역(적극)'!D:D,"&lt;&gt;"&amp;#REF!,'MP내역(적극)'!B:B,"&lt;&gt;현금",'MP내역(적극)'!B:B,"&lt;&gt;합계")=0,"O","X"))</f>
        <v/>
      </c>
      <c r="J57" s="15" t="str">
        <f>IF(A57="","",IF(AND(ABS(#REF!-SUMIFS('MP내역(적극)'!G:G,'MP내역(적극)'!A:A,A57,'MP내역(적극)'!F:F,"Y"))&lt;0.001,ABS(#REF!-SUMIFS('MP내역(적극)'!G:G,'MP내역(적극)'!A:A,A57,'MP내역(적극)'!B:B,"&lt;&gt;합계"))&lt;0.001),"O","X"))</f>
        <v/>
      </c>
      <c r="K57" s="15" t="str">
        <f>IF(A57="","",IF(COUNTIFS('MP내역(적극)'!A:A,A57,'MP내역(적극)'!H:H,"X")=0,"O","X"))</f>
        <v/>
      </c>
    </row>
    <row r="58" spans="5:11" s="14" customFormat="1" x14ac:dyDescent="0.3">
      <c r="E58" s="15"/>
      <c r="F58" s="15"/>
      <c r="G58" s="15" t="str">
        <f>IF(A58="","",IFERROR(IF(#REF!&gt;VLOOKUP(A58,'포트변경내역(중립)'!A:C,10,0),"O","X"),""))</f>
        <v/>
      </c>
      <c r="H58" s="15" t="str">
        <f>IF(A58="","",COUNTIFS('MP내역(적극)'!$A:$A,A58)-COUNTIFS('MP내역(적극)'!$A:$A,A58,'MP내역(적극)'!$B:$B,"현금")-COUNTIFS('MP내역(적극)'!$A:$A,A58,'MP내역(적극)'!$B:$B,"예수금")-COUNTIFS('MP내역(적극)'!$A:$A,A58,'MP내역(적극)'!$B:$B,"예탁금")-COUNTIFS('MP내역(적극)'!$A:$A,A58,'MP내역(적극)'!$B:$B,"합계"))</f>
        <v/>
      </c>
      <c r="I58" s="15" t="str">
        <f>IF(A58="","",IF(COUNTIFS('MP내역(적극)'!A:A,A58,'MP내역(적극)'!G:G,"&gt;"&amp;#REF!,'MP내역(적극)'!D:D,"&lt;&gt;"&amp;#REF!,'MP내역(적극)'!D:D,"&lt;&gt;"&amp;#REF!,'MP내역(적극)'!B:B,"&lt;&gt;현금",'MP내역(적극)'!B:B,"&lt;&gt;합계")=0,"O","X"))</f>
        <v/>
      </c>
      <c r="J58" s="15" t="str">
        <f>IF(A58="","",IF(AND(ABS(#REF!-SUMIFS('MP내역(적극)'!G:G,'MP내역(적극)'!A:A,A58,'MP내역(적극)'!F:F,"Y"))&lt;0.001,ABS(#REF!-SUMIFS('MP내역(적극)'!G:G,'MP내역(적극)'!A:A,A58,'MP내역(적극)'!B:B,"&lt;&gt;합계"))&lt;0.001),"O","X"))</f>
        <v/>
      </c>
      <c r="K58" s="15" t="str">
        <f>IF(A58="","",IF(COUNTIFS('MP내역(적극)'!A:A,A58,'MP내역(적극)'!H:H,"X")=0,"O","X"))</f>
        <v/>
      </c>
    </row>
    <row r="59" spans="5:11" s="14" customFormat="1" x14ac:dyDescent="0.3">
      <c r="E59" s="15"/>
      <c r="F59" s="15"/>
      <c r="G59" s="15" t="str">
        <f>IF(A59="","",IFERROR(IF(#REF!&gt;VLOOKUP(A59,'포트변경내역(중립)'!A:C,10,0),"O","X"),""))</f>
        <v/>
      </c>
      <c r="H59" s="15" t="str">
        <f>IF(A59="","",COUNTIFS('MP내역(적극)'!$A:$A,A59)-COUNTIFS('MP내역(적극)'!$A:$A,A59,'MP내역(적극)'!$B:$B,"현금")-COUNTIFS('MP내역(적극)'!$A:$A,A59,'MP내역(적극)'!$B:$B,"예수금")-COUNTIFS('MP내역(적극)'!$A:$A,A59,'MP내역(적극)'!$B:$B,"예탁금")-COUNTIFS('MP내역(적극)'!$A:$A,A59,'MP내역(적극)'!$B:$B,"합계"))</f>
        <v/>
      </c>
      <c r="I59" s="15" t="str">
        <f>IF(A59="","",IF(COUNTIFS('MP내역(적극)'!A:A,A59,'MP내역(적극)'!G:G,"&gt;"&amp;#REF!,'MP내역(적극)'!D:D,"&lt;&gt;"&amp;#REF!,'MP내역(적극)'!D:D,"&lt;&gt;"&amp;#REF!,'MP내역(적극)'!B:B,"&lt;&gt;현금",'MP내역(적극)'!B:B,"&lt;&gt;합계")=0,"O","X"))</f>
        <v/>
      </c>
      <c r="J59" s="15" t="str">
        <f>IF(A59="","",IF(AND(ABS(#REF!-SUMIFS('MP내역(적극)'!G:G,'MP내역(적극)'!A:A,A59,'MP내역(적극)'!F:F,"Y"))&lt;0.001,ABS(#REF!-SUMIFS('MP내역(적극)'!G:G,'MP내역(적극)'!A:A,A59,'MP내역(적극)'!B:B,"&lt;&gt;합계"))&lt;0.001),"O","X"))</f>
        <v/>
      </c>
      <c r="K59" s="15" t="str">
        <f>IF(A59="","",IF(COUNTIFS('MP내역(적극)'!A:A,A59,'MP내역(적극)'!H:H,"X")=0,"O","X"))</f>
        <v/>
      </c>
    </row>
    <row r="60" spans="5:11" s="14" customFormat="1" x14ac:dyDescent="0.3">
      <c r="E60" s="15"/>
      <c r="F60" s="15"/>
      <c r="G60" s="15" t="str">
        <f>IF(A60="","",IFERROR(IF(#REF!&gt;VLOOKUP(A60,'포트변경내역(중립)'!A:C,10,0),"O","X"),""))</f>
        <v/>
      </c>
      <c r="H60" s="15" t="str">
        <f>IF(A60="","",COUNTIFS('MP내역(적극)'!$A:$A,A60)-COUNTIFS('MP내역(적극)'!$A:$A,A60,'MP내역(적극)'!$B:$B,"현금")-COUNTIFS('MP내역(적극)'!$A:$A,A60,'MP내역(적극)'!$B:$B,"예수금")-COUNTIFS('MP내역(적극)'!$A:$A,A60,'MP내역(적극)'!$B:$B,"예탁금")-COUNTIFS('MP내역(적극)'!$A:$A,A60,'MP내역(적극)'!$B:$B,"합계"))</f>
        <v/>
      </c>
      <c r="I60" s="15" t="str">
        <f>IF(A60="","",IF(COUNTIFS('MP내역(적극)'!A:A,A60,'MP내역(적극)'!G:G,"&gt;"&amp;#REF!,'MP내역(적극)'!D:D,"&lt;&gt;"&amp;#REF!,'MP내역(적극)'!D:D,"&lt;&gt;"&amp;#REF!,'MP내역(적극)'!B:B,"&lt;&gt;현금",'MP내역(적극)'!B:B,"&lt;&gt;합계")=0,"O","X"))</f>
        <v/>
      </c>
      <c r="J60" s="15" t="str">
        <f>IF(A60="","",IF(AND(ABS(#REF!-SUMIFS('MP내역(적극)'!G:G,'MP내역(적극)'!A:A,A60,'MP내역(적극)'!F:F,"Y"))&lt;0.001,ABS(#REF!-SUMIFS('MP내역(적극)'!G:G,'MP내역(적극)'!A:A,A60,'MP내역(적극)'!B:B,"&lt;&gt;합계"))&lt;0.001),"O","X"))</f>
        <v/>
      </c>
      <c r="K60" s="15" t="str">
        <f>IF(A60="","",IF(COUNTIFS('MP내역(적극)'!A:A,A60,'MP내역(적극)'!H:H,"X")=0,"O","X"))</f>
        <v/>
      </c>
    </row>
    <row r="61" spans="5:11" s="14" customFormat="1" x14ac:dyDescent="0.3">
      <c r="E61" s="15"/>
      <c r="F61" s="15"/>
      <c r="G61" s="15" t="str">
        <f>IF(A61="","",IFERROR(IF(#REF!&gt;VLOOKUP(A61,'포트변경내역(중립)'!A:C,10,0),"O","X"),""))</f>
        <v/>
      </c>
      <c r="H61" s="15" t="str">
        <f>IF(A61="","",COUNTIFS('MP내역(적극)'!$A:$A,A61)-COUNTIFS('MP내역(적극)'!$A:$A,A61,'MP내역(적극)'!$B:$B,"현금")-COUNTIFS('MP내역(적극)'!$A:$A,A61,'MP내역(적극)'!$B:$B,"예수금")-COUNTIFS('MP내역(적극)'!$A:$A,A61,'MP내역(적극)'!$B:$B,"예탁금")-COUNTIFS('MP내역(적극)'!$A:$A,A61,'MP내역(적극)'!$B:$B,"합계"))</f>
        <v/>
      </c>
      <c r="I61" s="15" t="str">
        <f>IF(A61="","",IF(COUNTIFS('MP내역(적극)'!A:A,A61,'MP내역(적극)'!G:G,"&gt;"&amp;#REF!,'MP내역(적극)'!D:D,"&lt;&gt;"&amp;#REF!,'MP내역(적극)'!D:D,"&lt;&gt;"&amp;#REF!,'MP내역(적극)'!B:B,"&lt;&gt;현금",'MP내역(적극)'!B:B,"&lt;&gt;합계")=0,"O","X"))</f>
        <v/>
      </c>
      <c r="J61" s="15" t="str">
        <f>IF(A61="","",IF(AND(ABS(#REF!-SUMIFS('MP내역(적극)'!G:G,'MP내역(적극)'!A:A,A61,'MP내역(적극)'!F:F,"Y"))&lt;0.001,ABS(#REF!-SUMIFS('MP내역(적극)'!G:G,'MP내역(적극)'!A:A,A61,'MP내역(적극)'!B:B,"&lt;&gt;합계"))&lt;0.001),"O","X"))</f>
        <v/>
      </c>
      <c r="K61" s="15" t="str">
        <f>IF(A61="","",IF(COUNTIFS('MP내역(적극)'!A:A,A61,'MP내역(적극)'!H:H,"X")=0,"O","X"))</f>
        <v/>
      </c>
    </row>
    <row r="62" spans="5:11" s="14" customFormat="1" x14ac:dyDescent="0.3">
      <c r="E62" s="15"/>
      <c r="F62" s="15"/>
      <c r="G62" s="15" t="str">
        <f>IF(A62="","",IFERROR(IF(#REF!&gt;VLOOKUP(A62,'포트변경내역(중립)'!A:C,10,0),"O","X"),""))</f>
        <v/>
      </c>
      <c r="H62" s="15" t="str">
        <f>IF(A62="","",COUNTIFS('MP내역(적극)'!$A:$A,A62)-COUNTIFS('MP내역(적극)'!$A:$A,A62,'MP내역(적극)'!$B:$B,"현금")-COUNTIFS('MP내역(적극)'!$A:$A,A62,'MP내역(적극)'!$B:$B,"예수금")-COUNTIFS('MP내역(적극)'!$A:$A,A62,'MP내역(적극)'!$B:$B,"예탁금")-COUNTIFS('MP내역(적극)'!$A:$A,A62,'MP내역(적극)'!$B:$B,"합계"))</f>
        <v/>
      </c>
      <c r="I62" s="15" t="str">
        <f>IF(A62="","",IF(COUNTIFS('MP내역(적극)'!A:A,A62,'MP내역(적극)'!G:G,"&gt;"&amp;#REF!,'MP내역(적극)'!D:D,"&lt;&gt;"&amp;#REF!,'MP내역(적극)'!D:D,"&lt;&gt;"&amp;#REF!,'MP내역(적극)'!B:B,"&lt;&gt;현금",'MP내역(적극)'!B:B,"&lt;&gt;합계")=0,"O","X"))</f>
        <v/>
      </c>
      <c r="J62" s="15" t="str">
        <f>IF(A62="","",IF(AND(ABS(#REF!-SUMIFS('MP내역(적극)'!G:G,'MP내역(적극)'!A:A,A62,'MP내역(적극)'!F:F,"Y"))&lt;0.001,ABS(#REF!-SUMIFS('MP내역(적극)'!G:G,'MP내역(적극)'!A:A,A62,'MP내역(적극)'!B:B,"&lt;&gt;합계"))&lt;0.001),"O","X"))</f>
        <v/>
      </c>
      <c r="K62" s="15" t="str">
        <f>IF(A62="","",IF(COUNTIFS('MP내역(적극)'!A:A,A62,'MP내역(적극)'!H:H,"X")=0,"O","X"))</f>
        <v/>
      </c>
    </row>
    <row r="63" spans="5:11" s="14" customFormat="1" x14ac:dyDescent="0.3">
      <c r="E63" s="15"/>
      <c r="F63" s="15"/>
      <c r="G63" s="15" t="str">
        <f>IF(A63="","",IFERROR(IF(#REF!&gt;VLOOKUP(A63,'포트변경내역(중립)'!A:C,10,0),"O","X"),""))</f>
        <v/>
      </c>
      <c r="H63" s="15" t="str">
        <f>IF(A63="","",COUNTIFS('MP내역(적극)'!$A:$A,A63)-COUNTIFS('MP내역(적극)'!$A:$A,A63,'MP내역(적극)'!$B:$B,"현금")-COUNTIFS('MP내역(적극)'!$A:$A,A63,'MP내역(적극)'!$B:$B,"예수금")-COUNTIFS('MP내역(적극)'!$A:$A,A63,'MP내역(적극)'!$B:$B,"예탁금")-COUNTIFS('MP내역(적극)'!$A:$A,A63,'MP내역(적극)'!$B:$B,"합계"))</f>
        <v/>
      </c>
      <c r="I63" s="15" t="str">
        <f>IF(A63="","",IF(COUNTIFS('MP내역(적극)'!A:A,A63,'MP내역(적극)'!G:G,"&gt;"&amp;#REF!,'MP내역(적극)'!D:D,"&lt;&gt;"&amp;#REF!,'MP내역(적극)'!D:D,"&lt;&gt;"&amp;#REF!,'MP내역(적극)'!B:B,"&lt;&gt;현금",'MP내역(적극)'!B:B,"&lt;&gt;합계")=0,"O","X"))</f>
        <v/>
      </c>
      <c r="J63" s="15" t="str">
        <f>IF(A63="","",IF(AND(ABS(#REF!-SUMIFS('MP내역(적극)'!G:G,'MP내역(적극)'!A:A,A63,'MP내역(적극)'!F:F,"Y"))&lt;0.001,ABS(#REF!-SUMIFS('MP내역(적극)'!G:G,'MP내역(적극)'!A:A,A63,'MP내역(적극)'!B:B,"&lt;&gt;합계"))&lt;0.001),"O","X"))</f>
        <v/>
      </c>
      <c r="K63" s="15" t="str">
        <f>IF(A63="","",IF(COUNTIFS('MP내역(적극)'!A:A,A63,'MP내역(적극)'!H:H,"X")=0,"O","X"))</f>
        <v/>
      </c>
    </row>
    <row r="64" spans="5:11" s="14" customFormat="1" x14ac:dyDescent="0.3">
      <c r="E64" s="15"/>
      <c r="F64" s="15"/>
      <c r="G64" s="15" t="str">
        <f>IF(A64="","",IFERROR(IF(#REF!&gt;VLOOKUP(A64,'포트변경내역(중립)'!A:C,10,0),"O","X"),""))</f>
        <v/>
      </c>
      <c r="H64" s="15" t="str">
        <f>IF(A64="","",COUNTIFS('MP내역(적극)'!$A:$A,A64)-COUNTIFS('MP내역(적극)'!$A:$A,A64,'MP내역(적극)'!$B:$B,"현금")-COUNTIFS('MP내역(적극)'!$A:$A,A64,'MP내역(적극)'!$B:$B,"예수금")-COUNTIFS('MP내역(적극)'!$A:$A,A64,'MP내역(적극)'!$B:$B,"예탁금")-COUNTIFS('MP내역(적극)'!$A:$A,A64,'MP내역(적극)'!$B:$B,"합계"))</f>
        <v/>
      </c>
      <c r="I64" s="15" t="str">
        <f>IF(A64="","",IF(COUNTIFS('MP내역(적극)'!A:A,A64,'MP내역(적극)'!G:G,"&gt;"&amp;#REF!,'MP내역(적극)'!D:D,"&lt;&gt;"&amp;#REF!,'MP내역(적극)'!D:D,"&lt;&gt;"&amp;#REF!,'MP내역(적극)'!B:B,"&lt;&gt;현금",'MP내역(적극)'!B:B,"&lt;&gt;합계")=0,"O","X"))</f>
        <v/>
      </c>
      <c r="J64" s="15" t="str">
        <f>IF(A64="","",IF(AND(ABS(#REF!-SUMIFS('MP내역(적극)'!G:G,'MP내역(적극)'!A:A,A64,'MP내역(적극)'!F:F,"Y"))&lt;0.001,ABS(#REF!-SUMIFS('MP내역(적극)'!G:G,'MP내역(적극)'!A:A,A64,'MP내역(적극)'!B:B,"&lt;&gt;합계"))&lt;0.001),"O","X"))</f>
        <v/>
      </c>
      <c r="K64" s="15" t="str">
        <f>IF(A64="","",IF(COUNTIFS('MP내역(적극)'!A:A,A64,'MP내역(적극)'!H:H,"X")=0,"O","X"))</f>
        <v/>
      </c>
    </row>
    <row r="65" spans="5:11" s="14" customFormat="1" x14ac:dyDescent="0.3">
      <c r="E65" s="15"/>
      <c r="F65" s="15"/>
      <c r="G65" s="15" t="str">
        <f>IF(A65="","",IFERROR(IF(#REF!&gt;VLOOKUP(A65,'포트변경내역(중립)'!A:C,10,0),"O","X"),""))</f>
        <v/>
      </c>
      <c r="H65" s="15" t="str">
        <f>IF(A65="","",COUNTIFS('MP내역(적극)'!$A:$A,A65)-COUNTIFS('MP내역(적극)'!$A:$A,A65,'MP내역(적극)'!$B:$B,"현금")-COUNTIFS('MP내역(적극)'!$A:$A,A65,'MP내역(적극)'!$B:$B,"예수금")-COUNTIFS('MP내역(적극)'!$A:$A,A65,'MP내역(적극)'!$B:$B,"예탁금")-COUNTIFS('MP내역(적극)'!$A:$A,A65,'MP내역(적극)'!$B:$B,"합계"))</f>
        <v/>
      </c>
      <c r="I65" s="15" t="str">
        <f>IF(A65="","",IF(COUNTIFS('MP내역(적극)'!A:A,A65,'MP내역(적극)'!G:G,"&gt;"&amp;#REF!,'MP내역(적극)'!D:D,"&lt;&gt;"&amp;#REF!,'MP내역(적극)'!D:D,"&lt;&gt;"&amp;#REF!,'MP내역(적극)'!B:B,"&lt;&gt;현금",'MP내역(적극)'!B:B,"&lt;&gt;합계")=0,"O","X"))</f>
        <v/>
      </c>
      <c r="J65" s="15" t="str">
        <f>IF(A65="","",IF(AND(ABS(#REF!-SUMIFS('MP내역(적극)'!G:G,'MP내역(적극)'!A:A,A65,'MP내역(적극)'!F:F,"Y"))&lt;0.001,ABS(#REF!-SUMIFS('MP내역(적극)'!G:G,'MP내역(적극)'!A:A,A65,'MP내역(적극)'!B:B,"&lt;&gt;합계"))&lt;0.001),"O","X"))</f>
        <v/>
      </c>
      <c r="K65" s="15" t="str">
        <f>IF(A65="","",IF(COUNTIFS('MP내역(적극)'!A:A,A65,'MP내역(적극)'!H:H,"X")=0,"O","X"))</f>
        <v/>
      </c>
    </row>
    <row r="66" spans="5:11" s="14" customFormat="1" x14ac:dyDescent="0.3">
      <c r="E66" s="15"/>
      <c r="F66" s="15"/>
      <c r="G66" s="15" t="str">
        <f>IF(A66="","",IFERROR(IF(#REF!&gt;VLOOKUP(A66,'포트변경내역(중립)'!A:C,10,0),"O","X"),""))</f>
        <v/>
      </c>
      <c r="H66" s="15" t="str">
        <f>IF(A66="","",COUNTIFS('MP내역(적극)'!$A:$A,A66)-COUNTIFS('MP내역(적극)'!$A:$A,A66,'MP내역(적극)'!$B:$B,"현금")-COUNTIFS('MP내역(적극)'!$A:$A,A66,'MP내역(적극)'!$B:$B,"예수금")-COUNTIFS('MP내역(적극)'!$A:$A,A66,'MP내역(적극)'!$B:$B,"예탁금")-COUNTIFS('MP내역(적극)'!$A:$A,A66,'MP내역(적극)'!$B:$B,"합계"))</f>
        <v/>
      </c>
      <c r="I66" s="15" t="str">
        <f>IF(A66="","",IF(COUNTIFS('MP내역(적극)'!A:A,A66,'MP내역(적극)'!G:G,"&gt;"&amp;#REF!,'MP내역(적극)'!D:D,"&lt;&gt;"&amp;#REF!,'MP내역(적극)'!D:D,"&lt;&gt;"&amp;#REF!,'MP내역(적극)'!B:B,"&lt;&gt;현금",'MP내역(적극)'!B:B,"&lt;&gt;합계")=0,"O","X"))</f>
        <v/>
      </c>
      <c r="J66" s="15" t="str">
        <f>IF(A66="","",IF(AND(ABS(#REF!-SUMIFS('MP내역(적극)'!G:G,'MP내역(적극)'!A:A,A66,'MP내역(적극)'!F:F,"Y"))&lt;0.001,ABS(#REF!-SUMIFS('MP내역(적극)'!G:G,'MP내역(적극)'!A:A,A66,'MP내역(적극)'!B:B,"&lt;&gt;합계"))&lt;0.001),"O","X"))</f>
        <v/>
      </c>
      <c r="K66" s="15" t="str">
        <f>IF(A66="","",IF(COUNTIFS('MP내역(적극)'!A:A,A66,'MP내역(적극)'!H:H,"X")=0,"O","X"))</f>
        <v/>
      </c>
    </row>
    <row r="67" spans="5:11" s="14" customFormat="1" x14ac:dyDescent="0.3">
      <c r="E67" s="15"/>
      <c r="F67" s="15"/>
      <c r="G67" s="15" t="str">
        <f>IF(A67="","",IFERROR(IF(#REF!&gt;VLOOKUP(A67,'포트변경내역(중립)'!A:C,10,0),"O","X"),""))</f>
        <v/>
      </c>
      <c r="H67" s="15" t="str">
        <f>IF(A67="","",COUNTIFS('MP내역(적극)'!$A:$A,A67)-COUNTIFS('MP내역(적극)'!$A:$A,A67,'MP내역(적극)'!$B:$B,"현금")-COUNTIFS('MP내역(적극)'!$A:$A,A67,'MP내역(적극)'!$B:$B,"예수금")-COUNTIFS('MP내역(적극)'!$A:$A,A67,'MP내역(적극)'!$B:$B,"예탁금")-COUNTIFS('MP내역(적극)'!$A:$A,A67,'MP내역(적극)'!$B:$B,"합계"))</f>
        <v/>
      </c>
      <c r="I67" s="15" t="str">
        <f>IF(A67="","",IF(COUNTIFS('MP내역(적극)'!A:A,A67,'MP내역(적극)'!G:G,"&gt;"&amp;#REF!,'MP내역(적극)'!D:D,"&lt;&gt;"&amp;#REF!,'MP내역(적극)'!D:D,"&lt;&gt;"&amp;#REF!,'MP내역(적극)'!B:B,"&lt;&gt;현금",'MP내역(적극)'!B:B,"&lt;&gt;합계")=0,"O","X"))</f>
        <v/>
      </c>
      <c r="J67" s="15" t="str">
        <f>IF(A67="","",IF(AND(ABS(#REF!-SUMIFS('MP내역(적극)'!G:G,'MP내역(적극)'!A:A,A67,'MP내역(적극)'!F:F,"Y"))&lt;0.001,ABS(#REF!-SUMIFS('MP내역(적극)'!G:G,'MP내역(적극)'!A:A,A67,'MP내역(적극)'!B:B,"&lt;&gt;합계"))&lt;0.001),"O","X"))</f>
        <v/>
      </c>
      <c r="K67" s="15" t="str">
        <f>IF(A67="","",IF(COUNTIFS('MP내역(적극)'!A:A,A67,'MP내역(적극)'!H:H,"X")=0,"O","X"))</f>
        <v/>
      </c>
    </row>
    <row r="68" spans="5:11" s="14" customFormat="1" x14ac:dyDescent="0.3">
      <c r="E68" s="15"/>
      <c r="F68" s="15"/>
      <c r="G68" s="15" t="str">
        <f>IF(A68="","",IFERROR(IF(#REF!&gt;VLOOKUP(A68,'포트변경내역(중립)'!A:C,10,0),"O","X"),""))</f>
        <v/>
      </c>
      <c r="H68" s="15" t="str">
        <f>IF(A68="","",COUNTIFS('MP내역(적극)'!$A:$A,A68)-COUNTIFS('MP내역(적극)'!$A:$A,A68,'MP내역(적극)'!$B:$B,"현금")-COUNTIFS('MP내역(적극)'!$A:$A,A68,'MP내역(적극)'!$B:$B,"예수금")-COUNTIFS('MP내역(적극)'!$A:$A,A68,'MP내역(적극)'!$B:$B,"예탁금")-COUNTIFS('MP내역(적극)'!$A:$A,A68,'MP내역(적극)'!$B:$B,"합계"))</f>
        <v/>
      </c>
      <c r="I68" s="15" t="str">
        <f>IF(A68="","",IF(COUNTIFS('MP내역(적극)'!A:A,A68,'MP내역(적극)'!G:G,"&gt;"&amp;#REF!,'MP내역(적극)'!D:D,"&lt;&gt;"&amp;#REF!,'MP내역(적극)'!D:D,"&lt;&gt;"&amp;#REF!,'MP내역(적극)'!B:B,"&lt;&gt;현금",'MP내역(적극)'!B:B,"&lt;&gt;합계")=0,"O","X"))</f>
        <v/>
      </c>
      <c r="J68" s="15" t="str">
        <f>IF(A68="","",IF(AND(ABS(#REF!-SUMIFS('MP내역(적극)'!G:G,'MP내역(적극)'!A:A,A68,'MP내역(적극)'!F:F,"Y"))&lt;0.001,ABS(#REF!-SUMIFS('MP내역(적극)'!G:G,'MP내역(적극)'!A:A,A68,'MP내역(적극)'!B:B,"&lt;&gt;합계"))&lt;0.001),"O","X"))</f>
        <v/>
      </c>
      <c r="K68" s="15" t="str">
        <f>IF(A68="","",IF(COUNTIFS('MP내역(적극)'!A:A,A68,'MP내역(적극)'!H:H,"X")=0,"O","X"))</f>
        <v/>
      </c>
    </row>
    <row r="69" spans="5:11" s="14" customFormat="1" x14ac:dyDescent="0.3">
      <c r="E69" s="15"/>
      <c r="F69" s="15"/>
      <c r="G69" s="15" t="str">
        <f>IF(A69="","",IFERROR(IF(#REF!&gt;VLOOKUP(A69,'포트변경내역(중립)'!A:C,10,0),"O","X"),""))</f>
        <v/>
      </c>
      <c r="H69" s="15" t="str">
        <f>IF(A69="","",COUNTIFS('MP내역(적극)'!$A:$A,A69)-COUNTIFS('MP내역(적극)'!$A:$A,A69,'MP내역(적극)'!$B:$B,"현금")-COUNTIFS('MP내역(적극)'!$A:$A,A69,'MP내역(적극)'!$B:$B,"예수금")-COUNTIFS('MP내역(적극)'!$A:$A,A69,'MP내역(적극)'!$B:$B,"예탁금")-COUNTIFS('MP내역(적극)'!$A:$A,A69,'MP내역(적극)'!$B:$B,"합계"))</f>
        <v/>
      </c>
      <c r="I69" s="15" t="str">
        <f>IF(A69="","",IF(COUNTIFS('MP내역(적극)'!A:A,A69,'MP내역(적극)'!G:G,"&gt;"&amp;#REF!,'MP내역(적극)'!D:D,"&lt;&gt;"&amp;#REF!,'MP내역(적극)'!D:D,"&lt;&gt;"&amp;#REF!,'MP내역(적극)'!B:B,"&lt;&gt;현금",'MP내역(적극)'!B:B,"&lt;&gt;합계")=0,"O","X"))</f>
        <v/>
      </c>
      <c r="J69" s="15" t="str">
        <f>IF(A69="","",IF(AND(ABS(#REF!-SUMIFS('MP내역(적극)'!G:G,'MP내역(적극)'!A:A,A69,'MP내역(적극)'!F:F,"Y"))&lt;0.001,ABS(#REF!-SUMIFS('MP내역(적극)'!G:G,'MP내역(적극)'!A:A,A69,'MP내역(적극)'!B:B,"&lt;&gt;합계"))&lt;0.001),"O","X"))</f>
        <v/>
      </c>
      <c r="K69" s="15" t="str">
        <f>IF(A69="","",IF(COUNTIFS('MP내역(적극)'!A:A,A69,'MP내역(적극)'!H:H,"X")=0,"O","X"))</f>
        <v/>
      </c>
    </row>
    <row r="70" spans="5:11" s="14" customFormat="1" x14ac:dyDescent="0.3">
      <c r="E70" s="15"/>
      <c r="F70" s="15"/>
      <c r="G70" s="15" t="str">
        <f>IF(A70="","",IFERROR(IF(#REF!&gt;VLOOKUP(A70,'포트변경내역(중립)'!A:C,10,0),"O","X"),""))</f>
        <v/>
      </c>
      <c r="H70" s="15" t="str">
        <f>IF(A70="","",COUNTIFS('MP내역(적극)'!$A:$A,A70)-COUNTIFS('MP내역(적극)'!$A:$A,A70,'MP내역(적극)'!$B:$B,"현금")-COUNTIFS('MP내역(적극)'!$A:$A,A70,'MP내역(적극)'!$B:$B,"예수금")-COUNTIFS('MP내역(적극)'!$A:$A,A70,'MP내역(적극)'!$B:$B,"예탁금")-COUNTIFS('MP내역(적극)'!$A:$A,A70,'MP내역(적극)'!$B:$B,"합계"))</f>
        <v/>
      </c>
      <c r="I70" s="15" t="str">
        <f>IF(A70="","",IF(COUNTIFS('MP내역(적극)'!A:A,A70,'MP내역(적극)'!G:G,"&gt;"&amp;#REF!,'MP내역(적극)'!D:D,"&lt;&gt;"&amp;#REF!,'MP내역(적극)'!D:D,"&lt;&gt;"&amp;#REF!,'MP내역(적극)'!B:B,"&lt;&gt;현금",'MP내역(적극)'!B:B,"&lt;&gt;합계")=0,"O","X"))</f>
        <v/>
      </c>
      <c r="J70" s="15" t="str">
        <f>IF(A70="","",IF(AND(ABS(#REF!-SUMIFS('MP내역(적극)'!G:G,'MP내역(적극)'!A:A,A70,'MP내역(적극)'!F:F,"Y"))&lt;0.001,ABS(#REF!-SUMIFS('MP내역(적극)'!G:G,'MP내역(적극)'!A:A,A70,'MP내역(적극)'!B:B,"&lt;&gt;합계"))&lt;0.001),"O","X"))</f>
        <v/>
      </c>
      <c r="K70" s="15" t="str">
        <f>IF(A70="","",IF(COUNTIFS('MP내역(적극)'!A:A,A70,'MP내역(적극)'!H:H,"X")=0,"O","X"))</f>
        <v/>
      </c>
    </row>
    <row r="71" spans="5:11" s="14" customFormat="1" x14ac:dyDescent="0.3">
      <c r="E71" s="15"/>
      <c r="F71" s="15"/>
      <c r="G71" s="15" t="str">
        <f>IF(A71="","",IFERROR(IF(#REF!&gt;VLOOKUP(A71,'포트변경내역(중립)'!A:C,10,0),"O","X"),""))</f>
        <v/>
      </c>
      <c r="H71" s="15" t="str">
        <f>IF(A71="","",COUNTIFS('MP내역(적극)'!$A:$A,A71)-COUNTIFS('MP내역(적극)'!$A:$A,A71,'MP내역(적극)'!$B:$B,"현금")-COUNTIFS('MP내역(적극)'!$A:$A,A71,'MP내역(적극)'!$B:$B,"예수금")-COUNTIFS('MP내역(적극)'!$A:$A,A71,'MP내역(적극)'!$B:$B,"예탁금")-COUNTIFS('MP내역(적극)'!$A:$A,A71,'MP내역(적극)'!$B:$B,"합계"))</f>
        <v/>
      </c>
      <c r="I71" s="15" t="str">
        <f>IF(A71="","",IF(COUNTIFS('MP내역(적극)'!A:A,A71,'MP내역(적극)'!G:G,"&gt;"&amp;#REF!,'MP내역(적극)'!D:D,"&lt;&gt;"&amp;#REF!,'MP내역(적극)'!D:D,"&lt;&gt;"&amp;#REF!,'MP내역(적극)'!B:B,"&lt;&gt;현금",'MP내역(적극)'!B:B,"&lt;&gt;합계")=0,"O","X"))</f>
        <v/>
      </c>
      <c r="J71" s="15" t="str">
        <f>IF(A71="","",IF(AND(ABS(#REF!-SUMIFS('MP내역(적극)'!G:G,'MP내역(적극)'!A:A,A71,'MP내역(적극)'!F:F,"Y"))&lt;0.001,ABS(#REF!-SUMIFS('MP내역(적극)'!G:G,'MP내역(적극)'!A:A,A71,'MP내역(적극)'!B:B,"&lt;&gt;합계"))&lt;0.001),"O","X"))</f>
        <v/>
      </c>
      <c r="K71" s="15" t="str">
        <f>IF(A71="","",IF(COUNTIFS('MP내역(적극)'!A:A,A71,'MP내역(적극)'!H:H,"X")=0,"O","X"))</f>
        <v/>
      </c>
    </row>
    <row r="72" spans="5:11" s="14" customFormat="1" x14ac:dyDescent="0.3">
      <c r="E72" s="15"/>
      <c r="F72" s="15"/>
      <c r="G72" s="15" t="str">
        <f>IF(A72="","",IFERROR(IF(#REF!&gt;VLOOKUP(A72,'포트변경내역(중립)'!A:C,10,0),"O","X"),""))</f>
        <v/>
      </c>
      <c r="H72" s="15" t="str">
        <f>IF(A72="","",COUNTIFS('MP내역(적극)'!$A:$A,A72)-COUNTIFS('MP내역(적극)'!$A:$A,A72,'MP내역(적극)'!$B:$B,"현금")-COUNTIFS('MP내역(적극)'!$A:$A,A72,'MP내역(적극)'!$B:$B,"예수금")-COUNTIFS('MP내역(적극)'!$A:$A,A72,'MP내역(적극)'!$B:$B,"예탁금")-COUNTIFS('MP내역(적극)'!$A:$A,A72,'MP내역(적극)'!$B:$B,"합계"))</f>
        <v/>
      </c>
      <c r="I72" s="15" t="str">
        <f>IF(A72="","",IF(COUNTIFS('MP내역(적극)'!A:A,A72,'MP내역(적극)'!G:G,"&gt;"&amp;#REF!,'MP내역(적극)'!D:D,"&lt;&gt;"&amp;#REF!,'MP내역(적극)'!D:D,"&lt;&gt;"&amp;#REF!,'MP내역(적극)'!B:B,"&lt;&gt;현금",'MP내역(적극)'!B:B,"&lt;&gt;합계")=0,"O","X"))</f>
        <v/>
      </c>
      <c r="J72" s="15" t="str">
        <f>IF(A72="","",IF(AND(ABS(#REF!-SUMIFS('MP내역(적극)'!G:G,'MP내역(적극)'!A:A,A72,'MP내역(적극)'!F:F,"Y"))&lt;0.001,ABS(#REF!-SUMIFS('MP내역(적극)'!G:G,'MP내역(적극)'!A:A,A72,'MP내역(적극)'!B:B,"&lt;&gt;합계"))&lt;0.001),"O","X"))</f>
        <v/>
      </c>
      <c r="K72" s="15" t="str">
        <f>IF(A72="","",IF(COUNTIFS('MP내역(적극)'!A:A,A72,'MP내역(적극)'!H:H,"X")=0,"O","X"))</f>
        <v/>
      </c>
    </row>
    <row r="73" spans="5:11" s="14" customFormat="1" x14ac:dyDescent="0.3">
      <c r="E73" s="15"/>
      <c r="F73" s="15"/>
      <c r="G73" s="15" t="str">
        <f>IF(A73="","",IFERROR(IF(#REF!&gt;VLOOKUP(A73,'포트변경내역(중립)'!A:C,10,0),"O","X"),""))</f>
        <v/>
      </c>
      <c r="H73" s="15" t="str">
        <f>IF(A73="","",COUNTIFS('MP내역(적극)'!$A:$A,A73)-COUNTIFS('MP내역(적극)'!$A:$A,A73,'MP내역(적극)'!$B:$B,"현금")-COUNTIFS('MP내역(적극)'!$A:$A,A73,'MP내역(적극)'!$B:$B,"예수금")-COUNTIFS('MP내역(적극)'!$A:$A,A73,'MP내역(적극)'!$B:$B,"예탁금")-COUNTIFS('MP내역(적극)'!$A:$A,A73,'MP내역(적극)'!$B:$B,"합계"))</f>
        <v/>
      </c>
      <c r="I73" s="15" t="str">
        <f>IF(A73="","",IF(COUNTIFS('MP내역(적극)'!A:A,A73,'MP내역(적극)'!G:G,"&gt;"&amp;#REF!,'MP내역(적극)'!D:D,"&lt;&gt;"&amp;#REF!,'MP내역(적극)'!D:D,"&lt;&gt;"&amp;#REF!,'MP내역(적극)'!B:B,"&lt;&gt;현금",'MP내역(적극)'!B:B,"&lt;&gt;합계")=0,"O","X"))</f>
        <v/>
      </c>
      <c r="J73" s="15" t="str">
        <f>IF(A73="","",IF(AND(ABS(#REF!-SUMIFS('MP내역(적극)'!G:G,'MP내역(적극)'!A:A,A73,'MP내역(적극)'!F:F,"Y"))&lt;0.001,ABS(#REF!-SUMIFS('MP내역(적극)'!G:G,'MP내역(적극)'!A:A,A73,'MP내역(적극)'!B:B,"&lt;&gt;합계"))&lt;0.001),"O","X"))</f>
        <v/>
      </c>
      <c r="K73" s="15" t="str">
        <f>IF(A73="","",IF(COUNTIFS('MP내역(적극)'!A:A,A73,'MP내역(적극)'!H:H,"X")=0,"O","X"))</f>
        <v/>
      </c>
    </row>
    <row r="74" spans="5:11" s="14" customFormat="1" x14ac:dyDescent="0.3">
      <c r="E74" s="15"/>
      <c r="F74" s="15"/>
      <c r="G74" s="15" t="str">
        <f>IF(A74="","",IFERROR(IF(#REF!&gt;VLOOKUP(A74,'포트변경내역(중립)'!A:C,10,0),"O","X"),""))</f>
        <v/>
      </c>
      <c r="H74" s="15" t="str">
        <f>IF(A74="","",COUNTIFS('MP내역(적극)'!$A:$A,A74)-COUNTIFS('MP내역(적극)'!$A:$A,A74,'MP내역(적극)'!$B:$B,"현금")-COUNTIFS('MP내역(적극)'!$A:$A,A74,'MP내역(적극)'!$B:$B,"예수금")-COUNTIFS('MP내역(적극)'!$A:$A,A74,'MP내역(적극)'!$B:$B,"예탁금")-COUNTIFS('MP내역(적극)'!$A:$A,A74,'MP내역(적극)'!$B:$B,"합계"))</f>
        <v/>
      </c>
      <c r="I74" s="15" t="str">
        <f>IF(A74="","",IF(COUNTIFS('MP내역(적극)'!A:A,A74,'MP내역(적극)'!G:G,"&gt;"&amp;#REF!,'MP내역(적극)'!D:D,"&lt;&gt;"&amp;#REF!,'MP내역(적극)'!D:D,"&lt;&gt;"&amp;#REF!,'MP내역(적극)'!B:B,"&lt;&gt;현금",'MP내역(적극)'!B:B,"&lt;&gt;합계")=0,"O","X"))</f>
        <v/>
      </c>
      <c r="J74" s="15" t="str">
        <f>IF(A74="","",IF(AND(ABS(#REF!-SUMIFS('MP내역(적극)'!G:G,'MP내역(적극)'!A:A,A74,'MP내역(적극)'!F:F,"Y"))&lt;0.001,ABS(#REF!-SUMIFS('MP내역(적극)'!G:G,'MP내역(적극)'!A:A,A74,'MP내역(적극)'!B:B,"&lt;&gt;합계"))&lt;0.001),"O","X"))</f>
        <v/>
      </c>
      <c r="K74" s="15" t="str">
        <f>IF(A74="","",IF(COUNTIFS('MP내역(적극)'!A:A,A74,'MP내역(적극)'!H:H,"X")=0,"O","X"))</f>
        <v/>
      </c>
    </row>
    <row r="75" spans="5:11" s="14" customFormat="1" x14ac:dyDescent="0.3">
      <c r="E75" s="15"/>
      <c r="F75" s="15"/>
      <c r="G75" s="15" t="str">
        <f>IF(A75="","",IFERROR(IF(#REF!&gt;VLOOKUP(A75,'포트변경내역(중립)'!A:C,10,0),"O","X"),""))</f>
        <v/>
      </c>
      <c r="H75" s="15" t="str">
        <f>IF(A75="","",COUNTIFS('MP내역(적극)'!$A:$A,A75)-COUNTIFS('MP내역(적극)'!$A:$A,A75,'MP내역(적극)'!$B:$B,"현금")-COUNTIFS('MP내역(적극)'!$A:$A,A75,'MP내역(적극)'!$B:$B,"예수금")-COUNTIFS('MP내역(적극)'!$A:$A,A75,'MP내역(적극)'!$B:$B,"예탁금")-COUNTIFS('MP내역(적극)'!$A:$A,A75,'MP내역(적극)'!$B:$B,"합계"))</f>
        <v/>
      </c>
      <c r="I75" s="15" t="str">
        <f>IF(A75="","",IF(COUNTIFS('MP내역(적극)'!A:A,A75,'MP내역(적극)'!G:G,"&gt;"&amp;#REF!,'MP내역(적극)'!D:D,"&lt;&gt;"&amp;#REF!,'MP내역(적극)'!D:D,"&lt;&gt;"&amp;#REF!,'MP내역(적극)'!B:B,"&lt;&gt;현금",'MP내역(적극)'!B:B,"&lt;&gt;합계")=0,"O","X"))</f>
        <v/>
      </c>
      <c r="J75" s="15" t="str">
        <f>IF(A75="","",IF(AND(ABS(#REF!-SUMIFS('MP내역(적극)'!G:G,'MP내역(적극)'!A:A,A75,'MP내역(적극)'!F:F,"Y"))&lt;0.001,ABS(#REF!-SUMIFS('MP내역(적극)'!G:G,'MP내역(적극)'!A:A,A75,'MP내역(적극)'!B:B,"&lt;&gt;합계"))&lt;0.001),"O","X"))</f>
        <v/>
      </c>
      <c r="K75" s="15" t="str">
        <f>IF(A75="","",IF(COUNTIFS('MP내역(적극)'!A:A,A75,'MP내역(적극)'!H:H,"X")=0,"O","X"))</f>
        <v/>
      </c>
    </row>
    <row r="76" spans="5:11" s="14" customFormat="1" x14ac:dyDescent="0.3">
      <c r="E76" s="15"/>
      <c r="F76" s="15"/>
      <c r="G76" s="15" t="str">
        <f>IF(A76="","",IFERROR(IF(#REF!&gt;VLOOKUP(A76,'포트변경내역(중립)'!A:C,10,0),"O","X"),""))</f>
        <v/>
      </c>
      <c r="H76" s="15" t="str">
        <f>IF(A76="","",COUNTIFS('MP내역(적극)'!$A:$A,A76)-COUNTIFS('MP내역(적극)'!$A:$A,A76,'MP내역(적극)'!$B:$B,"현금")-COUNTIFS('MP내역(적극)'!$A:$A,A76,'MP내역(적극)'!$B:$B,"예수금")-COUNTIFS('MP내역(적극)'!$A:$A,A76,'MP내역(적극)'!$B:$B,"예탁금")-COUNTIFS('MP내역(적극)'!$A:$A,A76,'MP내역(적극)'!$B:$B,"합계"))</f>
        <v/>
      </c>
      <c r="I76" s="15" t="str">
        <f>IF(A76="","",IF(COUNTIFS('MP내역(적극)'!A:A,A76,'MP내역(적극)'!G:G,"&gt;"&amp;#REF!,'MP내역(적극)'!D:D,"&lt;&gt;"&amp;#REF!,'MP내역(적극)'!D:D,"&lt;&gt;"&amp;#REF!,'MP내역(적극)'!B:B,"&lt;&gt;현금",'MP내역(적극)'!B:B,"&lt;&gt;합계")=0,"O","X"))</f>
        <v/>
      </c>
      <c r="J76" s="15" t="str">
        <f>IF(A76="","",IF(AND(ABS(#REF!-SUMIFS('MP내역(적극)'!G:G,'MP내역(적극)'!A:A,A76,'MP내역(적극)'!F:F,"Y"))&lt;0.001,ABS(#REF!-SUMIFS('MP내역(적극)'!G:G,'MP내역(적극)'!A:A,A76,'MP내역(적극)'!B:B,"&lt;&gt;합계"))&lt;0.001),"O","X"))</f>
        <v/>
      </c>
      <c r="K76" s="15" t="str">
        <f>IF(A76="","",IF(COUNTIFS('MP내역(적극)'!A:A,A76,'MP내역(적극)'!H:H,"X")=0,"O","X"))</f>
        <v/>
      </c>
    </row>
    <row r="77" spans="5:11" s="14" customFormat="1" x14ac:dyDescent="0.3">
      <c r="E77" s="15"/>
      <c r="F77" s="15"/>
      <c r="G77" s="15" t="str">
        <f>IF(A77="","",IFERROR(IF(#REF!&gt;VLOOKUP(A77,'포트변경내역(중립)'!A:C,10,0),"O","X"),""))</f>
        <v/>
      </c>
      <c r="H77" s="15" t="str">
        <f>IF(A77="","",COUNTIFS('MP내역(적극)'!$A:$A,A77)-COUNTIFS('MP내역(적극)'!$A:$A,A77,'MP내역(적극)'!$B:$B,"현금")-COUNTIFS('MP내역(적극)'!$A:$A,A77,'MP내역(적극)'!$B:$B,"예수금")-COUNTIFS('MP내역(적극)'!$A:$A,A77,'MP내역(적극)'!$B:$B,"예탁금")-COUNTIFS('MP내역(적극)'!$A:$A,A77,'MP내역(적극)'!$B:$B,"합계"))</f>
        <v/>
      </c>
      <c r="I77" s="15" t="str">
        <f>IF(A77="","",IF(COUNTIFS('MP내역(적극)'!A:A,A77,'MP내역(적극)'!G:G,"&gt;"&amp;#REF!,'MP내역(적극)'!D:D,"&lt;&gt;"&amp;#REF!,'MP내역(적극)'!D:D,"&lt;&gt;"&amp;#REF!,'MP내역(적극)'!B:B,"&lt;&gt;현금",'MP내역(적극)'!B:B,"&lt;&gt;합계")=0,"O","X"))</f>
        <v/>
      </c>
      <c r="J77" s="15" t="str">
        <f>IF(A77="","",IF(AND(ABS(#REF!-SUMIFS('MP내역(적극)'!G:G,'MP내역(적극)'!A:A,A77,'MP내역(적극)'!F:F,"Y"))&lt;0.001,ABS(#REF!-SUMIFS('MP내역(적극)'!G:G,'MP내역(적극)'!A:A,A77,'MP내역(적극)'!B:B,"&lt;&gt;합계"))&lt;0.001),"O","X"))</f>
        <v/>
      </c>
      <c r="K77" s="15" t="str">
        <f>IF(A77="","",IF(COUNTIFS('MP내역(적극)'!A:A,A77,'MP내역(적극)'!H:H,"X")=0,"O","X"))</f>
        <v/>
      </c>
    </row>
    <row r="78" spans="5:11" s="14" customFormat="1" x14ac:dyDescent="0.3">
      <c r="E78" s="15"/>
      <c r="F78" s="15"/>
      <c r="G78" s="15" t="str">
        <f>IF(A78="","",IFERROR(IF(#REF!&gt;VLOOKUP(A78,'포트변경내역(중립)'!A:C,10,0),"O","X"),""))</f>
        <v/>
      </c>
      <c r="H78" s="15" t="str">
        <f>IF(A78="","",COUNTIFS('MP내역(적극)'!$A:$A,A78)-COUNTIFS('MP내역(적극)'!$A:$A,A78,'MP내역(적극)'!$B:$B,"현금")-COUNTIFS('MP내역(적극)'!$A:$A,A78,'MP내역(적극)'!$B:$B,"예수금")-COUNTIFS('MP내역(적극)'!$A:$A,A78,'MP내역(적극)'!$B:$B,"예탁금")-COUNTIFS('MP내역(적극)'!$A:$A,A78,'MP내역(적극)'!$B:$B,"합계"))</f>
        <v/>
      </c>
      <c r="I78" s="15" t="str">
        <f>IF(A78="","",IF(COUNTIFS('MP내역(적극)'!A:A,A78,'MP내역(적극)'!G:G,"&gt;"&amp;#REF!,'MP내역(적극)'!D:D,"&lt;&gt;"&amp;#REF!,'MP내역(적극)'!D:D,"&lt;&gt;"&amp;#REF!,'MP내역(적극)'!B:B,"&lt;&gt;현금",'MP내역(적극)'!B:B,"&lt;&gt;합계")=0,"O","X"))</f>
        <v/>
      </c>
      <c r="J78" s="15" t="str">
        <f>IF(A78="","",IF(AND(ABS(#REF!-SUMIFS('MP내역(적극)'!G:G,'MP내역(적극)'!A:A,A78,'MP내역(적극)'!F:F,"Y"))&lt;0.001,ABS(#REF!-SUMIFS('MP내역(적극)'!G:G,'MP내역(적극)'!A:A,A78,'MP내역(적극)'!B:B,"&lt;&gt;합계"))&lt;0.001),"O","X"))</f>
        <v/>
      </c>
      <c r="K78" s="15" t="str">
        <f>IF(A78="","",IF(COUNTIFS('MP내역(적극)'!A:A,A78,'MP내역(적극)'!H:H,"X")=0,"O","X"))</f>
        <v/>
      </c>
    </row>
    <row r="79" spans="5:11" s="14" customFormat="1" x14ac:dyDescent="0.3">
      <c r="E79" s="15"/>
      <c r="F79" s="15"/>
      <c r="G79" s="15" t="str">
        <f>IF(A79="","",IFERROR(IF(#REF!&gt;VLOOKUP(A79,'포트변경내역(중립)'!A:C,10,0),"O","X"),""))</f>
        <v/>
      </c>
      <c r="H79" s="15" t="str">
        <f>IF(A79="","",COUNTIFS('MP내역(적극)'!$A:$A,A79)-COUNTIFS('MP내역(적극)'!$A:$A,A79,'MP내역(적극)'!$B:$B,"현금")-COUNTIFS('MP내역(적극)'!$A:$A,A79,'MP내역(적극)'!$B:$B,"예수금")-COUNTIFS('MP내역(적극)'!$A:$A,A79,'MP내역(적극)'!$B:$B,"예탁금")-COUNTIFS('MP내역(적극)'!$A:$A,A79,'MP내역(적극)'!$B:$B,"합계"))</f>
        <v/>
      </c>
      <c r="I79" s="15" t="str">
        <f>IF(A79="","",IF(COUNTIFS('MP내역(적극)'!A:A,A79,'MP내역(적극)'!G:G,"&gt;"&amp;#REF!,'MP내역(적극)'!D:D,"&lt;&gt;"&amp;#REF!,'MP내역(적극)'!D:D,"&lt;&gt;"&amp;#REF!,'MP내역(적극)'!B:B,"&lt;&gt;현금",'MP내역(적극)'!B:B,"&lt;&gt;합계")=0,"O","X"))</f>
        <v/>
      </c>
      <c r="J79" s="15" t="str">
        <f>IF(A79="","",IF(AND(ABS(#REF!-SUMIFS('MP내역(적극)'!G:G,'MP내역(적극)'!A:A,A79,'MP내역(적극)'!F:F,"Y"))&lt;0.001,ABS(#REF!-SUMIFS('MP내역(적극)'!G:G,'MP내역(적극)'!A:A,A79,'MP내역(적극)'!B:B,"&lt;&gt;합계"))&lt;0.001),"O","X"))</f>
        <v/>
      </c>
      <c r="K79" s="15" t="str">
        <f>IF(A79="","",IF(COUNTIFS('MP내역(적극)'!A:A,A79,'MP내역(적극)'!H:H,"X")=0,"O","X"))</f>
        <v/>
      </c>
    </row>
    <row r="80" spans="5:11" s="14" customFormat="1" x14ac:dyDescent="0.3">
      <c r="E80" s="15"/>
      <c r="F80" s="15"/>
      <c r="G80" s="15" t="str">
        <f>IF(A80="","",IFERROR(IF(#REF!&gt;VLOOKUP(A80,'포트변경내역(중립)'!A:C,10,0),"O","X"),""))</f>
        <v/>
      </c>
      <c r="H80" s="15" t="str">
        <f>IF(A80="","",COUNTIFS('MP내역(적극)'!$A:$A,A80)-COUNTIFS('MP내역(적극)'!$A:$A,A80,'MP내역(적극)'!$B:$B,"현금")-COUNTIFS('MP내역(적극)'!$A:$A,A80,'MP내역(적극)'!$B:$B,"예수금")-COUNTIFS('MP내역(적극)'!$A:$A,A80,'MP내역(적극)'!$B:$B,"예탁금")-COUNTIFS('MP내역(적극)'!$A:$A,A80,'MP내역(적극)'!$B:$B,"합계"))</f>
        <v/>
      </c>
      <c r="I80" s="15" t="str">
        <f>IF(A80="","",IF(COUNTIFS('MP내역(적극)'!A:A,A80,'MP내역(적극)'!G:G,"&gt;"&amp;#REF!,'MP내역(적극)'!D:D,"&lt;&gt;"&amp;#REF!,'MP내역(적극)'!D:D,"&lt;&gt;"&amp;#REF!,'MP내역(적극)'!B:B,"&lt;&gt;현금",'MP내역(적극)'!B:B,"&lt;&gt;합계")=0,"O","X"))</f>
        <v/>
      </c>
      <c r="J80" s="15" t="str">
        <f>IF(A80="","",IF(AND(ABS(#REF!-SUMIFS('MP내역(적극)'!G:G,'MP내역(적극)'!A:A,A80,'MP내역(적극)'!F:F,"Y"))&lt;0.001,ABS(#REF!-SUMIFS('MP내역(적극)'!G:G,'MP내역(적극)'!A:A,A80,'MP내역(적극)'!B:B,"&lt;&gt;합계"))&lt;0.001),"O","X"))</f>
        <v/>
      </c>
      <c r="K80" s="15" t="str">
        <f>IF(A80="","",IF(COUNTIFS('MP내역(적극)'!A:A,A80,'MP내역(적극)'!H:H,"X")=0,"O","X"))</f>
        <v/>
      </c>
    </row>
    <row r="81" spans="1:12" x14ac:dyDescent="0.3">
      <c r="A81" s="14"/>
      <c r="B81" s="14"/>
      <c r="C81" s="14"/>
      <c r="D81" s="14"/>
      <c r="E81" s="15"/>
      <c r="G81" s="15" t="str">
        <f>IF(A81="","",IFERROR(IF(#REF!&gt;VLOOKUP(A81,'포트변경내역(중립)'!A:C,10,0),"O","X"),""))</f>
        <v/>
      </c>
      <c r="H81" s="15" t="str">
        <f>IF(A81="","",COUNTIFS('MP내역(적극)'!$A:$A,A81)-COUNTIFS('MP내역(적극)'!$A:$A,A81,'MP내역(적극)'!$B:$B,"현금")-COUNTIFS('MP내역(적극)'!$A:$A,A81,'MP내역(적극)'!$B:$B,"예수금")-COUNTIFS('MP내역(적극)'!$A:$A,A81,'MP내역(적극)'!$B:$B,"예탁금")-COUNTIFS('MP내역(적극)'!$A:$A,A81,'MP내역(적극)'!$B:$B,"합계"))</f>
        <v/>
      </c>
      <c r="I81" s="15" t="str">
        <f>IF(A81="","",IF(COUNTIFS('MP내역(적극)'!A:A,A81,'MP내역(적극)'!G:G,"&gt;"&amp;#REF!,'MP내역(적극)'!D:D,"&lt;&gt;"&amp;#REF!,'MP내역(적극)'!D:D,"&lt;&gt;"&amp;#REF!,'MP내역(적극)'!B:B,"&lt;&gt;현금",'MP내역(적극)'!B:B,"&lt;&gt;합계")=0,"O","X"))</f>
        <v/>
      </c>
      <c r="J81" s="15" t="str">
        <f>IF(A81="","",IF(AND(ABS(#REF!-SUMIFS('MP내역(적극)'!G:G,'MP내역(적극)'!A:A,A81,'MP내역(적극)'!F:F,"Y"))&lt;0.001,ABS(#REF!-SUMIFS('MP내역(적극)'!G:G,'MP내역(적극)'!A:A,A81,'MP내역(적극)'!B:B,"&lt;&gt;합계"))&lt;0.001),"O","X"))</f>
        <v/>
      </c>
      <c r="K81" s="15" t="str">
        <f>IF(A81="","",IF(COUNTIFS('MP내역(적극)'!A:A,A81,'MP내역(적극)'!H:H,"X")=0,"O","X"))</f>
        <v/>
      </c>
      <c r="L81" s="14"/>
    </row>
    <row r="82" spans="1:12" x14ac:dyDescent="0.3">
      <c r="D82" s="14"/>
      <c r="E82" s="15"/>
      <c r="G82" s="15" t="str">
        <f>IF(A82="","",IFERROR(IF(#REF!&gt;VLOOKUP(A82,'포트변경내역(중립)'!A:C,10,0),"O","X"),""))</f>
        <v/>
      </c>
      <c r="H82" s="15" t="str">
        <f>IF(A82="","",COUNTIFS('MP내역(적극)'!$A:$A,A82)-COUNTIFS('MP내역(적극)'!$A:$A,A82,'MP내역(적극)'!$B:$B,"현금")-COUNTIFS('MP내역(적극)'!$A:$A,A82,'MP내역(적극)'!$B:$B,"예수금")-COUNTIFS('MP내역(적극)'!$A:$A,A82,'MP내역(적극)'!$B:$B,"예탁금")-COUNTIFS('MP내역(적극)'!$A:$A,A82,'MP내역(적극)'!$B:$B,"합계"))</f>
        <v/>
      </c>
      <c r="I82" s="15" t="str">
        <f>IF(A82="","",IF(COUNTIFS('MP내역(적극)'!A:A,A82,'MP내역(적극)'!G:G,"&gt;"&amp;#REF!,'MP내역(적극)'!D:D,"&lt;&gt;"&amp;#REF!,'MP내역(적극)'!D:D,"&lt;&gt;"&amp;#REF!,'MP내역(적극)'!B:B,"&lt;&gt;현금",'MP내역(적극)'!B:B,"&lt;&gt;합계")=0,"O","X"))</f>
        <v/>
      </c>
      <c r="J82" s="15" t="str">
        <f>IF(A82="","",IF(AND(ABS(#REF!-SUMIFS('MP내역(적극)'!G:G,'MP내역(적극)'!A:A,A82,'MP내역(적극)'!F:F,"Y"))&lt;0.001,ABS(#REF!-SUMIFS('MP내역(적극)'!G:G,'MP내역(적극)'!A:A,A82,'MP내역(적극)'!B:B,"&lt;&gt;합계"))&lt;0.001),"O","X"))</f>
        <v/>
      </c>
      <c r="K82" s="15" t="str">
        <f>IF(A82="","",IF(COUNTIFS('MP내역(적극)'!A:A,A82,'MP내역(적극)'!H:H,"X")=0,"O","X"))</f>
        <v/>
      </c>
      <c r="L82" s="14"/>
    </row>
    <row r="83" spans="1:12" x14ac:dyDescent="0.3">
      <c r="D83" s="14"/>
      <c r="E83" s="15"/>
      <c r="G83" s="15" t="str">
        <f>IF(A83="","",IFERROR(IF(#REF!&gt;VLOOKUP(A83,'포트변경내역(중립)'!A:C,10,0),"O","X"),""))</f>
        <v/>
      </c>
      <c r="H83" s="15" t="str">
        <f>IF(A83="","",COUNTIFS('MP내역(적극)'!$A:$A,A83)-COUNTIFS('MP내역(적극)'!$A:$A,A83,'MP내역(적극)'!$B:$B,"현금")-COUNTIFS('MP내역(적극)'!$A:$A,A83,'MP내역(적극)'!$B:$B,"예수금")-COUNTIFS('MP내역(적극)'!$A:$A,A83,'MP내역(적극)'!$B:$B,"예탁금")-COUNTIFS('MP내역(적극)'!$A:$A,A83,'MP내역(적극)'!$B:$B,"합계"))</f>
        <v/>
      </c>
      <c r="I83" s="15" t="str">
        <f>IF(A83="","",IF(COUNTIFS('MP내역(적극)'!A:A,A83,'MP내역(적극)'!G:G,"&gt;"&amp;#REF!,'MP내역(적극)'!D:D,"&lt;&gt;"&amp;#REF!,'MP내역(적극)'!D:D,"&lt;&gt;"&amp;#REF!,'MP내역(적극)'!B:B,"&lt;&gt;현금",'MP내역(적극)'!B:B,"&lt;&gt;합계")=0,"O","X"))</f>
        <v/>
      </c>
      <c r="J83" s="15" t="str">
        <f>IF(A83="","",IF(AND(ABS(#REF!-SUMIFS('MP내역(적극)'!G:G,'MP내역(적극)'!A:A,A83,'MP내역(적극)'!F:F,"Y"))&lt;0.001,ABS(#REF!-SUMIFS('MP내역(적극)'!G:G,'MP내역(적극)'!A:A,A83,'MP내역(적극)'!B:B,"&lt;&gt;합계"))&lt;0.001),"O","X"))</f>
        <v/>
      </c>
      <c r="K83" s="15" t="str">
        <f>IF(A83="","",IF(COUNTIFS('MP내역(적극)'!A:A,A83,'MP내역(적극)'!H:H,"X")=0,"O","X"))</f>
        <v/>
      </c>
      <c r="L83" s="14"/>
    </row>
    <row r="84" spans="1:12" x14ac:dyDescent="0.3">
      <c r="D84" s="14"/>
      <c r="E84" s="15"/>
      <c r="G84" s="15" t="str">
        <f>IF(A84="","",IFERROR(IF(#REF!&gt;VLOOKUP(A84,'포트변경내역(중립)'!A:C,10,0),"O","X"),""))</f>
        <v/>
      </c>
      <c r="H84" s="15" t="str">
        <f>IF(A84="","",COUNTIFS('MP내역(적극)'!$A:$A,A84)-COUNTIFS('MP내역(적극)'!$A:$A,A84,'MP내역(적극)'!$B:$B,"현금")-COUNTIFS('MP내역(적극)'!$A:$A,A84,'MP내역(적극)'!$B:$B,"예수금")-COUNTIFS('MP내역(적극)'!$A:$A,A84,'MP내역(적극)'!$B:$B,"예탁금")-COUNTIFS('MP내역(적극)'!$A:$A,A84,'MP내역(적극)'!$B:$B,"합계"))</f>
        <v/>
      </c>
      <c r="I84" s="15" t="str">
        <f>IF(A84="","",IF(COUNTIFS('MP내역(적극)'!A:A,A84,'MP내역(적극)'!G:G,"&gt;"&amp;#REF!,'MP내역(적극)'!D:D,"&lt;&gt;"&amp;#REF!,'MP내역(적극)'!D:D,"&lt;&gt;"&amp;#REF!,'MP내역(적극)'!B:B,"&lt;&gt;현금",'MP내역(적극)'!B:B,"&lt;&gt;합계")=0,"O","X"))</f>
        <v/>
      </c>
      <c r="J84" s="15" t="str">
        <f>IF(A84="","",IF(AND(ABS(#REF!-SUMIFS('MP내역(적극)'!G:G,'MP내역(적극)'!A:A,A84,'MP내역(적극)'!F:F,"Y"))&lt;0.001,ABS(#REF!-SUMIFS('MP내역(적극)'!G:G,'MP내역(적극)'!A:A,A84,'MP내역(적극)'!B:B,"&lt;&gt;합계"))&lt;0.001),"O","X"))</f>
        <v/>
      </c>
      <c r="K84" s="15" t="str">
        <f>IF(A84="","",IF(COUNTIFS('MP내역(적극)'!A:A,A84,'MP내역(적극)'!H:H,"X")=0,"O","X"))</f>
        <v/>
      </c>
      <c r="L84" s="14"/>
    </row>
    <row r="85" spans="1:12" x14ac:dyDescent="0.3">
      <c r="D85" s="14"/>
      <c r="E85" s="15"/>
      <c r="G85" s="15" t="str">
        <f>IF(A85="","",IFERROR(IF(#REF!&gt;VLOOKUP(A85,'포트변경내역(중립)'!A:C,10,0),"O","X"),""))</f>
        <v/>
      </c>
      <c r="H85" s="15" t="str">
        <f>IF(A85="","",COUNTIFS('MP내역(적극)'!$A:$A,A85)-COUNTIFS('MP내역(적극)'!$A:$A,A85,'MP내역(적극)'!$B:$B,"현금")-COUNTIFS('MP내역(적극)'!$A:$A,A85,'MP내역(적극)'!$B:$B,"예수금")-COUNTIFS('MP내역(적극)'!$A:$A,A85,'MP내역(적극)'!$B:$B,"예탁금")-COUNTIFS('MP내역(적극)'!$A:$A,A85,'MP내역(적극)'!$B:$B,"합계"))</f>
        <v/>
      </c>
      <c r="I85" s="15" t="str">
        <f>IF(A85="","",IF(COUNTIFS('MP내역(적극)'!A:A,A85,'MP내역(적극)'!G:G,"&gt;"&amp;#REF!,'MP내역(적극)'!D:D,"&lt;&gt;"&amp;#REF!,'MP내역(적극)'!D:D,"&lt;&gt;"&amp;#REF!,'MP내역(적극)'!B:B,"&lt;&gt;현금",'MP내역(적극)'!B:B,"&lt;&gt;합계")=0,"O","X"))</f>
        <v/>
      </c>
      <c r="J85" s="15" t="str">
        <f>IF(A85="","",IF(AND(ABS(#REF!-SUMIFS('MP내역(적극)'!G:G,'MP내역(적극)'!A:A,A85,'MP내역(적극)'!F:F,"Y"))&lt;0.001,ABS(#REF!-SUMIFS('MP내역(적극)'!G:G,'MP내역(적극)'!A:A,A85,'MP내역(적극)'!B:B,"&lt;&gt;합계"))&lt;0.001),"O","X"))</f>
        <v/>
      </c>
      <c r="K85" s="15" t="str">
        <f>IF(A85="","",IF(COUNTIFS('MP내역(적극)'!A:A,A85,'MP내역(적극)'!H:H,"X")=0,"O","X"))</f>
        <v/>
      </c>
      <c r="L85" s="14"/>
    </row>
    <row r="86" spans="1:12" x14ac:dyDescent="0.3">
      <c r="D86" s="14"/>
      <c r="E86" s="15"/>
      <c r="G86" s="15" t="str">
        <f>IF(A86="","",IFERROR(IF(#REF!&gt;VLOOKUP(A86,'포트변경내역(중립)'!A:C,10,0),"O","X"),""))</f>
        <v/>
      </c>
      <c r="H86" s="15" t="str">
        <f>IF(A86="","",COUNTIFS('MP내역(적극)'!$A:$A,A86)-COUNTIFS('MP내역(적극)'!$A:$A,A86,'MP내역(적극)'!$B:$B,"현금")-COUNTIFS('MP내역(적극)'!$A:$A,A86,'MP내역(적극)'!$B:$B,"예수금")-COUNTIFS('MP내역(적극)'!$A:$A,A86,'MP내역(적극)'!$B:$B,"예탁금")-COUNTIFS('MP내역(적극)'!$A:$A,A86,'MP내역(적극)'!$B:$B,"합계"))</f>
        <v/>
      </c>
      <c r="I86" s="15" t="str">
        <f>IF(A86="","",IF(COUNTIFS('MP내역(적극)'!A:A,A86,'MP내역(적극)'!G:G,"&gt;"&amp;#REF!,'MP내역(적극)'!D:D,"&lt;&gt;"&amp;#REF!,'MP내역(적극)'!D:D,"&lt;&gt;"&amp;#REF!,'MP내역(적극)'!B:B,"&lt;&gt;현금",'MP내역(적극)'!B:B,"&lt;&gt;합계")=0,"O","X"))</f>
        <v/>
      </c>
      <c r="J86" s="15" t="str">
        <f>IF(A86="","",IF(AND(ABS(#REF!-SUMIFS('MP내역(적극)'!G:G,'MP내역(적극)'!A:A,A86,'MP내역(적극)'!F:F,"Y"))&lt;0.001,ABS(#REF!-SUMIFS('MP내역(적극)'!G:G,'MP내역(적극)'!A:A,A86,'MP내역(적극)'!B:B,"&lt;&gt;합계"))&lt;0.001),"O","X"))</f>
        <v/>
      </c>
      <c r="K86" s="15" t="str">
        <f>IF(A86="","",IF(COUNTIFS('MP내역(적극)'!A:A,A86,'MP내역(적극)'!H:H,"X")=0,"O","X"))</f>
        <v/>
      </c>
      <c r="L86" s="14"/>
    </row>
    <row r="87" spans="1:12" x14ac:dyDescent="0.3">
      <c r="D87" s="14"/>
      <c r="E87" s="15"/>
      <c r="G87" s="15" t="str">
        <f>IF(A87="","",IFERROR(IF(#REF!&gt;VLOOKUP(A87,'포트변경내역(중립)'!A:C,10,0),"O","X"),""))</f>
        <v/>
      </c>
      <c r="H87" s="15" t="str">
        <f>IF(A87="","",COUNTIFS('MP내역(적극)'!$A:$A,A87)-COUNTIFS('MP내역(적극)'!$A:$A,A87,'MP내역(적극)'!$B:$B,"현금")-COUNTIFS('MP내역(적극)'!$A:$A,A87,'MP내역(적극)'!$B:$B,"예수금")-COUNTIFS('MP내역(적극)'!$A:$A,A87,'MP내역(적극)'!$B:$B,"예탁금")-COUNTIFS('MP내역(적극)'!$A:$A,A87,'MP내역(적극)'!$B:$B,"합계"))</f>
        <v/>
      </c>
      <c r="I87" s="15" t="str">
        <f>IF(A87="","",IF(COUNTIFS('MP내역(적극)'!A:A,A87,'MP내역(적극)'!G:G,"&gt;"&amp;#REF!,'MP내역(적극)'!D:D,"&lt;&gt;"&amp;#REF!,'MP내역(적극)'!D:D,"&lt;&gt;"&amp;#REF!,'MP내역(적극)'!B:B,"&lt;&gt;현금",'MP내역(적극)'!B:B,"&lt;&gt;합계")=0,"O","X"))</f>
        <v/>
      </c>
      <c r="J87" s="15" t="str">
        <f>IF(A87="","",IF(AND(ABS(#REF!-SUMIFS('MP내역(적극)'!G:G,'MP내역(적극)'!A:A,A87,'MP내역(적극)'!F:F,"Y"))&lt;0.001,ABS(#REF!-SUMIFS('MP내역(적극)'!G:G,'MP내역(적극)'!A:A,A87,'MP내역(적극)'!B:B,"&lt;&gt;합계"))&lt;0.001),"O","X"))</f>
        <v/>
      </c>
      <c r="K87" s="15" t="str">
        <f>IF(A87="","",IF(COUNTIFS('MP내역(적극)'!A:A,A87,'MP내역(적극)'!H:H,"X")=0,"O","X"))</f>
        <v/>
      </c>
      <c r="L87" s="14"/>
    </row>
    <row r="88" spans="1:12" x14ac:dyDescent="0.3">
      <c r="D88" s="14"/>
      <c r="E88" s="15"/>
      <c r="G88" s="15" t="str">
        <f>IF(A88="","",IFERROR(IF(#REF!&gt;VLOOKUP(A88,'포트변경내역(중립)'!A:C,10,0),"O","X"),""))</f>
        <v/>
      </c>
      <c r="H88" s="15" t="str">
        <f>IF(A88="","",COUNTIFS('MP내역(적극)'!$A:$A,A88)-COUNTIFS('MP내역(적극)'!$A:$A,A88,'MP내역(적극)'!$B:$B,"현금")-COUNTIFS('MP내역(적극)'!$A:$A,A88,'MP내역(적극)'!$B:$B,"예수금")-COUNTIFS('MP내역(적극)'!$A:$A,A88,'MP내역(적극)'!$B:$B,"예탁금")-COUNTIFS('MP내역(적극)'!$A:$A,A88,'MP내역(적극)'!$B:$B,"합계"))</f>
        <v/>
      </c>
      <c r="I88" s="15" t="str">
        <f>IF(A88="","",IF(COUNTIFS('MP내역(적극)'!A:A,A88,'MP내역(적극)'!G:G,"&gt;"&amp;#REF!,'MP내역(적극)'!D:D,"&lt;&gt;"&amp;#REF!,'MP내역(적극)'!D:D,"&lt;&gt;"&amp;#REF!,'MP내역(적극)'!B:B,"&lt;&gt;현금",'MP내역(적극)'!B:B,"&lt;&gt;합계")=0,"O","X"))</f>
        <v/>
      </c>
      <c r="J88" s="15" t="str">
        <f>IF(A88="","",IF(AND(ABS(#REF!-SUMIFS('MP내역(적극)'!G:G,'MP내역(적극)'!A:A,A88,'MP내역(적극)'!F:F,"Y"))&lt;0.001,ABS(#REF!-SUMIFS('MP내역(적극)'!G:G,'MP내역(적극)'!A:A,A88,'MP내역(적극)'!B:B,"&lt;&gt;합계"))&lt;0.001),"O","X"))</f>
        <v/>
      </c>
      <c r="K88" s="15" t="str">
        <f>IF(A88="","",IF(COUNTIFS('MP내역(적극)'!A:A,A88,'MP내역(적극)'!H:H,"X")=0,"O","X"))</f>
        <v/>
      </c>
      <c r="L88" s="14"/>
    </row>
    <row r="89" spans="1:12" x14ac:dyDescent="0.3">
      <c r="D89" s="14"/>
      <c r="E89" s="15"/>
      <c r="G89" s="15" t="str">
        <f>IF(A89="","",IFERROR(IF(#REF!&gt;VLOOKUP(A89,'포트변경내역(중립)'!A:C,10,0),"O","X"),""))</f>
        <v/>
      </c>
      <c r="H89" s="15" t="str">
        <f>IF(A89="","",COUNTIFS('MP내역(적극)'!$A:$A,A89)-COUNTIFS('MP내역(적극)'!$A:$A,A89,'MP내역(적극)'!$B:$B,"현금")-COUNTIFS('MP내역(적극)'!$A:$A,A89,'MP내역(적극)'!$B:$B,"예수금")-COUNTIFS('MP내역(적극)'!$A:$A,A89,'MP내역(적극)'!$B:$B,"예탁금")-COUNTIFS('MP내역(적극)'!$A:$A,A89,'MP내역(적극)'!$B:$B,"합계"))</f>
        <v/>
      </c>
      <c r="I89" s="15" t="str">
        <f>IF(A89="","",IF(COUNTIFS('MP내역(적극)'!A:A,A89,'MP내역(적극)'!G:G,"&gt;"&amp;#REF!,'MP내역(적극)'!D:D,"&lt;&gt;"&amp;#REF!,'MP내역(적극)'!D:D,"&lt;&gt;"&amp;#REF!,'MP내역(적극)'!B:B,"&lt;&gt;현금",'MP내역(적극)'!B:B,"&lt;&gt;합계")=0,"O","X"))</f>
        <v/>
      </c>
      <c r="J89" s="15" t="str">
        <f>IF(A89="","",IF(AND(ABS(#REF!-SUMIFS('MP내역(적극)'!G:G,'MP내역(적극)'!A:A,A89,'MP내역(적극)'!F:F,"Y"))&lt;0.001,ABS(#REF!-SUMIFS('MP내역(적극)'!G:G,'MP내역(적극)'!A:A,A89,'MP내역(적극)'!B:B,"&lt;&gt;합계"))&lt;0.001),"O","X"))</f>
        <v/>
      </c>
      <c r="K89" s="15" t="str">
        <f>IF(A89="","",IF(COUNTIFS('MP내역(적극)'!A:A,A89,'MP내역(적극)'!H:H,"X")=0,"O","X"))</f>
        <v/>
      </c>
      <c r="L89" s="14"/>
    </row>
    <row r="90" spans="1:12" x14ac:dyDescent="0.3">
      <c r="D90" s="14"/>
      <c r="E90" s="15"/>
      <c r="G90" s="15" t="str">
        <f>IF(A90="","",IFERROR(IF(#REF!&gt;VLOOKUP(A90,'포트변경내역(중립)'!A:C,10,0),"O","X"),""))</f>
        <v/>
      </c>
      <c r="H90" s="15" t="str">
        <f>IF(A90="","",COUNTIFS('MP내역(적극)'!$A:$A,A90)-COUNTIFS('MP내역(적극)'!$A:$A,A90,'MP내역(적극)'!$B:$B,"현금")-COUNTIFS('MP내역(적극)'!$A:$A,A90,'MP내역(적극)'!$B:$B,"예수금")-COUNTIFS('MP내역(적극)'!$A:$A,A90,'MP내역(적극)'!$B:$B,"예탁금")-COUNTIFS('MP내역(적극)'!$A:$A,A90,'MP내역(적극)'!$B:$B,"합계"))</f>
        <v/>
      </c>
      <c r="I90" s="15" t="str">
        <f>IF(A90="","",IF(COUNTIFS('MP내역(적극)'!A:A,A90,'MP내역(적극)'!G:G,"&gt;"&amp;#REF!,'MP내역(적극)'!D:D,"&lt;&gt;"&amp;#REF!,'MP내역(적극)'!D:D,"&lt;&gt;"&amp;#REF!,'MP내역(적극)'!B:B,"&lt;&gt;현금",'MP내역(적극)'!B:B,"&lt;&gt;합계")=0,"O","X"))</f>
        <v/>
      </c>
      <c r="J90" s="15" t="str">
        <f>IF(A90="","",IF(AND(ABS(#REF!-SUMIFS('MP내역(적극)'!G:G,'MP내역(적극)'!A:A,A90,'MP내역(적극)'!F:F,"Y"))&lt;0.001,ABS(#REF!-SUMIFS('MP내역(적극)'!G:G,'MP내역(적극)'!A:A,A90,'MP내역(적극)'!B:B,"&lt;&gt;합계"))&lt;0.001),"O","X"))</f>
        <v/>
      </c>
      <c r="K90" s="15" t="str">
        <f>IF(A90="","",IF(COUNTIFS('MP내역(적극)'!A:A,A90,'MP내역(적극)'!H:H,"X")=0,"O","X"))</f>
        <v/>
      </c>
      <c r="L90" s="14"/>
    </row>
    <row r="91" spans="1:12" x14ac:dyDescent="0.3">
      <c r="D91" s="14"/>
      <c r="E91" s="15"/>
      <c r="G91" s="15" t="str">
        <f>IF(A91="","",IFERROR(IF(#REF!&gt;VLOOKUP(A91,'포트변경내역(중립)'!A:C,10,0),"O","X"),""))</f>
        <v/>
      </c>
      <c r="H91" s="15" t="str">
        <f>IF(A91="","",COUNTIFS('MP내역(적극)'!$A:$A,A91)-COUNTIFS('MP내역(적극)'!$A:$A,A91,'MP내역(적극)'!$B:$B,"현금")-COUNTIFS('MP내역(적극)'!$A:$A,A91,'MP내역(적극)'!$B:$B,"예수금")-COUNTIFS('MP내역(적극)'!$A:$A,A91,'MP내역(적극)'!$B:$B,"예탁금")-COUNTIFS('MP내역(적극)'!$A:$A,A91,'MP내역(적극)'!$B:$B,"합계"))</f>
        <v/>
      </c>
      <c r="I91" s="15" t="str">
        <f>IF(A91="","",IF(COUNTIFS('MP내역(적극)'!A:A,A91,'MP내역(적극)'!G:G,"&gt;"&amp;#REF!,'MP내역(적극)'!D:D,"&lt;&gt;"&amp;#REF!,'MP내역(적극)'!D:D,"&lt;&gt;"&amp;#REF!,'MP내역(적극)'!B:B,"&lt;&gt;현금",'MP내역(적극)'!B:B,"&lt;&gt;합계")=0,"O","X"))</f>
        <v/>
      </c>
      <c r="J91" s="15" t="str">
        <f>IF(A91="","",IF(AND(ABS(#REF!-SUMIFS('MP내역(적극)'!G:G,'MP내역(적극)'!A:A,A91,'MP내역(적극)'!F:F,"Y"))&lt;0.001,ABS(#REF!-SUMIFS('MP내역(적극)'!G:G,'MP내역(적극)'!A:A,A91,'MP내역(적극)'!B:B,"&lt;&gt;합계"))&lt;0.001),"O","X"))</f>
        <v/>
      </c>
      <c r="K91" s="15" t="str">
        <f>IF(A91="","",IF(COUNTIFS('MP내역(적극)'!A:A,A91,'MP내역(적극)'!H:H,"X")=0,"O","X"))</f>
        <v/>
      </c>
      <c r="L91" s="14"/>
    </row>
    <row r="92" spans="1:12" x14ac:dyDescent="0.3">
      <c r="D92" s="14"/>
      <c r="E92" s="15"/>
      <c r="G92" s="15" t="str">
        <f>IF(A92="","",IFERROR(IF(#REF!&gt;VLOOKUP(A92,'포트변경내역(중립)'!A:C,10,0),"O","X"),""))</f>
        <v/>
      </c>
      <c r="H92" s="15" t="str">
        <f>IF(A92="","",COUNTIFS('MP내역(적극)'!$A:$A,A92)-COUNTIFS('MP내역(적극)'!$A:$A,A92,'MP내역(적극)'!$B:$B,"현금")-COUNTIFS('MP내역(적극)'!$A:$A,A92,'MP내역(적극)'!$B:$B,"예수금")-COUNTIFS('MP내역(적극)'!$A:$A,A92,'MP내역(적극)'!$B:$B,"예탁금")-COUNTIFS('MP내역(적극)'!$A:$A,A92,'MP내역(적극)'!$B:$B,"합계"))</f>
        <v/>
      </c>
      <c r="I92" s="15" t="str">
        <f>IF(A92="","",IF(COUNTIFS('MP내역(적극)'!A:A,A92,'MP내역(적극)'!G:G,"&gt;"&amp;#REF!,'MP내역(적극)'!D:D,"&lt;&gt;"&amp;#REF!,'MP내역(적극)'!D:D,"&lt;&gt;"&amp;#REF!,'MP내역(적극)'!B:B,"&lt;&gt;현금",'MP내역(적극)'!B:B,"&lt;&gt;합계")=0,"O","X"))</f>
        <v/>
      </c>
      <c r="J92" s="15" t="str">
        <f>IF(A92="","",IF(AND(ABS(#REF!-SUMIFS('MP내역(적극)'!G:G,'MP내역(적극)'!A:A,A92,'MP내역(적극)'!F:F,"Y"))&lt;0.001,ABS(#REF!-SUMIFS('MP내역(적극)'!G:G,'MP내역(적극)'!A:A,A92,'MP내역(적극)'!B:B,"&lt;&gt;합계"))&lt;0.001),"O","X"))</f>
        <v/>
      </c>
      <c r="K92" s="15" t="str">
        <f>IF(A92="","",IF(COUNTIFS('MP내역(적극)'!A:A,A92,'MP내역(적극)'!H:H,"X")=0,"O","X"))</f>
        <v/>
      </c>
      <c r="L92" s="14"/>
    </row>
    <row r="93" spans="1:12" x14ac:dyDescent="0.3">
      <c r="D93" s="14"/>
      <c r="E93" s="15"/>
      <c r="G93" s="15" t="str">
        <f>IF(A93="","",IFERROR(IF(#REF!&gt;VLOOKUP(A93,'포트변경내역(중립)'!A:C,10,0),"O","X"),""))</f>
        <v/>
      </c>
      <c r="H93" s="15" t="str">
        <f>IF(A93="","",COUNTIFS('MP내역(적극)'!$A:$A,A93)-COUNTIFS('MP내역(적극)'!$A:$A,A93,'MP내역(적극)'!$B:$B,"현금")-COUNTIFS('MP내역(적극)'!$A:$A,A93,'MP내역(적극)'!$B:$B,"예수금")-COUNTIFS('MP내역(적극)'!$A:$A,A93,'MP내역(적극)'!$B:$B,"예탁금")-COUNTIFS('MP내역(적극)'!$A:$A,A93,'MP내역(적극)'!$B:$B,"합계"))</f>
        <v/>
      </c>
      <c r="I93" s="15" t="str">
        <f>IF(A93="","",IF(COUNTIFS('MP내역(적극)'!A:A,A93,'MP내역(적극)'!G:G,"&gt;"&amp;#REF!,'MP내역(적극)'!D:D,"&lt;&gt;"&amp;#REF!,'MP내역(적극)'!D:D,"&lt;&gt;"&amp;#REF!,'MP내역(적극)'!B:B,"&lt;&gt;현금",'MP내역(적극)'!B:B,"&lt;&gt;합계")=0,"O","X"))</f>
        <v/>
      </c>
      <c r="J93" s="15" t="str">
        <f>IF(A93="","",IF(AND(ABS(#REF!-SUMIFS('MP내역(적극)'!G:G,'MP내역(적극)'!A:A,A93,'MP내역(적극)'!F:F,"Y"))&lt;0.001,ABS(#REF!-SUMIFS('MP내역(적극)'!G:G,'MP내역(적극)'!A:A,A93,'MP내역(적극)'!B:B,"&lt;&gt;합계"))&lt;0.001),"O","X"))</f>
        <v/>
      </c>
      <c r="K93" s="15" t="str">
        <f>IF(A93="","",IF(COUNTIFS('MP내역(적극)'!A:A,A93,'MP내역(적극)'!H:H,"X")=0,"O","X"))</f>
        <v/>
      </c>
      <c r="L93" s="14"/>
    </row>
    <row r="94" spans="1:12" x14ac:dyDescent="0.3">
      <c r="D94" s="14"/>
      <c r="E94" s="15"/>
      <c r="G94" s="15" t="str">
        <f>IF(A94="","",IFERROR(IF(#REF!&gt;VLOOKUP(A94,'포트변경내역(중립)'!A:C,10,0),"O","X"),""))</f>
        <v/>
      </c>
      <c r="H94" s="15" t="str">
        <f>IF(A94="","",COUNTIFS('MP내역(적극)'!$A:$A,A94)-COUNTIFS('MP내역(적극)'!$A:$A,A94,'MP내역(적극)'!$B:$B,"현금")-COUNTIFS('MP내역(적극)'!$A:$A,A94,'MP내역(적극)'!$B:$B,"예수금")-COUNTIFS('MP내역(적극)'!$A:$A,A94,'MP내역(적극)'!$B:$B,"예탁금")-COUNTIFS('MP내역(적극)'!$A:$A,A94,'MP내역(적극)'!$B:$B,"합계"))</f>
        <v/>
      </c>
      <c r="I94" s="15" t="str">
        <f>IF(A94="","",IF(COUNTIFS('MP내역(적극)'!A:A,A94,'MP내역(적극)'!G:G,"&gt;"&amp;#REF!,'MP내역(적극)'!D:D,"&lt;&gt;"&amp;#REF!,'MP내역(적극)'!D:D,"&lt;&gt;"&amp;#REF!,'MP내역(적극)'!B:B,"&lt;&gt;현금",'MP내역(적극)'!B:B,"&lt;&gt;합계")=0,"O","X"))</f>
        <v/>
      </c>
      <c r="J94" s="15" t="str">
        <f>IF(A94="","",IF(AND(ABS(#REF!-SUMIFS('MP내역(적극)'!G:G,'MP내역(적극)'!A:A,A94,'MP내역(적극)'!F:F,"Y"))&lt;0.001,ABS(#REF!-SUMIFS('MP내역(적극)'!G:G,'MP내역(적극)'!A:A,A94,'MP내역(적극)'!B:B,"&lt;&gt;합계"))&lt;0.001),"O","X"))</f>
        <v/>
      </c>
      <c r="K94" s="15" t="str">
        <f>IF(A94="","",IF(COUNTIFS('MP내역(적극)'!A:A,A94,'MP내역(적극)'!H:H,"X")=0,"O","X"))</f>
        <v/>
      </c>
      <c r="L94" s="14"/>
    </row>
    <row r="95" spans="1:12" x14ac:dyDescent="0.3">
      <c r="D95" s="14"/>
      <c r="E95" s="15"/>
      <c r="G95" s="15" t="str">
        <f>IF(A95="","",IFERROR(IF(#REF!&gt;VLOOKUP(A95,'포트변경내역(중립)'!A:C,10,0),"O","X"),""))</f>
        <v/>
      </c>
      <c r="H95" s="15" t="str">
        <f>IF(A95="","",COUNTIFS('MP내역(적극)'!$A:$A,A95)-COUNTIFS('MP내역(적극)'!$A:$A,A95,'MP내역(적극)'!$B:$B,"현금")-COUNTIFS('MP내역(적극)'!$A:$A,A95,'MP내역(적극)'!$B:$B,"예수금")-COUNTIFS('MP내역(적극)'!$A:$A,A95,'MP내역(적극)'!$B:$B,"예탁금")-COUNTIFS('MP내역(적극)'!$A:$A,A95,'MP내역(적극)'!$B:$B,"합계"))</f>
        <v/>
      </c>
      <c r="I95" s="15" t="str">
        <f>IF(A95="","",IF(COUNTIFS('MP내역(적극)'!A:A,A95,'MP내역(적극)'!G:G,"&gt;"&amp;#REF!,'MP내역(적극)'!D:D,"&lt;&gt;"&amp;#REF!,'MP내역(적극)'!D:D,"&lt;&gt;"&amp;#REF!,'MP내역(적극)'!B:B,"&lt;&gt;현금",'MP내역(적극)'!B:B,"&lt;&gt;합계")=0,"O","X"))</f>
        <v/>
      </c>
      <c r="J95" s="15" t="str">
        <f>IF(A95="","",IF(AND(ABS(#REF!-SUMIFS('MP내역(적극)'!G:G,'MP내역(적극)'!A:A,A95,'MP내역(적극)'!F:F,"Y"))&lt;0.001,ABS(#REF!-SUMIFS('MP내역(적극)'!G:G,'MP내역(적극)'!A:A,A95,'MP내역(적극)'!B:B,"&lt;&gt;합계"))&lt;0.001),"O","X"))</f>
        <v/>
      </c>
      <c r="K95" s="15" t="str">
        <f>IF(A95="","",IF(COUNTIFS('MP내역(적극)'!A:A,A95,'MP내역(적극)'!H:H,"X")=0,"O","X"))</f>
        <v/>
      </c>
      <c r="L95" s="14"/>
    </row>
    <row r="96" spans="1:12" x14ac:dyDescent="0.3">
      <c r="D96" s="14"/>
      <c r="E96" s="15"/>
      <c r="G96" s="15" t="str">
        <f>IF(A96="","",IFERROR(IF(#REF!&gt;VLOOKUP(A96,'포트변경내역(중립)'!A:C,10,0),"O","X"),""))</f>
        <v/>
      </c>
      <c r="H96" s="15" t="str">
        <f>IF(A96="","",COUNTIFS('MP내역(적극)'!$A:$A,A96)-COUNTIFS('MP내역(적극)'!$A:$A,A96,'MP내역(적극)'!$B:$B,"현금")-COUNTIFS('MP내역(적극)'!$A:$A,A96,'MP내역(적극)'!$B:$B,"예수금")-COUNTIFS('MP내역(적극)'!$A:$A,A96,'MP내역(적극)'!$B:$B,"예탁금")-COUNTIFS('MP내역(적극)'!$A:$A,A96,'MP내역(적극)'!$B:$B,"합계"))</f>
        <v/>
      </c>
      <c r="I96" s="15" t="str">
        <f>IF(A96="","",IF(COUNTIFS('MP내역(적극)'!A:A,A96,'MP내역(적극)'!G:G,"&gt;"&amp;#REF!,'MP내역(적극)'!D:D,"&lt;&gt;"&amp;#REF!,'MP내역(적극)'!D:D,"&lt;&gt;"&amp;#REF!,'MP내역(적극)'!B:B,"&lt;&gt;현금",'MP내역(적극)'!B:B,"&lt;&gt;합계")=0,"O","X"))</f>
        <v/>
      </c>
      <c r="J96" s="15" t="str">
        <f>IF(A96="","",IF(AND(ABS(#REF!-SUMIFS('MP내역(적극)'!G:G,'MP내역(적극)'!A:A,A96,'MP내역(적극)'!F:F,"Y"))&lt;0.001,ABS(#REF!-SUMIFS('MP내역(적극)'!G:G,'MP내역(적극)'!A:A,A96,'MP내역(적극)'!B:B,"&lt;&gt;합계"))&lt;0.001),"O","X"))</f>
        <v/>
      </c>
      <c r="K96" s="15" t="str">
        <f>IF(A96="","",IF(COUNTIFS('MP내역(적극)'!A:A,A96,'MP내역(적극)'!H:H,"X")=0,"O","X"))</f>
        <v/>
      </c>
      <c r="L96" s="14"/>
    </row>
    <row r="97" spans="4:12" x14ac:dyDescent="0.3">
      <c r="D97" s="14"/>
      <c r="E97" s="15"/>
      <c r="G97" s="15" t="str">
        <f>IF(A97="","",IFERROR(IF(#REF!&gt;VLOOKUP(A97,'포트변경내역(중립)'!A:C,10,0),"O","X"),""))</f>
        <v/>
      </c>
      <c r="H97" s="15" t="str">
        <f>IF(A97="","",COUNTIFS('MP내역(적극)'!$A:$A,A97)-COUNTIFS('MP내역(적극)'!$A:$A,A97,'MP내역(적극)'!$B:$B,"현금")-COUNTIFS('MP내역(적극)'!$A:$A,A97,'MP내역(적극)'!$B:$B,"예수금")-COUNTIFS('MP내역(적극)'!$A:$A,A97,'MP내역(적극)'!$B:$B,"예탁금")-COUNTIFS('MP내역(적극)'!$A:$A,A97,'MP내역(적극)'!$B:$B,"합계"))</f>
        <v/>
      </c>
      <c r="I97" s="15" t="str">
        <f>IF(A97="","",IF(COUNTIFS('MP내역(적극)'!A:A,A97,'MP내역(적극)'!G:G,"&gt;"&amp;#REF!,'MP내역(적극)'!D:D,"&lt;&gt;"&amp;#REF!,'MP내역(적극)'!D:D,"&lt;&gt;"&amp;#REF!,'MP내역(적극)'!B:B,"&lt;&gt;현금",'MP내역(적극)'!B:B,"&lt;&gt;합계")=0,"O","X"))</f>
        <v/>
      </c>
      <c r="J97" s="15" t="str">
        <f>IF(A97="","",IF(AND(ABS(#REF!-SUMIFS('MP내역(적극)'!G:G,'MP내역(적극)'!A:A,A97,'MP내역(적극)'!F:F,"Y"))&lt;0.001,ABS(#REF!-SUMIFS('MP내역(적극)'!G:G,'MP내역(적극)'!A:A,A97,'MP내역(적극)'!B:B,"&lt;&gt;합계"))&lt;0.001),"O","X"))</f>
        <v/>
      </c>
      <c r="K97" s="15" t="str">
        <f>IF(A97="","",IF(COUNTIFS('MP내역(적극)'!A:A,A97,'MP내역(적극)'!H:H,"X")=0,"O","X"))</f>
        <v/>
      </c>
      <c r="L97" s="14"/>
    </row>
    <row r="98" spans="4:12" x14ac:dyDescent="0.3">
      <c r="D98" s="14"/>
      <c r="E98" s="15"/>
      <c r="G98" s="15" t="str">
        <f>IF(A98="","",IFERROR(IF(#REF!&gt;VLOOKUP(A98,'포트변경내역(중립)'!A:C,10,0),"O","X"),""))</f>
        <v/>
      </c>
      <c r="H98" s="15" t="str">
        <f>IF(A98="","",COUNTIFS('MP내역(적극)'!$A:$A,A98)-COUNTIFS('MP내역(적극)'!$A:$A,A98,'MP내역(적극)'!$B:$B,"현금")-COUNTIFS('MP내역(적극)'!$A:$A,A98,'MP내역(적극)'!$B:$B,"예수금")-COUNTIFS('MP내역(적극)'!$A:$A,A98,'MP내역(적극)'!$B:$B,"예탁금")-COUNTIFS('MP내역(적극)'!$A:$A,A98,'MP내역(적극)'!$B:$B,"합계"))</f>
        <v/>
      </c>
      <c r="I98" s="15" t="str">
        <f>IF(A98="","",IF(COUNTIFS('MP내역(적극)'!A:A,A98,'MP내역(적극)'!G:G,"&gt;"&amp;#REF!,'MP내역(적극)'!D:D,"&lt;&gt;"&amp;#REF!,'MP내역(적극)'!D:D,"&lt;&gt;"&amp;#REF!,'MP내역(적극)'!B:B,"&lt;&gt;현금",'MP내역(적극)'!B:B,"&lt;&gt;합계")=0,"O","X"))</f>
        <v/>
      </c>
      <c r="J98" s="15" t="str">
        <f>IF(A98="","",IF(AND(ABS(#REF!-SUMIFS('MP내역(적극)'!G:G,'MP내역(적극)'!A:A,A98,'MP내역(적극)'!F:F,"Y"))&lt;0.001,ABS(#REF!-SUMIFS('MP내역(적극)'!G:G,'MP내역(적극)'!A:A,A98,'MP내역(적극)'!B:B,"&lt;&gt;합계"))&lt;0.001),"O","X"))</f>
        <v/>
      </c>
      <c r="K98" s="15" t="str">
        <f>IF(A98="","",IF(COUNTIFS('MP내역(적극)'!A:A,A98,'MP내역(적극)'!H:H,"X")=0,"O","X"))</f>
        <v/>
      </c>
      <c r="L98" s="14"/>
    </row>
    <row r="99" spans="4:12" x14ac:dyDescent="0.3">
      <c r="D99" s="14"/>
      <c r="E99" s="15"/>
      <c r="G99" s="15" t="str">
        <f>IF(A99="","",IFERROR(IF(#REF!&gt;VLOOKUP(A99,'포트변경내역(중립)'!A:C,10,0),"O","X"),""))</f>
        <v/>
      </c>
      <c r="H99" s="15" t="str">
        <f>IF(A99="","",COUNTIFS('MP내역(적극)'!$A:$A,A99)-COUNTIFS('MP내역(적극)'!$A:$A,A99,'MP내역(적극)'!$B:$B,"현금")-COUNTIFS('MP내역(적극)'!$A:$A,A99,'MP내역(적극)'!$B:$B,"예수금")-COUNTIFS('MP내역(적극)'!$A:$A,A99,'MP내역(적극)'!$B:$B,"예탁금")-COUNTIFS('MP내역(적극)'!$A:$A,A99,'MP내역(적극)'!$B:$B,"합계"))</f>
        <v/>
      </c>
      <c r="I99" s="15" t="str">
        <f>IF(A99="","",IF(COUNTIFS('MP내역(적극)'!A:A,A99,'MP내역(적극)'!G:G,"&gt;"&amp;#REF!,'MP내역(적극)'!D:D,"&lt;&gt;"&amp;#REF!,'MP내역(적극)'!D:D,"&lt;&gt;"&amp;#REF!,'MP내역(적극)'!B:B,"&lt;&gt;현금",'MP내역(적극)'!B:B,"&lt;&gt;합계")=0,"O","X"))</f>
        <v/>
      </c>
      <c r="J99" s="15" t="str">
        <f>IF(A99="","",IF(AND(ABS(#REF!-SUMIFS('MP내역(적극)'!G:G,'MP내역(적극)'!A:A,A99,'MP내역(적극)'!F:F,"Y"))&lt;0.001,ABS(#REF!-SUMIFS('MP내역(적극)'!G:G,'MP내역(적극)'!A:A,A99,'MP내역(적극)'!B:B,"&lt;&gt;합계"))&lt;0.001),"O","X"))</f>
        <v/>
      </c>
      <c r="K99" s="15" t="str">
        <f>IF(A99="","",IF(COUNTIFS('MP내역(적극)'!A:A,A99,'MP내역(적극)'!H:H,"X")=0,"O","X"))</f>
        <v/>
      </c>
      <c r="L99" s="14"/>
    </row>
    <row r="100" spans="4:12" x14ac:dyDescent="0.3">
      <c r="D100" s="14"/>
      <c r="E100" s="15"/>
      <c r="G100" s="15" t="str">
        <f>IF(A100="","",IFERROR(IF(#REF!&gt;VLOOKUP(A100,'포트변경내역(중립)'!A:C,10,0),"O","X"),""))</f>
        <v/>
      </c>
      <c r="H100" s="15" t="str">
        <f>IF(A100="","",COUNTIFS('MP내역(적극)'!$A:$A,A100)-COUNTIFS('MP내역(적극)'!$A:$A,A100,'MP내역(적극)'!$B:$B,"현금")-COUNTIFS('MP내역(적극)'!$A:$A,A100,'MP내역(적극)'!$B:$B,"예수금")-COUNTIFS('MP내역(적극)'!$A:$A,A100,'MP내역(적극)'!$B:$B,"예탁금")-COUNTIFS('MP내역(적극)'!$A:$A,A100,'MP내역(적극)'!$B:$B,"합계"))</f>
        <v/>
      </c>
      <c r="I100" s="15" t="str">
        <f>IF(A100="","",IF(COUNTIFS('MP내역(적극)'!A:A,A100,'MP내역(적극)'!G:G,"&gt;"&amp;#REF!,'MP내역(적극)'!D:D,"&lt;&gt;"&amp;#REF!,'MP내역(적극)'!D:D,"&lt;&gt;"&amp;#REF!,'MP내역(적극)'!B:B,"&lt;&gt;현금",'MP내역(적극)'!B:B,"&lt;&gt;합계")=0,"O","X"))</f>
        <v/>
      </c>
      <c r="J100" s="15" t="str">
        <f>IF(A100="","",IF(AND(ABS(#REF!-SUMIFS('MP내역(적극)'!G:G,'MP내역(적극)'!A:A,A100,'MP내역(적극)'!F:F,"Y"))&lt;0.001,ABS(#REF!-SUMIFS('MP내역(적극)'!G:G,'MP내역(적극)'!A:A,A100,'MP내역(적극)'!B:B,"&lt;&gt;합계"))&lt;0.001),"O","X"))</f>
        <v/>
      </c>
      <c r="K100" s="15" t="str">
        <f>IF(A100="","",IF(COUNTIFS('MP내역(적극)'!A:A,A100,'MP내역(적극)'!H:H,"X")=0,"O","X"))</f>
        <v/>
      </c>
      <c r="L100" s="14"/>
    </row>
    <row r="101" spans="4:12" x14ac:dyDescent="0.3">
      <c r="D101" s="14"/>
      <c r="E101" s="15"/>
      <c r="G101" s="15" t="str">
        <f>IF(A101="","",IFERROR(IF(#REF!&gt;VLOOKUP(A101,'포트변경내역(중립)'!A:C,10,0),"O","X"),""))</f>
        <v/>
      </c>
      <c r="H101" s="15" t="str">
        <f>IF(A101="","",COUNTIFS('MP내역(적극)'!$A:$A,A101)-COUNTIFS('MP내역(적극)'!$A:$A,A101,'MP내역(적극)'!$B:$B,"현금")-COUNTIFS('MP내역(적극)'!$A:$A,A101,'MP내역(적극)'!$B:$B,"예수금")-COUNTIFS('MP내역(적극)'!$A:$A,A101,'MP내역(적극)'!$B:$B,"예탁금")-COUNTIFS('MP내역(적극)'!$A:$A,A101,'MP내역(적극)'!$B:$B,"합계"))</f>
        <v/>
      </c>
      <c r="I101" s="15" t="str">
        <f>IF(A101="","",IF(COUNTIFS('MP내역(적극)'!A:A,A101,'MP내역(적극)'!G:G,"&gt;"&amp;#REF!,'MP내역(적극)'!D:D,"&lt;&gt;"&amp;#REF!,'MP내역(적극)'!D:D,"&lt;&gt;"&amp;#REF!,'MP내역(적극)'!B:B,"&lt;&gt;현금",'MP내역(적극)'!B:B,"&lt;&gt;합계")=0,"O","X"))</f>
        <v/>
      </c>
      <c r="J101" s="15" t="str">
        <f>IF(A101="","",IF(AND(ABS(#REF!-SUMIFS('MP내역(적극)'!G:G,'MP내역(적극)'!A:A,A101,'MP내역(적극)'!F:F,"Y"))&lt;0.001,ABS(#REF!-SUMIFS('MP내역(적극)'!G:G,'MP내역(적극)'!A:A,A101,'MP내역(적극)'!B:B,"&lt;&gt;합계"))&lt;0.001),"O","X"))</f>
        <v/>
      </c>
      <c r="K101" s="15" t="str">
        <f>IF(A101="","",IF(COUNTIFS('MP내역(적극)'!A:A,A101,'MP내역(적극)'!H:H,"X")=0,"O","X"))</f>
        <v/>
      </c>
      <c r="L101" s="14"/>
    </row>
    <row r="102" spans="4:12" x14ac:dyDescent="0.3">
      <c r="D102" s="14"/>
      <c r="E102" s="15"/>
      <c r="G102" s="15" t="str">
        <f>IF(A102="","",IFERROR(IF(#REF!&gt;VLOOKUP(A102,'포트변경내역(중립)'!A:C,10,0),"O","X"),""))</f>
        <v/>
      </c>
      <c r="H102" s="15" t="str">
        <f>IF(A102="","",COUNTIFS('MP내역(적극)'!$A:$A,A102)-COUNTIFS('MP내역(적극)'!$A:$A,A102,'MP내역(적극)'!$B:$B,"현금")-COUNTIFS('MP내역(적극)'!$A:$A,A102,'MP내역(적극)'!$B:$B,"예수금")-COUNTIFS('MP내역(적극)'!$A:$A,A102,'MP내역(적극)'!$B:$B,"예탁금")-COUNTIFS('MP내역(적극)'!$A:$A,A102,'MP내역(적극)'!$B:$B,"합계"))</f>
        <v/>
      </c>
      <c r="I102" s="15" t="str">
        <f>IF(A102="","",IF(COUNTIFS('MP내역(적극)'!A:A,A102,'MP내역(적극)'!G:G,"&gt;"&amp;#REF!,'MP내역(적극)'!D:D,"&lt;&gt;"&amp;#REF!,'MP내역(적극)'!D:D,"&lt;&gt;"&amp;#REF!,'MP내역(적극)'!B:B,"&lt;&gt;현금",'MP내역(적극)'!B:B,"&lt;&gt;합계")=0,"O","X"))</f>
        <v/>
      </c>
      <c r="J102" s="15" t="str">
        <f>IF(A102="","",IF(AND(ABS(#REF!-SUMIFS('MP내역(적극)'!G:G,'MP내역(적극)'!A:A,A102,'MP내역(적극)'!F:F,"Y"))&lt;0.001,ABS(#REF!-SUMIFS('MP내역(적극)'!G:G,'MP내역(적극)'!A:A,A102,'MP내역(적극)'!B:B,"&lt;&gt;합계"))&lt;0.001),"O","X"))</f>
        <v/>
      </c>
      <c r="K102" s="15" t="str">
        <f>IF(A102="","",IF(COUNTIFS('MP내역(적극)'!A:A,A102,'MP내역(적극)'!H:H,"X")=0,"O","X"))</f>
        <v/>
      </c>
      <c r="L102" s="14"/>
    </row>
    <row r="103" spans="4:12" x14ac:dyDescent="0.3">
      <c r="D103" s="14"/>
      <c r="E103" s="15"/>
      <c r="G103" s="15" t="str">
        <f>IF(A103="","",IFERROR(IF(#REF!&gt;VLOOKUP(A103,'포트변경내역(중립)'!A:C,10,0),"O","X"),""))</f>
        <v/>
      </c>
      <c r="H103" s="15" t="str">
        <f>IF(A103="","",COUNTIFS('MP내역(적극)'!$A:$A,A103)-COUNTIFS('MP내역(적극)'!$A:$A,A103,'MP내역(적극)'!$B:$B,"현금")-COUNTIFS('MP내역(적극)'!$A:$A,A103,'MP내역(적극)'!$B:$B,"예수금")-COUNTIFS('MP내역(적극)'!$A:$A,A103,'MP내역(적극)'!$B:$B,"예탁금")-COUNTIFS('MP내역(적극)'!$A:$A,A103,'MP내역(적극)'!$B:$B,"합계"))</f>
        <v/>
      </c>
      <c r="I103" s="15" t="str">
        <f>IF(A103="","",IF(COUNTIFS('MP내역(적극)'!A:A,A103,'MP내역(적극)'!G:G,"&gt;"&amp;#REF!,'MP내역(적극)'!D:D,"&lt;&gt;"&amp;#REF!,'MP내역(적극)'!D:D,"&lt;&gt;"&amp;#REF!,'MP내역(적극)'!B:B,"&lt;&gt;현금",'MP내역(적극)'!B:B,"&lt;&gt;합계")=0,"O","X"))</f>
        <v/>
      </c>
      <c r="J103" s="15" t="str">
        <f>IF(A103="","",IF(AND(ABS(#REF!-SUMIFS('MP내역(적극)'!G:G,'MP내역(적극)'!A:A,A103,'MP내역(적극)'!F:F,"Y"))&lt;0.001,ABS(#REF!-SUMIFS('MP내역(적극)'!G:G,'MP내역(적극)'!A:A,A103,'MP내역(적극)'!B:B,"&lt;&gt;합계"))&lt;0.001),"O","X"))</f>
        <v/>
      </c>
      <c r="K103" s="15" t="str">
        <f>IF(A103="","",IF(COUNTIFS('MP내역(적극)'!A:A,A103,'MP내역(적극)'!H:H,"X")=0,"O","X"))</f>
        <v/>
      </c>
      <c r="L103" s="14"/>
    </row>
    <row r="104" spans="4:12" x14ac:dyDescent="0.3">
      <c r="D104" s="14"/>
      <c r="E104" s="15"/>
      <c r="G104" s="15" t="str">
        <f>IF(A104="","",IFERROR(IF(#REF!&gt;VLOOKUP(A104,'포트변경내역(중립)'!A:C,10,0),"O","X"),""))</f>
        <v/>
      </c>
      <c r="H104" s="15" t="str">
        <f>IF(A104="","",COUNTIFS('MP내역(적극)'!$A:$A,A104)-COUNTIFS('MP내역(적극)'!$A:$A,A104,'MP내역(적극)'!$B:$B,"현금")-COUNTIFS('MP내역(적극)'!$A:$A,A104,'MP내역(적극)'!$B:$B,"예수금")-COUNTIFS('MP내역(적극)'!$A:$A,A104,'MP내역(적극)'!$B:$B,"예탁금")-COUNTIFS('MP내역(적극)'!$A:$A,A104,'MP내역(적극)'!$B:$B,"합계"))</f>
        <v/>
      </c>
      <c r="I104" s="15" t="str">
        <f>IF(A104="","",IF(COUNTIFS('MP내역(적극)'!A:A,A104,'MP내역(적극)'!G:G,"&gt;"&amp;#REF!,'MP내역(적극)'!D:D,"&lt;&gt;"&amp;#REF!,'MP내역(적극)'!D:D,"&lt;&gt;"&amp;#REF!,'MP내역(적극)'!B:B,"&lt;&gt;현금",'MP내역(적극)'!B:B,"&lt;&gt;합계")=0,"O","X"))</f>
        <v/>
      </c>
      <c r="J104" s="15" t="str">
        <f>IF(A104="","",IF(AND(ABS(#REF!-SUMIFS('MP내역(적극)'!G:G,'MP내역(적극)'!A:A,A104,'MP내역(적극)'!F:F,"Y"))&lt;0.001,ABS(#REF!-SUMIFS('MP내역(적극)'!G:G,'MP내역(적극)'!A:A,A104,'MP내역(적극)'!B:B,"&lt;&gt;합계"))&lt;0.001),"O","X"))</f>
        <v/>
      </c>
      <c r="K104" s="15" t="str">
        <f>IF(A104="","",IF(COUNTIFS('MP내역(적극)'!A:A,A104,'MP내역(적극)'!H:H,"X")=0,"O","X"))</f>
        <v/>
      </c>
      <c r="L104" s="14"/>
    </row>
    <row r="105" spans="4:12" x14ac:dyDescent="0.3">
      <c r="D105" s="14"/>
      <c r="E105" s="15"/>
      <c r="G105" s="15" t="str">
        <f>IF(A105="","",IFERROR(IF(#REF!&gt;VLOOKUP(A105,'포트변경내역(중립)'!A:C,10,0),"O","X"),""))</f>
        <v/>
      </c>
      <c r="H105" s="15" t="str">
        <f>IF(A105="","",COUNTIFS('MP내역(적극)'!$A:$A,A105)-COUNTIFS('MP내역(적극)'!$A:$A,A105,'MP내역(적극)'!$B:$B,"현금")-COUNTIFS('MP내역(적극)'!$A:$A,A105,'MP내역(적극)'!$B:$B,"예수금")-COUNTIFS('MP내역(적극)'!$A:$A,A105,'MP내역(적극)'!$B:$B,"예탁금")-COUNTIFS('MP내역(적극)'!$A:$A,A105,'MP내역(적극)'!$B:$B,"합계"))</f>
        <v/>
      </c>
      <c r="I105" s="15" t="str">
        <f>IF(A105="","",IF(COUNTIFS('MP내역(적극)'!A:A,A105,'MP내역(적극)'!G:G,"&gt;"&amp;#REF!,'MP내역(적극)'!D:D,"&lt;&gt;"&amp;#REF!,'MP내역(적극)'!D:D,"&lt;&gt;"&amp;#REF!,'MP내역(적극)'!B:B,"&lt;&gt;현금",'MP내역(적극)'!B:B,"&lt;&gt;합계")=0,"O","X"))</f>
        <v/>
      </c>
      <c r="J105" s="15" t="str">
        <f>IF(A105="","",IF(AND(ABS(#REF!-SUMIFS('MP내역(적극)'!G:G,'MP내역(적극)'!A:A,A105,'MP내역(적극)'!F:F,"Y"))&lt;0.001,ABS(#REF!-SUMIFS('MP내역(적극)'!G:G,'MP내역(적극)'!A:A,A105,'MP내역(적극)'!B:B,"&lt;&gt;합계"))&lt;0.001),"O","X"))</f>
        <v/>
      </c>
      <c r="K105" s="15" t="str">
        <f>IF(A105="","",IF(COUNTIFS('MP내역(적극)'!A:A,A105,'MP내역(적극)'!H:H,"X")=0,"O","X"))</f>
        <v/>
      </c>
      <c r="L105" s="14"/>
    </row>
    <row r="106" spans="4:12" x14ac:dyDescent="0.3">
      <c r="D106" s="14"/>
      <c r="E106" s="15"/>
      <c r="G106" s="15" t="str">
        <f>IF(A106="","",IFERROR(IF(#REF!&gt;VLOOKUP(A106,'포트변경내역(중립)'!A:C,10,0),"O","X"),""))</f>
        <v/>
      </c>
      <c r="H106" s="15" t="str">
        <f>IF(A106="","",COUNTIFS('MP내역(적극)'!$A:$A,A106)-COUNTIFS('MP내역(적극)'!$A:$A,A106,'MP내역(적극)'!$B:$B,"현금")-COUNTIFS('MP내역(적극)'!$A:$A,A106,'MP내역(적극)'!$B:$B,"예수금")-COUNTIFS('MP내역(적극)'!$A:$A,A106,'MP내역(적극)'!$B:$B,"예탁금")-COUNTIFS('MP내역(적극)'!$A:$A,A106,'MP내역(적극)'!$B:$B,"합계"))</f>
        <v/>
      </c>
      <c r="I106" s="15" t="str">
        <f>IF(A106="","",IF(COUNTIFS('MP내역(적극)'!A:A,A106,'MP내역(적극)'!G:G,"&gt;"&amp;#REF!,'MP내역(적극)'!D:D,"&lt;&gt;"&amp;#REF!,'MP내역(적극)'!D:D,"&lt;&gt;"&amp;#REF!,'MP내역(적극)'!B:B,"&lt;&gt;현금",'MP내역(적극)'!B:B,"&lt;&gt;합계")=0,"O","X"))</f>
        <v/>
      </c>
      <c r="J106" s="15" t="str">
        <f>IF(A106="","",IF(AND(ABS(#REF!-SUMIFS('MP내역(적극)'!G:G,'MP내역(적극)'!A:A,A106,'MP내역(적극)'!F:F,"Y"))&lt;0.001,ABS(#REF!-SUMIFS('MP내역(적극)'!G:G,'MP내역(적극)'!A:A,A106,'MP내역(적극)'!B:B,"&lt;&gt;합계"))&lt;0.001),"O","X"))</f>
        <v/>
      </c>
      <c r="K106" s="15" t="str">
        <f>IF(A106="","",IF(COUNTIFS('MP내역(적극)'!A:A,A106,'MP내역(적극)'!H:H,"X")=0,"O","X"))</f>
        <v/>
      </c>
      <c r="L106" s="14"/>
    </row>
    <row r="107" spans="4:12" x14ac:dyDescent="0.3">
      <c r="D107" s="14"/>
      <c r="E107" s="15"/>
      <c r="G107" s="15" t="str">
        <f>IF(A107="","",IFERROR(IF(#REF!&gt;VLOOKUP(A107,'포트변경내역(중립)'!A:C,10,0),"O","X"),""))</f>
        <v/>
      </c>
      <c r="H107" s="15" t="str">
        <f>IF(A107="","",COUNTIFS('MP내역(적극)'!$A:$A,A107)-COUNTIFS('MP내역(적극)'!$A:$A,A107,'MP내역(적극)'!$B:$B,"현금")-COUNTIFS('MP내역(적극)'!$A:$A,A107,'MP내역(적극)'!$B:$B,"예수금")-COUNTIFS('MP내역(적극)'!$A:$A,A107,'MP내역(적극)'!$B:$B,"예탁금")-COUNTIFS('MP내역(적극)'!$A:$A,A107,'MP내역(적극)'!$B:$B,"합계"))</f>
        <v/>
      </c>
      <c r="I107" s="15" t="str">
        <f>IF(A107="","",IF(COUNTIFS('MP내역(적극)'!A:A,A107,'MP내역(적극)'!G:G,"&gt;"&amp;#REF!,'MP내역(적극)'!D:D,"&lt;&gt;"&amp;#REF!,'MP내역(적극)'!D:D,"&lt;&gt;"&amp;#REF!,'MP내역(적극)'!B:B,"&lt;&gt;현금",'MP내역(적극)'!B:B,"&lt;&gt;합계")=0,"O","X"))</f>
        <v/>
      </c>
      <c r="J107" s="15" t="str">
        <f>IF(A107="","",IF(AND(ABS(#REF!-SUMIFS('MP내역(적극)'!G:G,'MP내역(적극)'!A:A,A107,'MP내역(적극)'!F:F,"Y"))&lt;0.001,ABS(#REF!-SUMIFS('MP내역(적극)'!G:G,'MP내역(적극)'!A:A,A107,'MP내역(적극)'!B:B,"&lt;&gt;합계"))&lt;0.001),"O","X"))</f>
        <v/>
      </c>
      <c r="K107" s="15" t="str">
        <f>IF(A107="","",IF(COUNTIFS('MP내역(적극)'!A:A,A107,'MP내역(적극)'!H:H,"X")=0,"O","X"))</f>
        <v/>
      </c>
      <c r="L107" s="14"/>
    </row>
    <row r="108" spans="4:12" x14ac:dyDescent="0.3">
      <c r="D108" s="14"/>
      <c r="E108" s="15"/>
      <c r="G108" s="15" t="str">
        <f>IF(A108="","",IFERROR(IF(#REF!&gt;VLOOKUP(A108,'포트변경내역(중립)'!A:C,10,0),"O","X"),""))</f>
        <v/>
      </c>
      <c r="H108" s="15" t="str">
        <f>IF(A108="","",COUNTIFS('MP내역(적극)'!$A:$A,A108)-COUNTIFS('MP내역(적극)'!$A:$A,A108,'MP내역(적극)'!$B:$B,"현금")-COUNTIFS('MP내역(적극)'!$A:$A,A108,'MP내역(적극)'!$B:$B,"예수금")-COUNTIFS('MP내역(적극)'!$A:$A,A108,'MP내역(적극)'!$B:$B,"예탁금")-COUNTIFS('MP내역(적극)'!$A:$A,A108,'MP내역(적극)'!$B:$B,"합계"))</f>
        <v/>
      </c>
      <c r="I108" s="15" t="str">
        <f>IF(A108="","",IF(COUNTIFS('MP내역(적극)'!A:A,A108,'MP내역(적극)'!G:G,"&gt;"&amp;#REF!,'MP내역(적극)'!D:D,"&lt;&gt;"&amp;#REF!,'MP내역(적극)'!D:D,"&lt;&gt;"&amp;#REF!,'MP내역(적극)'!B:B,"&lt;&gt;현금",'MP내역(적극)'!B:B,"&lt;&gt;합계")=0,"O","X"))</f>
        <v/>
      </c>
      <c r="J108" s="15" t="str">
        <f>IF(A108="","",IF(AND(ABS(#REF!-SUMIFS('MP내역(적극)'!G:G,'MP내역(적극)'!A:A,A108,'MP내역(적극)'!F:F,"Y"))&lt;0.001,ABS(#REF!-SUMIFS('MP내역(적극)'!G:G,'MP내역(적극)'!A:A,A108,'MP내역(적극)'!B:B,"&lt;&gt;합계"))&lt;0.001),"O","X"))</f>
        <v/>
      </c>
      <c r="K108" s="15" t="str">
        <f>IF(A108="","",IF(COUNTIFS('MP내역(적극)'!A:A,A108,'MP내역(적극)'!H:H,"X")=0,"O","X"))</f>
        <v/>
      </c>
      <c r="L108" s="14"/>
    </row>
    <row r="109" spans="4:12" x14ac:dyDescent="0.3">
      <c r="D109" s="14"/>
      <c r="E109" s="15"/>
      <c r="G109" s="15" t="str">
        <f>IF(A109="","",IFERROR(IF(#REF!&gt;VLOOKUP(A109,'포트변경내역(중립)'!A:C,10,0),"O","X"),""))</f>
        <v/>
      </c>
      <c r="H109" s="15" t="str">
        <f>IF(A109="","",COUNTIFS('MP내역(적극)'!$A:$A,A109)-COUNTIFS('MP내역(적극)'!$A:$A,A109,'MP내역(적극)'!$B:$B,"현금")-COUNTIFS('MP내역(적극)'!$A:$A,A109,'MP내역(적극)'!$B:$B,"예수금")-COUNTIFS('MP내역(적극)'!$A:$A,A109,'MP내역(적극)'!$B:$B,"예탁금")-COUNTIFS('MP내역(적극)'!$A:$A,A109,'MP내역(적극)'!$B:$B,"합계"))</f>
        <v/>
      </c>
      <c r="I109" s="15" t="str">
        <f>IF(A109="","",IF(COUNTIFS('MP내역(적극)'!A:A,A109,'MP내역(적극)'!G:G,"&gt;"&amp;#REF!,'MP내역(적극)'!D:D,"&lt;&gt;"&amp;#REF!,'MP내역(적극)'!D:D,"&lt;&gt;"&amp;#REF!,'MP내역(적극)'!B:B,"&lt;&gt;현금",'MP내역(적극)'!B:B,"&lt;&gt;합계")=0,"O","X"))</f>
        <v/>
      </c>
      <c r="J109" s="15" t="str">
        <f>IF(A109="","",IF(AND(ABS(#REF!-SUMIFS('MP내역(적극)'!G:G,'MP내역(적극)'!A:A,A109,'MP내역(적극)'!F:F,"Y"))&lt;0.001,ABS(#REF!-SUMIFS('MP내역(적극)'!G:G,'MP내역(적극)'!A:A,A109,'MP내역(적극)'!B:B,"&lt;&gt;합계"))&lt;0.001),"O","X"))</f>
        <v/>
      </c>
      <c r="K109" s="15" t="str">
        <f>IF(A109="","",IF(COUNTIFS('MP내역(적극)'!A:A,A109,'MP내역(적극)'!H:H,"X")=0,"O","X"))</f>
        <v/>
      </c>
      <c r="L109" s="14"/>
    </row>
    <row r="110" spans="4:12" x14ac:dyDescent="0.3">
      <c r="D110" s="14"/>
      <c r="E110" s="15"/>
      <c r="G110" s="15" t="str">
        <f>IF(A110="","",IFERROR(IF(#REF!&gt;VLOOKUP(A110,'포트변경내역(중립)'!A:C,10,0),"O","X"),""))</f>
        <v/>
      </c>
      <c r="H110" s="15" t="str">
        <f>IF(A110="","",COUNTIFS('MP내역(적극)'!$A:$A,A110)-COUNTIFS('MP내역(적극)'!$A:$A,A110,'MP내역(적극)'!$B:$B,"현금")-COUNTIFS('MP내역(적극)'!$A:$A,A110,'MP내역(적극)'!$B:$B,"예수금")-COUNTIFS('MP내역(적극)'!$A:$A,A110,'MP내역(적극)'!$B:$B,"예탁금")-COUNTIFS('MP내역(적극)'!$A:$A,A110,'MP내역(적극)'!$B:$B,"합계"))</f>
        <v/>
      </c>
      <c r="I110" s="15" t="str">
        <f>IF(A110="","",IF(COUNTIFS('MP내역(적극)'!A:A,A110,'MP내역(적극)'!G:G,"&gt;"&amp;#REF!,'MP내역(적극)'!D:D,"&lt;&gt;"&amp;#REF!,'MP내역(적극)'!D:D,"&lt;&gt;"&amp;#REF!,'MP내역(적극)'!B:B,"&lt;&gt;현금",'MP내역(적극)'!B:B,"&lt;&gt;합계")=0,"O","X"))</f>
        <v/>
      </c>
      <c r="J110" s="15" t="str">
        <f>IF(A110="","",IF(AND(ABS(#REF!-SUMIFS('MP내역(적극)'!G:G,'MP내역(적극)'!A:A,A110,'MP내역(적극)'!F:F,"Y"))&lt;0.001,ABS(#REF!-SUMIFS('MP내역(적극)'!G:G,'MP내역(적극)'!A:A,A110,'MP내역(적극)'!B:B,"&lt;&gt;합계"))&lt;0.001),"O","X"))</f>
        <v/>
      </c>
      <c r="K110" s="15" t="str">
        <f>IF(A110="","",IF(COUNTIFS('MP내역(적극)'!A:A,A110,'MP내역(적극)'!H:H,"X")=0,"O","X"))</f>
        <v/>
      </c>
      <c r="L110" s="14"/>
    </row>
    <row r="111" spans="4:12" x14ac:dyDescent="0.3">
      <c r="D111" s="14"/>
      <c r="E111" s="15"/>
      <c r="G111" s="15" t="str">
        <f>IF(A111="","",IFERROR(IF(#REF!&gt;VLOOKUP(A111,'포트변경내역(중립)'!A:C,10,0),"O","X"),""))</f>
        <v/>
      </c>
      <c r="H111" s="15" t="str">
        <f>IF(A111="","",COUNTIFS('MP내역(적극)'!$A:$A,A111)-COUNTIFS('MP내역(적극)'!$A:$A,A111,'MP내역(적극)'!$B:$B,"현금")-COUNTIFS('MP내역(적극)'!$A:$A,A111,'MP내역(적극)'!$B:$B,"예수금")-COUNTIFS('MP내역(적극)'!$A:$A,A111,'MP내역(적극)'!$B:$B,"예탁금")-COUNTIFS('MP내역(적극)'!$A:$A,A111,'MP내역(적극)'!$B:$B,"합계"))</f>
        <v/>
      </c>
      <c r="I111" s="15" t="str">
        <f>IF(A111="","",IF(COUNTIFS('MP내역(적극)'!A:A,A111,'MP내역(적극)'!G:G,"&gt;"&amp;#REF!,'MP내역(적극)'!D:D,"&lt;&gt;"&amp;#REF!,'MP내역(적극)'!D:D,"&lt;&gt;"&amp;#REF!,'MP내역(적극)'!B:B,"&lt;&gt;현금",'MP내역(적극)'!B:B,"&lt;&gt;합계")=0,"O","X"))</f>
        <v/>
      </c>
      <c r="J111" s="15" t="str">
        <f>IF(A111="","",IF(AND(ABS(#REF!-SUMIFS('MP내역(적극)'!G:G,'MP내역(적극)'!A:A,A111,'MP내역(적극)'!F:F,"Y"))&lt;0.001,ABS(#REF!-SUMIFS('MP내역(적극)'!G:G,'MP내역(적극)'!A:A,A111,'MP내역(적극)'!B:B,"&lt;&gt;합계"))&lt;0.001),"O","X"))</f>
        <v/>
      </c>
      <c r="K111" s="15" t="str">
        <f>IF(A111="","",IF(COUNTIFS('MP내역(적극)'!A:A,A111,'MP내역(적극)'!H:H,"X")=0,"O","X"))</f>
        <v/>
      </c>
      <c r="L111" s="14"/>
    </row>
    <row r="112" spans="4:12" x14ac:dyDescent="0.3">
      <c r="D112" s="14"/>
      <c r="E112" s="15"/>
      <c r="G112" s="15" t="str">
        <f>IF(A112="","",IFERROR(IF(#REF!&gt;VLOOKUP(A112,'포트변경내역(중립)'!A:C,10,0),"O","X"),""))</f>
        <v/>
      </c>
      <c r="H112" s="15" t="str">
        <f>IF(A112="","",COUNTIFS('MP내역(적극)'!$A:$A,A112)-COUNTIFS('MP내역(적극)'!$A:$A,A112,'MP내역(적극)'!$B:$B,"현금")-COUNTIFS('MP내역(적극)'!$A:$A,A112,'MP내역(적극)'!$B:$B,"예수금")-COUNTIFS('MP내역(적극)'!$A:$A,A112,'MP내역(적극)'!$B:$B,"예탁금")-COUNTIFS('MP내역(적극)'!$A:$A,A112,'MP내역(적극)'!$B:$B,"합계"))</f>
        <v/>
      </c>
      <c r="I112" s="15" t="str">
        <f>IF(A112="","",IF(COUNTIFS('MP내역(적극)'!A:A,A112,'MP내역(적극)'!G:G,"&gt;"&amp;#REF!,'MP내역(적극)'!D:D,"&lt;&gt;"&amp;#REF!,'MP내역(적극)'!D:D,"&lt;&gt;"&amp;#REF!,'MP내역(적극)'!B:B,"&lt;&gt;현금",'MP내역(적극)'!B:B,"&lt;&gt;합계")=0,"O","X"))</f>
        <v/>
      </c>
      <c r="J112" s="15" t="str">
        <f>IF(A112="","",IF(AND(ABS(#REF!-SUMIFS('MP내역(적극)'!G:G,'MP내역(적극)'!A:A,A112,'MP내역(적극)'!F:F,"Y"))&lt;0.001,ABS(#REF!-SUMIFS('MP내역(적극)'!G:G,'MP내역(적극)'!A:A,A112,'MP내역(적극)'!B:B,"&lt;&gt;합계"))&lt;0.001),"O","X"))</f>
        <v/>
      </c>
      <c r="K112" s="15" t="str">
        <f>IF(A112="","",IF(COUNTIFS('MP내역(적극)'!A:A,A112,'MP내역(적극)'!H:H,"X")=0,"O","X"))</f>
        <v/>
      </c>
      <c r="L112" s="14"/>
    </row>
    <row r="113" spans="4:12" x14ac:dyDescent="0.3">
      <c r="D113" s="14"/>
      <c r="E113" s="15"/>
      <c r="G113" s="15" t="str">
        <f>IF(A113="","",IFERROR(IF(#REF!&gt;VLOOKUP(A113,'포트변경내역(중립)'!A:C,10,0),"O","X"),""))</f>
        <v/>
      </c>
      <c r="H113" s="15" t="str">
        <f>IF(A113="","",COUNTIFS('MP내역(적극)'!$A:$A,A113)-COUNTIFS('MP내역(적극)'!$A:$A,A113,'MP내역(적극)'!$B:$B,"현금")-COUNTIFS('MP내역(적극)'!$A:$A,A113,'MP내역(적극)'!$B:$B,"예수금")-COUNTIFS('MP내역(적극)'!$A:$A,A113,'MP내역(적극)'!$B:$B,"예탁금")-COUNTIFS('MP내역(적극)'!$A:$A,A113,'MP내역(적극)'!$B:$B,"합계"))</f>
        <v/>
      </c>
      <c r="I113" s="15" t="str">
        <f>IF(A113="","",IF(COUNTIFS('MP내역(적극)'!A:A,A113,'MP내역(적극)'!G:G,"&gt;"&amp;#REF!,'MP내역(적극)'!D:D,"&lt;&gt;"&amp;#REF!,'MP내역(적극)'!D:D,"&lt;&gt;"&amp;#REF!,'MP내역(적극)'!B:B,"&lt;&gt;현금",'MP내역(적극)'!B:B,"&lt;&gt;합계")=0,"O","X"))</f>
        <v/>
      </c>
      <c r="J113" s="15" t="str">
        <f>IF(A113="","",IF(AND(ABS(#REF!-SUMIFS('MP내역(적극)'!G:G,'MP내역(적극)'!A:A,A113,'MP내역(적극)'!F:F,"Y"))&lt;0.001,ABS(#REF!-SUMIFS('MP내역(적극)'!G:G,'MP내역(적극)'!A:A,A113,'MP내역(적극)'!B:B,"&lt;&gt;합계"))&lt;0.001),"O","X"))</f>
        <v/>
      </c>
      <c r="K113" s="15" t="str">
        <f>IF(A113="","",IF(COUNTIFS('MP내역(적극)'!A:A,A113,'MP내역(적극)'!H:H,"X")=0,"O","X"))</f>
        <v/>
      </c>
      <c r="L113" s="14"/>
    </row>
    <row r="114" spans="4:12" x14ac:dyDescent="0.3">
      <c r="D114" s="14"/>
      <c r="E114" s="15"/>
      <c r="G114" s="15" t="str">
        <f>IF(A114="","",IFERROR(IF(#REF!&gt;VLOOKUP(A114,'포트변경내역(중립)'!A:C,10,0),"O","X"),""))</f>
        <v/>
      </c>
      <c r="H114" s="15" t="str">
        <f>IF(A114="","",COUNTIFS('MP내역(적극)'!$A:$A,A114)-COUNTIFS('MP내역(적극)'!$A:$A,A114,'MP내역(적극)'!$B:$B,"현금")-COUNTIFS('MP내역(적극)'!$A:$A,A114,'MP내역(적극)'!$B:$B,"예수금")-COUNTIFS('MP내역(적극)'!$A:$A,A114,'MP내역(적극)'!$B:$B,"예탁금")-COUNTIFS('MP내역(적극)'!$A:$A,A114,'MP내역(적극)'!$B:$B,"합계"))</f>
        <v/>
      </c>
      <c r="I114" s="15" t="str">
        <f>IF(A114="","",IF(COUNTIFS('MP내역(적극)'!A:A,A114,'MP내역(적극)'!G:G,"&gt;"&amp;#REF!,'MP내역(적극)'!D:D,"&lt;&gt;"&amp;#REF!,'MP내역(적극)'!D:D,"&lt;&gt;"&amp;#REF!,'MP내역(적극)'!B:B,"&lt;&gt;현금",'MP내역(적극)'!B:B,"&lt;&gt;합계")=0,"O","X"))</f>
        <v/>
      </c>
      <c r="J114" s="15" t="str">
        <f>IF(A114="","",IF(AND(ABS(#REF!-SUMIFS('MP내역(적극)'!G:G,'MP내역(적극)'!A:A,A114,'MP내역(적극)'!F:F,"Y"))&lt;0.001,ABS(#REF!-SUMIFS('MP내역(적극)'!G:G,'MP내역(적극)'!A:A,A114,'MP내역(적극)'!B:B,"&lt;&gt;합계"))&lt;0.001),"O","X"))</f>
        <v/>
      </c>
      <c r="K114" s="15" t="str">
        <f>IF(A114="","",IF(COUNTIFS('MP내역(적극)'!A:A,A114,'MP내역(적극)'!H:H,"X")=0,"O","X"))</f>
        <v/>
      </c>
      <c r="L114" s="14"/>
    </row>
    <row r="115" spans="4:12" x14ac:dyDescent="0.3">
      <c r="D115" s="14"/>
      <c r="E115" s="15"/>
      <c r="G115" s="15" t="str">
        <f>IF(A115="","",IFERROR(IF(#REF!&gt;VLOOKUP(A115,'포트변경내역(중립)'!A:C,10,0),"O","X"),""))</f>
        <v/>
      </c>
      <c r="H115" s="15" t="str">
        <f>IF(A115="","",COUNTIFS('MP내역(적극)'!$A:$A,A115)-COUNTIFS('MP내역(적극)'!$A:$A,A115,'MP내역(적극)'!$B:$B,"현금")-COUNTIFS('MP내역(적극)'!$A:$A,A115,'MP내역(적극)'!$B:$B,"예수금")-COUNTIFS('MP내역(적극)'!$A:$A,A115,'MP내역(적극)'!$B:$B,"예탁금")-COUNTIFS('MP내역(적극)'!$A:$A,A115,'MP내역(적극)'!$B:$B,"합계"))</f>
        <v/>
      </c>
      <c r="I115" s="15" t="str">
        <f>IF(A115="","",IF(COUNTIFS('MP내역(적극)'!A:A,A115,'MP내역(적극)'!G:G,"&gt;"&amp;#REF!,'MP내역(적극)'!D:D,"&lt;&gt;"&amp;#REF!,'MP내역(적극)'!D:D,"&lt;&gt;"&amp;#REF!,'MP내역(적극)'!B:B,"&lt;&gt;현금",'MP내역(적극)'!B:B,"&lt;&gt;합계")=0,"O","X"))</f>
        <v/>
      </c>
      <c r="J115" s="15" t="str">
        <f>IF(A115="","",IF(AND(ABS(#REF!-SUMIFS('MP내역(적극)'!G:G,'MP내역(적극)'!A:A,A115,'MP내역(적극)'!F:F,"Y"))&lt;0.001,ABS(#REF!-SUMIFS('MP내역(적극)'!G:G,'MP내역(적극)'!A:A,A115,'MP내역(적극)'!B:B,"&lt;&gt;합계"))&lt;0.001),"O","X"))</f>
        <v/>
      </c>
      <c r="K115" s="15" t="str">
        <f>IF(A115="","",IF(COUNTIFS('MP내역(적극)'!A:A,A115,'MP내역(적극)'!H:H,"X")=0,"O","X"))</f>
        <v/>
      </c>
      <c r="L115" s="14"/>
    </row>
    <row r="116" spans="4:12" x14ac:dyDescent="0.3">
      <c r="D116" s="14"/>
      <c r="E116" s="15"/>
      <c r="G116" s="15" t="str">
        <f>IF(A116="","",IFERROR(IF(#REF!&gt;VLOOKUP(A116,'포트변경내역(중립)'!A:C,10,0),"O","X"),""))</f>
        <v/>
      </c>
      <c r="H116" s="15" t="str">
        <f>IF(A116="","",COUNTIFS('MP내역(적극)'!$A:$A,A116)-COUNTIFS('MP내역(적극)'!$A:$A,A116,'MP내역(적극)'!$B:$B,"현금")-COUNTIFS('MP내역(적극)'!$A:$A,A116,'MP내역(적극)'!$B:$B,"예수금")-COUNTIFS('MP내역(적극)'!$A:$A,A116,'MP내역(적극)'!$B:$B,"예탁금")-COUNTIFS('MP내역(적극)'!$A:$A,A116,'MP내역(적극)'!$B:$B,"합계"))</f>
        <v/>
      </c>
      <c r="I116" s="15" t="str">
        <f>IF(A116="","",IF(COUNTIFS('MP내역(적극)'!A:A,A116,'MP내역(적극)'!G:G,"&gt;"&amp;#REF!,'MP내역(적극)'!D:D,"&lt;&gt;"&amp;#REF!,'MP내역(적극)'!D:D,"&lt;&gt;"&amp;#REF!,'MP내역(적극)'!B:B,"&lt;&gt;현금",'MP내역(적극)'!B:B,"&lt;&gt;합계")=0,"O","X"))</f>
        <v/>
      </c>
      <c r="J116" s="15" t="str">
        <f>IF(A116="","",IF(AND(ABS(#REF!-SUMIFS('MP내역(적극)'!G:G,'MP내역(적극)'!A:A,A116,'MP내역(적극)'!F:F,"Y"))&lt;0.001,ABS(#REF!-SUMIFS('MP내역(적극)'!G:G,'MP내역(적극)'!A:A,A116,'MP내역(적극)'!B:B,"&lt;&gt;합계"))&lt;0.001),"O","X"))</f>
        <v/>
      </c>
      <c r="K116" s="15" t="str">
        <f>IF(A116="","",IF(COUNTIFS('MP내역(적극)'!A:A,A116,'MP내역(적극)'!H:H,"X")=0,"O","X"))</f>
        <v/>
      </c>
      <c r="L116" s="14"/>
    </row>
    <row r="117" spans="4:12" x14ac:dyDescent="0.3">
      <c r="D117" s="14"/>
      <c r="E117" s="15"/>
      <c r="G117" s="15" t="str">
        <f>IF(A117="","",IFERROR(IF(#REF!&gt;VLOOKUP(A117,'포트변경내역(중립)'!A:C,10,0),"O","X"),""))</f>
        <v/>
      </c>
      <c r="H117" s="15" t="str">
        <f>IF(A117="","",COUNTIFS('MP내역(적극)'!$A:$A,A117)-COUNTIFS('MP내역(적극)'!$A:$A,A117,'MP내역(적극)'!$B:$B,"현금")-COUNTIFS('MP내역(적극)'!$A:$A,A117,'MP내역(적극)'!$B:$B,"예수금")-COUNTIFS('MP내역(적극)'!$A:$A,A117,'MP내역(적극)'!$B:$B,"예탁금")-COUNTIFS('MP내역(적극)'!$A:$A,A117,'MP내역(적극)'!$B:$B,"합계"))</f>
        <v/>
      </c>
      <c r="I117" s="15" t="str">
        <f>IF(A117="","",IF(COUNTIFS('MP내역(적극)'!A:A,A117,'MP내역(적극)'!G:G,"&gt;"&amp;#REF!,'MP내역(적극)'!D:D,"&lt;&gt;"&amp;#REF!,'MP내역(적극)'!D:D,"&lt;&gt;"&amp;#REF!,'MP내역(적극)'!B:B,"&lt;&gt;현금",'MP내역(적극)'!B:B,"&lt;&gt;합계")=0,"O","X"))</f>
        <v/>
      </c>
      <c r="J117" s="15" t="str">
        <f>IF(A117="","",IF(AND(ABS(#REF!-SUMIFS('MP내역(적극)'!G:G,'MP내역(적극)'!A:A,A117,'MP내역(적극)'!F:F,"Y"))&lt;0.001,ABS(#REF!-SUMIFS('MP내역(적극)'!G:G,'MP내역(적극)'!A:A,A117,'MP내역(적극)'!B:B,"&lt;&gt;합계"))&lt;0.001),"O","X"))</f>
        <v/>
      </c>
      <c r="K117" s="15" t="str">
        <f>IF(A117="","",IF(COUNTIFS('MP내역(적극)'!A:A,A117,'MP내역(적극)'!H:H,"X")=0,"O","X"))</f>
        <v/>
      </c>
      <c r="L117" s="14"/>
    </row>
    <row r="118" spans="4:12" x14ac:dyDescent="0.3">
      <c r="D118" s="14"/>
      <c r="E118" s="15"/>
      <c r="G118" s="15" t="str">
        <f>IF(A118="","",IFERROR(IF(#REF!&gt;VLOOKUP(A118,'포트변경내역(중립)'!A:C,10,0),"O","X"),""))</f>
        <v/>
      </c>
      <c r="H118" s="15" t="str">
        <f>IF(A118="","",COUNTIFS('MP내역(적극)'!$A:$A,A118)-COUNTIFS('MP내역(적극)'!$A:$A,A118,'MP내역(적극)'!$B:$B,"현금")-COUNTIFS('MP내역(적극)'!$A:$A,A118,'MP내역(적극)'!$B:$B,"예수금")-COUNTIFS('MP내역(적극)'!$A:$A,A118,'MP내역(적극)'!$B:$B,"예탁금")-COUNTIFS('MP내역(적극)'!$A:$A,A118,'MP내역(적극)'!$B:$B,"합계"))</f>
        <v/>
      </c>
      <c r="I118" s="15" t="str">
        <f>IF(A118="","",IF(COUNTIFS('MP내역(적극)'!A:A,A118,'MP내역(적극)'!G:G,"&gt;"&amp;#REF!,'MP내역(적극)'!D:D,"&lt;&gt;"&amp;#REF!,'MP내역(적극)'!D:D,"&lt;&gt;"&amp;#REF!,'MP내역(적극)'!B:B,"&lt;&gt;현금",'MP내역(적극)'!B:B,"&lt;&gt;합계")=0,"O","X"))</f>
        <v/>
      </c>
      <c r="J118" s="15" t="str">
        <f>IF(A118="","",IF(AND(ABS(#REF!-SUMIFS('MP내역(적극)'!G:G,'MP내역(적극)'!A:A,A118,'MP내역(적극)'!F:F,"Y"))&lt;0.001,ABS(#REF!-SUMIFS('MP내역(적극)'!G:G,'MP내역(적극)'!A:A,A118,'MP내역(적극)'!B:B,"&lt;&gt;합계"))&lt;0.001),"O","X"))</f>
        <v/>
      </c>
      <c r="K118" s="15" t="str">
        <f>IF(A118="","",IF(COUNTIFS('MP내역(적극)'!A:A,A118,'MP내역(적극)'!H:H,"X")=0,"O","X"))</f>
        <v/>
      </c>
      <c r="L118" s="14"/>
    </row>
    <row r="119" spans="4:12" x14ac:dyDescent="0.3">
      <c r="D119" s="14"/>
      <c r="E119" s="15"/>
      <c r="G119" s="15" t="str">
        <f>IF(A119="","",IFERROR(IF(#REF!&gt;VLOOKUP(A119,'포트변경내역(중립)'!A:C,10,0),"O","X"),""))</f>
        <v/>
      </c>
      <c r="H119" s="15" t="str">
        <f>IF(A119="","",COUNTIFS('MP내역(적극)'!$A:$A,A119)-COUNTIFS('MP내역(적극)'!$A:$A,A119,'MP내역(적극)'!$B:$B,"현금")-COUNTIFS('MP내역(적극)'!$A:$A,A119,'MP내역(적극)'!$B:$B,"예수금")-COUNTIFS('MP내역(적극)'!$A:$A,A119,'MP내역(적극)'!$B:$B,"예탁금")-COUNTIFS('MP내역(적극)'!$A:$A,A119,'MP내역(적극)'!$B:$B,"합계"))</f>
        <v/>
      </c>
      <c r="I119" s="15" t="str">
        <f>IF(A119="","",IF(COUNTIFS('MP내역(적극)'!A:A,A119,'MP내역(적극)'!G:G,"&gt;"&amp;#REF!,'MP내역(적극)'!D:D,"&lt;&gt;"&amp;#REF!,'MP내역(적극)'!D:D,"&lt;&gt;"&amp;#REF!,'MP내역(적극)'!B:B,"&lt;&gt;현금",'MP내역(적극)'!B:B,"&lt;&gt;합계")=0,"O","X"))</f>
        <v/>
      </c>
      <c r="J119" s="15" t="str">
        <f>IF(A119="","",IF(AND(ABS(#REF!-SUMIFS('MP내역(적극)'!G:G,'MP내역(적극)'!A:A,A119,'MP내역(적극)'!F:F,"Y"))&lt;0.001,ABS(#REF!-SUMIFS('MP내역(적극)'!G:G,'MP내역(적극)'!A:A,A119,'MP내역(적극)'!B:B,"&lt;&gt;합계"))&lt;0.001),"O","X"))</f>
        <v/>
      </c>
      <c r="K119" s="15" t="str">
        <f>IF(A119="","",IF(COUNTIFS('MP내역(적극)'!A:A,A119,'MP내역(적극)'!H:H,"X")=0,"O","X"))</f>
        <v/>
      </c>
      <c r="L119" s="14"/>
    </row>
    <row r="120" spans="4:12" x14ac:dyDescent="0.3">
      <c r="D120" s="14"/>
      <c r="E120" s="15"/>
      <c r="G120" s="15" t="str">
        <f>IF(A120="","",IFERROR(IF(#REF!&gt;VLOOKUP(A120,'포트변경내역(중립)'!A:C,10,0),"O","X"),""))</f>
        <v/>
      </c>
      <c r="H120" s="15" t="str">
        <f>IF(A120="","",COUNTIFS('MP내역(적극)'!$A:$A,A120)-COUNTIFS('MP내역(적극)'!$A:$A,A120,'MP내역(적극)'!$B:$B,"현금")-COUNTIFS('MP내역(적극)'!$A:$A,A120,'MP내역(적극)'!$B:$B,"예수금")-COUNTIFS('MP내역(적극)'!$A:$A,A120,'MP내역(적극)'!$B:$B,"예탁금")-COUNTIFS('MP내역(적극)'!$A:$A,A120,'MP내역(적극)'!$B:$B,"합계"))</f>
        <v/>
      </c>
      <c r="I120" s="15" t="str">
        <f>IF(A120="","",IF(COUNTIFS('MP내역(적극)'!A:A,A120,'MP내역(적극)'!G:G,"&gt;"&amp;#REF!,'MP내역(적극)'!D:D,"&lt;&gt;"&amp;#REF!,'MP내역(적극)'!D:D,"&lt;&gt;"&amp;#REF!,'MP내역(적극)'!B:B,"&lt;&gt;현금",'MP내역(적극)'!B:B,"&lt;&gt;합계")=0,"O","X"))</f>
        <v/>
      </c>
      <c r="J120" s="15" t="str">
        <f>IF(A120="","",IF(AND(ABS(#REF!-SUMIFS('MP내역(적극)'!G:G,'MP내역(적극)'!A:A,A120,'MP내역(적극)'!F:F,"Y"))&lt;0.001,ABS(#REF!-SUMIFS('MP내역(적극)'!G:G,'MP내역(적극)'!A:A,A120,'MP내역(적극)'!B:B,"&lt;&gt;합계"))&lt;0.001),"O","X"))</f>
        <v/>
      </c>
      <c r="K120" s="15" t="str">
        <f>IF(A120="","",IF(COUNTIFS('MP내역(적극)'!A:A,A120,'MP내역(적극)'!H:H,"X")=0,"O","X"))</f>
        <v/>
      </c>
      <c r="L120" s="14"/>
    </row>
    <row r="121" spans="4:12" x14ac:dyDescent="0.3">
      <c r="D121" s="14"/>
      <c r="E121" s="15"/>
      <c r="G121" s="15" t="str">
        <f>IF(A121="","",IFERROR(IF(#REF!&gt;VLOOKUP(A121,'포트변경내역(중립)'!A:C,10,0),"O","X"),""))</f>
        <v/>
      </c>
      <c r="H121" s="15" t="str">
        <f>IF(A121="","",COUNTIFS('MP내역(적극)'!$A:$A,A121)-COUNTIFS('MP내역(적극)'!$A:$A,A121,'MP내역(적극)'!$B:$B,"현금")-COUNTIFS('MP내역(적극)'!$A:$A,A121,'MP내역(적극)'!$B:$B,"예수금")-COUNTIFS('MP내역(적극)'!$A:$A,A121,'MP내역(적극)'!$B:$B,"예탁금")-COUNTIFS('MP내역(적극)'!$A:$A,A121,'MP내역(적극)'!$B:$B,"합계"))</f>
        <v/>
      </c>
      <c r="I121" s="15" t="str">
        <f>IF(A121="","",IF(COUNTIFS('MP내역(적극)'!A:A,A121,'MP내역(적극)'!G:G,"&gt;"&amp;#REF!,'MP내역(적극)'!D:D,"&lt;&gt;"&amp;#REF!,'MP내역(적극)'!D:D,"&lt;&gt;"&amp;#REF!,'MP내역(적극)'!B:B,"&lt;&gt;현금",'MP내역(적극)'!B:B,"&lt;&gt;합계")=0,"O","X"))</f>
        <v/>
      </c>
      <c r="J121" s="15" t="str">
        <f>IF(A121="","",IF(AND(ABS(#REF!-SUMIFS('MP내역(적극)'!G:G,'MP내역(적극)'!A:A,A121,'MP내역(적극)'!F:F,"Y"))&lt;0.001,ABS(#REF!-SUMIFS('MP내역(적극)'!G:G,'MP내역(적극)'!A:A,A121,'MP내역(적극)'!B:B,"&lt;&gt;합계"))&lt;0.001),"O","X"))</f>
        <v/>
      </c>
      <c r="K121" s="15" t="str">
        <f>IF(A121="","",IF(COUNTIFS('MP내역(적극)'!A:A,A121,'MP내역(적극)'!H:H,"X")=0,"O","X"))</f>
        <v/>
      </c>
      <c r="L121" s="14"/>
    </row>
    <row r="122" spans="4:12" x14ac:dyDescent="0.3">
      <c r="D122" s="14"/>
      <c r="E122" s="15"/>
      <c r="G122" s="15" t="str">
        <f>IF(A122="","",IFERROR(IF(#REF!&gt;VLOOKUP(A122,'포트변경내역(중립)'!A:C,10,0),"O","X"),""))</f>
        <v/>
      </c>
      <c r="H122" s="15" t="str">
        <f>IF(A122="","",COUNTIFS('MP내역(적극)'!$A:$A,A122)-COUNTIFS('MP내역(적극)'!$A:$A,A122,'MP내역(적극)'!$B:$B,"현금")-COUNTIFS('MP내역(적극)'!$A:$A,A122,'MP내역(적극)'!$B:$B,"예수금")-COUNTIFS('MP내역(적극)'!$A:$A,A122,'MP내역(적극)'!$B:$B,"예탁금")-COUNTIFS('MP내역(적극)'!$A:$A,A122,'MP내역(적극)'!$B:$B,"합계"))</f>
        <v/>
      </c>
      <c r="I122" s="15" t="str">
        <f>IF(A122="","",IF(COUNTIFS('MP내역(적극)'!A:A,A122,'MP내역(적극)'!G:G,"&gt;"&amp;#REF!,'MP내역(적극)'!D:D,"&lt;&gt;"&amp;#REF!,'MP내역(적극)'!D:D,"&lt;&gt;"&amp;#REF!,'MP내역(적극)'!B:B,"&lt;&gt;현금",'MP내역(적극)'!B:B,"&lt;&gt;합계")=0,"O","X"))</f>
        <v/>
      </c>
      <c r="J122" s="15" t="str">
        <f>IF(A122="","",IF(AND(ABS(#REF!-SUMIFS('MP내역(적극)'!G:G,'MP내역(적극)'!A:A,A122,'MP내역(적극)'!F:F,"Y"))&lt;0.001,ABS(#REF!-SUMIFS('MP내역(적극)'!G:G,'MP내역(적극)'!A:A,A122,'MP내역(적극)'!B:B,"&lt;&gt;합계"))&lt;0.001),"O","X"))</f>
        <v/>
      </c>
      <c r="K122" s="15" t="str">
        <f>IF(A122="","",IF(COUNTIFS('MP내역(적극)'!A:A,A122,'MP내역(적극)'!H:H,"X")=0,"O","X"))</f>
        <v/>
      </c>
      <c r="L122" s="14"/>
    </row>
    <row r="123" spans="4:12" x14ac:dyDescent="0.3">
      <c r="D123" s="14"/>
      <c r="E123" s="15"/>
      <c r="G123" s="15" t="str">
        <f>IF(A123="","",IFERROR(IF(#REF!&gt;VLOOKUP(A123,'포트변경내역(중립)'!A:C,10,0),"O","X"),""))</f>
        <v/>
      </c>
      <c r="H123" s="15" t="str">
        <f>IF(A123="","",COUNTIFS('MP내역(적극)'!$A:$A,A123)-COUNTIFS('MP내역(적극)'!$A:$A,A123,'MP내역(적극)'!$B:$B,"현금")-COUNTIFS('MP내역(적극)'!$A:$A,A123,'MP내역(적극)'!$B:$B,"예수금")-COUNTIFS('MP내역(적극)'!$A:$A,A123,'MP내역(적극)'!$B:$B,"예탁금")-COUNTIFS('MP내역(적극)'!$A:$A,A123,'MP내역(적극)'!$B:$B,"합계"))</f>
        <v/>
      </c>
      <c r="I123" s="15" t="str">
        <f>IF(A123="","",IF(COUNTIFS('MP내역(적극)'!A:A,A123,'MP내역(적극)'!G:G,"&gt;"&amp;#REF!,'MP내역(적극)'!D:D,"&lt;&gt;"&amp;#REF!,'MP내역(적극)'!D:D,"&lt;&gt;"&amp;#REF!,'MP내역(적극)'!B:B,"&lt;&gt;현금",'MP내역(적극)'!B:B,"&lt;&gt;합계")=0,"O","X"))</f>
        <v/>
      </c>
      <c r="J123" s="15" t="str">
        <f>IF(A123="","",IF(AND(ABS(#REF!-SUMIFS('MP내역(적극)'!G:G,'MP내역(적극)'!A:A,A123,'MP내역(적극)'!F:F,"Y"))&lt;0.001,ABS(#REF!-SUMIFS('MP내역(적극)'!G:G,'MP내역(적극)'!A:A,A123,'MP내역(적극)'!B:B,"&lt;&gt;합계"))&lt;0.001),"O","X"))</f>
        <v/>
      </c>
      <c r="K123" s="15" t="str">
        <f>IF(A123="","",IF(COUNTIFS('MP내역(적극)'!A:A,A123,'MP내역(적극)'!H:H,"X")=0,"O","X"))</f>
        <v/>
      </c>
      <c r="L123" s="14"/>
    </row>
    <row r="124" spans="4:12" x14ac:dyDescent="0.3">
      <c r="D124" s="14"/>
      <c r="E124" s="15"/>
      <c r="G124" s="15" t="str">
        <f>IF(A124="","",IFERROR(IF(#REF!&gt;VLOOKUP(A124,'포트변경내역(중립)'!A:C,10,0),"O","X"),""))</f>
        <v/>
      </c>
      <c r="H124" s="15" t="str">
        <f>IF(A124="","",COUNTIFS('MP내역(적극)'!$A:$A,A124)-COUNTIFS('MP내역(적극)'!$A:$A,A124,'MP내역(적극)'!$B:$B,"현금")-COUNTIFS('MP내역(적극)'!$A:$A,A124,'MP내역(적극)'!$B:$B,"예수금")-COUNTIFS('MP내역(적극)'!$A:$A,A124,'MP내역(적극)'!$B:$B,"예탁금")-COUNTIFS('MP내역(적극)'!$A:$A,A124,'MP내역(적극)'!$B:$B,"합계"))</f>
        <v/>
      </c>
      <c r="I124" s="15" t="str">
        <f>IF(A124="","",IF(COUNTIFS('MP내역(적극)'!A:A,A124,'MP내역(적극)'!G:G,"&gt;"&amp;#REF!,'MP내역(적극)'!D:D,"&lt;&gt;"&amp;#REF!,'MP내역(적극)'!D:D,"&lt;&gt;"&amp;#REF!,'MP내역(적극)'!B:B,"&lt;&gt;현금",'MP내역(적극)'!B:B,"&lt;&gt;합계")=0,"O","X"))</f>
        <v/>
      </c>
      <c r="J124" s="15" t="str">
        <f>IF(A124="","",IF(AND(ABS(#REF!-SUMIFS('MP내역(적극)'!G:G,'MP내역(적극)'!A:A,A124,'MP내역(적극)'!F:F,"Y"))&lt;0.001,ABS(#REF!-SUMIFS('MP내역(적극)'!G:G,'MP내역(적극)'!A:A,A124,'MP내역(적극)'!B:B,"&lt;&gt;합계"))&lt;0.001),"O","X"))</f>
        <v/>
      </c>
      <c r="K124" s="15" t="str">
        <f>IF(A124="","",IF(COUNTIFS('MP내역(적극)'!A:A,A124,'MP내역(적극)'!H:H,"X")=0,"O","X"))</f>
        <v/>
      </c>
      <c r="L124" s="14"/>
    </row>
    <row r="125" spans="4:12" x14ac:dyDescent="0.3">
      <c r="D125" s="14"/>
      <c r="E125" s="15"/>
      <c r="G125" s="15" t="str">
        <f>IF(A125="","",IFERROR(IF(#REF!&gt;VLOOKUP(A125,'포트변경내역(중립)'!A:C,10,0),"O","X"),""))</f>
        <v/>
      </c>
      <c r="H125" s="15" t="str">
        <f>IF(A125="","",COUNTIFS('MP내역(적극)'!$A:$A,A125)-COUNTIFS('MP내역(적극)'!$A:$A,A125,'MP내역(적극)'!$B:$B,"현금")-COUNTIFS('MP내역(적극)'!$A:$A,A125,'MP내역(적극)'!$B:$B,"예수금")-COUNTIFS('MP내역(적극)'!$A:$A,A125,'MP내역(적극)'!$B:$B,"예탁금")-COUNTIFS('MP내역(적극)'!$A:$A,A125,'MP내역(적극)'!$B:$B,"합계"))</f>
        <v/>
      </c>
      <c r="I125" s="15" t="str">
        <f>IF(A125="","",IF(COUNTIFS('MP내역(적극)'!A:A,A125,'MP내역(적극)'!G:G,"&gt;"&amp;#REF!,'MP내역(적극)'!D:D,"&lt;&gt;"&amp;#REF!,'MP내역(적극)'!D:D,"&lt;&gt;"&amp;#REF!,'MP내역(적극)'!B:B,"&lt;&gt;현금",'MP내역(적극)'!B:B,"&lt;&gt;합계")=0,"O","X"))</f>
        <v/>
      </c>
      <c r="J125" s="15" t="str">
        <f>IF(A125="","",IF(AND(ABS(#REF!-SUMIFS('MP내역(적극)'!G:G,'MP내역(적극)'!A:A,A125,'MP내역(적극)'!F:F,"Y"))&lt;0.001,ABS(#REF!-SUMIFS('MP내역(적극)'!G:G,'MP내역(적극)'!A:A,A125,'MP내역(적극)'!B:B,"&lt;&gt;합계"))&lt;0.001),"O","X"))</f>
        <v/>
      </c>
      <c r="K125" s="15" t="str">
        <f>IF(A125="","",IF(COUNTIFS('MP내역(적극)'!A:A,A125,'MP내역(적극)'!H:H,"X")=0,"O","X"))</f>
        <v/>
      </c>
      <c r="L125" s="14"/>
    </row>
    <row r="126" spans="4:12" x14ac:dyDescent="0.3">
      <c r="D126" s="14"/>
      <c r="E126" s="15"/>
      <c r="G126" s="15" t="str">
        <f>IF(A126="","",IFERROR(IF(#REF!&gt;VLOOKUP(A126,'포트변경내역(중립)'!A:C,10,0),"O","X"),""))</f>
        <v/>
      </c>
      <c r="H126" s="15" t="str">
        <f>IF(A126="","",COUNTIFS('MP내역(적극)'!$A:$A,A126)-COUNTIFS('MP내역(적극)'!$A:$A,A126,'MP내역(적극)'!$B:$B,"현금")-COUNTIFS('MP내역(적극)'!$A:$A,A126,'MP내역(적극)'!$B:$B,"예수금")-COUNTIFS('MP내역(적극)'!$A:$A,A126,'MP내역(적극)'!$B:$B,"예탁금")-COUNTIFS('MP내역(적극)'!$A:$A,A126,'MP내역(적극)'!$B:$B,"합계"))</f>
        <v/>
      </c>
      <c r="I126" s="15" t="str">
        <f>IF(A126="","",IF(COUNTIFS('MP내역(적극)'!A:A,A126,'MP내역(적극)'!G:G,"&gt;"&amp;#REF!,'MP내역(적극)'!D:D,"&lt;&gt;"&amp;#REF!,'MP내역(적극)'!D:D,"&lt;&gt;"&amp;#REF!,'MP내역(적극)'!B:B,"&lt;&gt;현금",'MP내역(적극)'!B:B,"&lt;&gt;합계")=0,"O","X"))</f>
        <v/>
      </c>
      <c r="J126" s="15" t="str">
        <f>IF(A126="","",IF(AND(ABS(#REF!-SUMIFS('MP내역(적극)'!G:G,'MP내역(적극)'!A:A,A126,'MP내역(적극)'!F:F,"Y"))&lt;0.001,ABS(#REF!-SUMIFS('MP내역(적극)'!G:G,'MP내역(적극)'!A:A,A126,'MP내역(적극)'!B:B,"&lt;&gt;합계"))&lt;0.001),"O","X"))</f>
        <v/>
      </c>
      <c r="K126" s="15" t="str">
        <f>IF(A126="","",IF(COUNTIFS('MP내역(적극)'!A:A,A126,'MP내역(적극)'!H:H,"X")=0,"O","X"))</f>
        <v/>
      </c>
      <c r="L126" s="14"/>
    </row>
    <row r="127" spans="4:12" x14ac:dyDescent="0.3">
      <c r="D127" s="14"/>
      <c r="E127" s="15"/>
      <c r="G127" s="15" t="str">
        <f>IF(A127="","",IFERROR(IF(#REF!&gt;VLOOKUP(A127,'포트변경내역(중립)'!A:C,10,0),"O","X"),""))</f>
        <v/>
      </c>
      <c r="H127" s="15" t="str">
        <f>IF(A127="","",COUNTIFS('MP내역(적극)'!$A:$A,A127)-COUNTIFS('MP내역(적극)'!$A:$A,A127,'MP내역(적극)'!$B:$B,"현금")-COUNTIFS('MP내역(적극)'!$A:$A,A127,'MP내역(적극)'!$B:$B,"예수금")-COUNTIFS('MP내역(적극)'!$A:$A,A127,'MP내역(적극)'!$B:$B,"예탁금")-COUNTIFS('MP내역(적극)'!$A:$A,A127,'MP내역(적극)'!$B:$B,"합계"))</f>
        <v/>
      </c>
      <c r="I127" s="15" t="str">
        <f>IF(A127="","",IF(COUNTIFS('MP내역(적극)'!A:A,A127,'MP내역(적극)'!G:G,"&gt;"&amp;#REF!,'MP내역(적극)'!D:D,"&lt;&gt;"&amp;#REF!,'MP내역(적극)'!D:D,"&lt;&gt;"&amp;#REF!,'MP내역(적극)'!B:B,"&lt;&gt;현금",'MP내역(적극)'!B:B,"&lt;&gt;합계")=0,"O","X"))</f>
        <v/>
      </c>
      <c r="J127" s="15" t="str">
        <f>IF(A127="","",IF(AND(ABS(#REF!-SUMIFS('MP내역(적극)'!G:G,'MP내역(적극)'!A:A,A127,'MP내역(적극)'!F:F,"Y"))&lt;0.001,ABS(#REF!-SUMIFS('MP내역(적극)'!G:G,'MP내역(적극)'!A:A,A127,'MP내역(적극)'!B:B,"&lt;&gt;합계"))&lt;0.001),"O","X"))</f>
        <v/>
      </c>
      <c r="K127" s="15" t="str">
        <f>IF(A127="","",IF(COUNTIFS('MP내역(적극)'!A:A,A127,'MP내역(적극)'!H:H,"X")=0,"O","X"))</f>
        <v/>
      </c>
      <c r="L127" s="14"/>
    </row>
    <row r="128" spans="4:12" x14ac:dyDescent="0.3">
      <c r="D128" s="14"/>
      <c r="E128" s="15"/>
      <c r="G128" s="15" t="str">
        <f>IF(A128="","",IFERROR(IF(#REF!&gt;VLOOKUP(A128,'포트변경내역(중립)'!A:C,10,0),"O","X"),""))</f>
        <v/>
      </c>
      <c r="H128" s="15" t="str">
        <f>IF(A128="","",COUNTIFS('MP내역(적극)'!$A:$A,A128)-COUNTIFS('MP내역(적극)'!$A:$A,A128,'MP내역(적극)'!$B:$B,"현금")-COUNTIFS('MP내역(적극)'!$A:$A,A128,'MP내역(적극)'!$B:$B,"예수금")-COUNTIFS('MP내역(적극)'!$A:$A,A128,'MP내역(적극)'!$B:$B,"예탁금")-COUNTIFS('MP내역(적극)'!$A:$A,A128,'MP내역(적극)'!$B:$B,"합계"))</f>
        <v/>
      </c>
      <c r="I128" s="15" t="str">
        <f>IF(A128="","",IF(COUNTIFS('MP내역(적극)'!A:A,A128,'MP내역(적극)'!G:G,"&gt;"&amp;#REF!,'MP내역(적극)'!D:D,"&lt;&gt;"&amp;#REF!,'MP내역(적극)'!D:D,"&lt;&gt;"&amp;#REF!,'MP내역(적극)'!B:B,"&lt;&gt;현금",'MP내역(적극)'!B:B,"&lt;&gt;합계")=0,"O","X"))</f>
        <v/>
      </c>
      <c r="J128" s="15" t="str">
        <f>IF(A128="","",IF(AND(ABS(#REF!-SUMIFS('MP내역(적극)'!G:G,'MP내역(적극)'!A:A,A128,'MP내역(적극)'!F:F,"Y"))&lt;0.001,ABS(#REF!-SUMIFS('MP내역(적극)'!G:G,'MP내역(적극)'!A:A,A128,'MP내역(적극)'!B:B,"&lt;&gt;합계"))&lt;0.001),"O","X"))</f>
        <v/>
      </c>
      <c r="K128" s="15" t="str">
        <f>IF(A128="","",IF(COUNTIFS('MP내역(적극)'!A:A,A128,'MP내역(적극)'!H:H,"X")=0,"O","X"))</f>
        <v/>
      </c>
      <c r="L128" s="14"/>
    </row>
    <row r="129" spans="4:12" x14ac:dyDescent="0.3">
      <c r="D129" s="14"/>
      <c r="E129" s="15"/>
      <c r="G129" s="15" t="str">
        <f>IF(A129="","",IFERROR(IF(#REF!&gt;VLOOKUP(A129,'포트변경내역(중립)'!A:C,10,0),"O","X"),""))</f>
        <v/>
      </c>
      <c r="H129" s="15" t="str">
        <f>IF(A129="","",COUNTIFS('MP내역(적극)'!$A:$A,A129)-COUNTIFS('MP내역(적극)'!$A:$A,A129,'MP내역(적극)'!$B:$B,"현금")-COUNTIFS('MP내역(적극)'!$A:$A,A129,'MP내역(적극)'!$B:$B,"예수금")-COUNTIFS('MP내역(적극)'!$A:$A,A129,'MP내역(적극)'!$B:$B,"예탁금")-COUNTIFS('MP내역(적극)'!$A:$A,A129,'MP내역(적극)'!$B:$B,"합계"))</f>
        <v/>
      </c>
      <c r="I129" s="15" t="str">
        <f>IF(A129="","",IF(COUNTIFS('MP내역(적극)'!A:A,A129,'MP내역(적극)'!G:G,"&gt;"&amp;#REF!,'MP내역(적극)'!D:D,"&lt;&gt;"&amp;#REF!,'MP내역(적극)'!D:D,"&lt;&gt;"&amp;#REF!,'MP내역(적극)'!B:B,"&lt;&gt;현금",'MP내역(적극)'!B:B,"&lt;&gt;합계")=0,"O","X"))</f>
        <v/>
      </c>
      <c r="J129" s="15" t="str">
        <f>IF(A129="","",IF(AND(ABS(#REF!-SUMIFS('MP내역(적극)'!G:G,'MP내역(적극)'!A:A,A129,'MP내역(적극)'!F:F,"Y"))&lt;0.001,ABS(#REF!-SUMIFS('MP내역(적극)'!G:G,'MP내역(적극)'!A:A,A129,'MP내역(적극)'!B:B,"&lt;&gt;합계"))&lt;0.001),"O","X"))</f>
        <v/>
      </c>
      <c r="K129" s="15" t="str">
        <f>IF(A129="","",IF(COUNTIFS('MP내역(적극)'!A:A,A129,'MP내역(적극)'!H:H,"X")=0,"O","X"))</f>
        <v/>
      </c>
      <c r="L129" s="14"/>
    </row>
    <row r="130" spans="4:12" x14ac:dyDescent="0.3">
      <c r="D130" s="14"/>
      <c r="E130" s="15"/>
      <c r="G130" s="15" t="str">
        <f>IF(A130="","",IFERROR(IF(#REF!&gt;VLOOKUP(A130,'포트변경내역(중립)'!A:C,10,0),"O","X"),""))</f>
        <v/>
      </c>
      <c r="H130" s="15" t="str">
        <f>IF(A130="","",COUNTIFS('MP내역(적극)'!$A:$A,A130)-COUNTIFS('MP내역(적극)'!$A:$A,A130,'MP내역(적극)'!$B:$B,"현금")-COUNTIFS('MP내역(적극)'!$A:$A,A130,'MP내역(적극)'!$B:$B,"예수금")-COUNTIFS('MP내역(적극)'!$A:$A,A130,'MP내역(적극)'!$B:$B,"예탁금")-COUNTIFS('MP내역(적극)'!$A:$A,A130,'MP내역(적극)'!$B:$B,"합계"))</f>
        <v/>
      </c>
      <c r="I130" s="15" t="str">
        <f>IF(A130="","",IF(COUNTIFS('MP내역(적극)'!A:A,A130,'MP내역(적극)'!G:G,"&gt;"&amp;#REF!,'MP내역(적극)'!D:D,"&lt;&gt;"&amp;#REF!,'MP내역(적극)'!D:D,"&lt;&gt;"&amp;#REF!,'MP내역(적극)'!B:B,"&lt;&gt;현금",'MP내역(적극)'!B:B,"&lt;&gt;합계")=0,"O","X"))</f>
        <v/>
      </c>
      <c r="J130" s="15" t="str">
        <f>IF(A130="","",IF(AND(ABS(#REF!-SUMIFS('MP내역(적극)'!G:G,'MP내역(적극)'!A:A,A130,'MP내역(적극)'!F:F,"Y"))&lt;0.001,ABS(#REF!-SUMIFS('MP내역(적극)'!G:G,'MP내역(적극)'!A:A,A130,'MP내역(적극)'!B:B,"&lt;&gt;합계"))&lt;0.001),"O","X"))</f>
        <v/>
      </c>
      <c r="K130" s="15" t="str">
        <f>IF(A130="","",IF(COUNTIFS('MP내역(적극)'!A:A,A130,'MP내역(적극)'!H:H,"X")=0,"O","X"))</f>
        <v/>
      </c>
      <c r="L130" s="14"/>
    </row>
    <row r="131" spans="4:12" x14ac:dyDescent="0.3">
      <c r="D131" s="14"/>
      <c r="E131" s="15"/>
      <c r="G131" s="15" t="str">
        <f>IF(A131="","",IFERROR(IF(#REF!&gt;VLOOKUP(A131,'포트변경내역(중립)'!A:C,10,0),"O","X"),""))</f>
        <v/>
      </c>
      <c r="H131" s="15" t="str">
        <f>IF(A131="","",COUNTIFS('MP내역(적극)'!$A:$A,A131)-COUNTIFS('MP내역(적극)'!$A:$A,A131,'MP내역(적극)'!$B:$B,"현금")-COUNTIFS('MP내역(적극)'!$A:$A,A131,'MP내역(적극)'!$B:$B,"예수금")-COUNTIFS('MP내역(적극)'!$A:$A,A131,'MP내역(적극)'!$B:$B,"예탁금")-COUNTIFS('MP내역(적극)'!$A:$A,A131,'MP내역(적극)'!$B:$B,"합계"))</f>
        <v/>
      </c>
      <c r="I131" s="15" t="str">
        <f>IF(A131="","",IF(COUNTIFS('MP내역(적극)'!A:A,A131,'MP내역(적극)'!G:G,"&gt;"&amp;#REF!,'MP내역(적극)'!D:D,"&lt;&gt;"&amp;#REF!,'MP내역(적극)'!D:D,"&lt;&gt;"&amp;#REF!,'MP내역(적극)'!B:B,"&lt;&gt;현금",'MP내역(적극)'!B:B,"&lt;&gt;합계")=0,"O","X"))</f>
        <v/>
      </c>
      <c r="J131" s="15" t="str">
        <f>IF(A131="","",IF(AND(ABS(#REF!-SUMIFS('MP내역(적극)'!G:G,'MP내역(적극)'!A:A,A131,'MP내역(적극)'!F:F,"Y"))&lt;0.001,ABS(#REF!-SUMIFS('MP내역(적극)'!G:G,'MP내역(적극)'!A:A,A131,'MP내역(적극)'!B:B,"&lt;&gt;합계"))&lt;0.001),"O","X"))</f>
        <v/>
      </c>
      <c r="K131" s="15" t="str">
        <f>IF(A131="","",IF(COUNTIFS('MP내역(적극)'!A:A,A131,'MP내역(적극)'!H:H,"X")=0,"O","X"))</f>
        <v/>
      </c>
      <c r="L131" s="14"/>
    </row>
    <row r="132" spans="4:12" x14ac:dyDescent="0.3">
      <c r="D132" s="14"/>
      <c r="E132" s="15"/>
      <c r="G132" s="15" t="str">
        <f>IF(A132="","",IFERROR(IF(#REF!&gt;VLOOKUP(A132,'포트변경내역(중립)'!A:C,10,0),"O","X"),""))</f>
        <v/>
      </c>
      <c r="H132" s="15" t="str">
        <f>IF(A132="","",COUNTIFS('MP내역(적극)'!$A:$A,A132)-COUNTIFS('MP내역(적극)'!$A:$A,A132,'MP내역(적극)'!$B:$B,"현금")-COUNTIFS('MP내역(적극)'!$A:$A,A132,'MP내역(적극)'!$B:$B,"예수금")-COUNTIFS('MP내역(적극)'!$A:$A,A132,'MP내역(적극)'!$B:$B,"예탁금")-COUNTIFS('MP내역(적극)'!$A:$A,A132,'MP내역(적극)'!$B:$B,"합계"))</f>
        <v/>
      </c>
      <c r="I132" s="15" t="str">
        <f>IF(A132="","",IF(COUNTIFS('MP내역(적극)'!A:A,A132,'MP내역(적극)'!G:G,"&gt;"&amp;#REF!,'MP내역(적극)'!D:D,"&lt;&gt;"&amp;#REF!,'MP내역(적극)'!D:D,"&lt;&gt;"&amp;#REF!,'MP내역(적극)'!B:B,"&lt;&gt;현금",'MP내역(적극)'!B:B,"&lt;&gt;합계")=0,"O","X"))</f>
        <v/>
      </c>
      <c r="J132" s="15" t="str">
        <f>IF(A132="","",IF(AND(ABS(#REF!-SUMIFS('MP내역(적극)'!G:G,'MP내역(적극)'!A:A,A132,'MP내역(적극)'!F:F,"Y"))&lt;0.001,ABS(#REF!-SUMIFS('MP내역(적극)'!G:G,'MP내역(적극)'!A:A,A132,'MP내역(적극)'!B:B,"&lt;&gt;합계"))&lt;0.001),"O","X"))</f>
        <v/>
      </c>
      <c r="K132" s="15" t="str">
        <f>IF(A132="","",IF(COUNTIFS('MP내역(적극)'!A:A,A132,'MP내역(적극)'!H:H,"X")=0,"O","X"))</f>
        <v/>
      </c>
      <c r="L132" s="14"/>
    </row>
    <row r="133" spans="4:12" x14ac:dyDescent="0.3">
      <c r="D133" s="14"/>
      <c r="E133" s="15"/>
      <c r="G133" s="15" t="str">
        <f>IF(A133="","",IFERROR(IF(#REF!&gt;VLOOKUP(A133,'포트변경내역(중립)'!A:C,10,0),"O","X"),""))</f>
        <v/>
      </c>
      <c r="H133" s="15" t="str">
        <f>IF(A133="","",COUNTIFS('MP내역(적극)'!$A:$A,A133)-COUNTIFS('MP내역(적극)'!$A:$A,A133,'MP내역(적극)'!$B:$B,"현금")-COUNTIFS('MP내역(적극)'!$A:$A,A133,'MP내역(적극)'!$B:$B,"예수금")-COUNTIFS('MP내역(적극)'!$A:$A,A133,'MP내역(적극)'!$B:$B,"예탁금")-COUNTIFS('MP내역(적극)'!$A:$A,A133,'MP내역(적극)'!$B:$B,"합계"))</f>
        <v/>
      </c>
      <c r="I133" s="15" t="str">
        <f>IF(A133="","",IF(COUNTIFS('MP내역(적극)'!A:A,A133,'MP내역(적극)'!G:G,"&gt;"&amp;#REF!,'MP내역(적극)'!D:D,"&lt;&gt;"&amp;#REF!,'MP내역(적극)'!D:D,"&lt;&gt;"&amp;#REF!,'MP내역(적극)'!B:B,"&lt;&gt;현금",'MP내역(적극)'!B:B,"&lt;&gt;합계")=0,"O","X"))</f>
        <v/>
      </c>
      <c r="J133" s="15" t="str">
        <f>IF(A133="","",IF(AND(ABS(#REF!-SUMIFS('MP내역(적극)'!G:G,'MP내역(적극)'!A:A,A133,'MP내역(적극)'!F:F,"Y"))&lt;0.001,ABS(#REF!-SUMIFS('MP내역(적극)'!G:G,'MP내역(적극)'!A:A,A133,'MP내역(적극)'!B:B,"&lt;&gt;합계"))&lt;0.001),"O","X"))</f>
        <v/>
      </c>
      <c r="K133" s="15" t="str">
        <f>IF(A133="","",IF(COUNTIFS('MP내역(적극)'!A:A,A133,'MP내역(적극)'!H:H,"X")=0,"O","X"))</f>
        <v/>
      </c>
      <c r="L133" s="14"/>
    </row>
    <row r="134" spans="4:12" x14ac:dyDescent="0.3">
      <c r="D134" s="14"/>
      <c r="E134" s="15"/>
      <c r="G134" s="15" t="str">
        <f>IF(A134="","",IFERROR(IF(#REF!&gt;VLOOKUP(A134,'포트변경내역(중립)'!A:C,10,0),"O","X"),""))</f>
        <v/>
      </c>
      <c r="H134" s="15" t="str">
        <f>IF(A134="","",COUNTIFS('MP내역(적극)'!$A:$A,A134)-COUNTIFS('MP내역(적극)'!$A:$A,A134,'MP내역(적극)'!$B:$B,"현금")-COUNTIFS('MP내역(적극)'!$A:$A,A134,'MP내역(적극)'!$B:$B,"예수금")-COUNTIFS('MP내역(적극)'!$A:$A,A134,'MP내역(적극)'!$B:$B,"예탁금")-COUNTIFS('MP내역(적극)'!$A:$A,A134,'MP내역(적극)'!$B:$B,"합계"))</f>
        <v/>
      </c>
      <c r="I134" s="15" t="str">
        <f>IF(A134="","",IF(COUNTIFS('MP내역(적극)'!A:A,A134,'MP내역(적극)'!G:G,"&gt;"&amp;#REF!,'MP내역(적극)'!D:D,"&lt;&gt;"&amp;#REF!,'MP내역(적극)'!D:D,"&lt;&gt;"&amp;#REF!,'MP내역(적극)'!B:B,"&lt;&gt;현금",'MP내역(적극)'!B:B,"&lt;&gt;합계")=0,"O","X"))</f>
        <v/>
      </c>
      <c r="J134" s="15" t="str">
        <f>IF(A134="","",IF(AND(ABS(#REF!-SUMIFS('MP내역(적극)'!G:G,'MP내역(적극)'!A:A,A134,'MP내역(적극)'!F:F,"Y"))&lt;0.001,ABS(#REF!-SUMIFS('MP내역(적극)'!G:G,'MP내역(적극)'!A:A,A134,'MP내역(적극)'!B:B,"&lt;&gt;합계"))&lt;0.001),"O","X"))</f>
        <v/>
      </c>
      <c r="K134" s="15" t="str">
        <f>IF(A134="","",IF(COUNTIFS('MP내역(적극)'!A:A,A134,'MP내역(적극)'!H:H,"X")=0,"O","X"))</f>
        <v/>
      </c>
      <c r="L134" s="14"/>
    </row>
    <row r="135" spans="4:12" x14ac:dyDescent="0.3">
      <c r="D135" s="14"/>
      <c r="E135" s="15"/>
      <c r="G135" s="15" t="str">
        <f>IF(A135="","",IFERROR(IF(#REF!&gt;VLOOKUP(A135,'포트변경내역(중립)'!A:C,10,0),"O","X"),""))</f>
        <v/>
      </c>
      <c r="H135" s="15" t="str">
        <f>IF(A135="","",COUNTIFS('MP내역(적극)'!$A:$A,A135)-COUNTIFS('MP내역(적극)'!$A:$A,A135,'MP내역(적극)'!$B:$B,"현금")-COUNTIFS('MP내역(적극)'!$A:$A,A135,'MP내역(적극)'!$B:$B,"예수금")-COUNTIFS('MP내역(적극)'!$A:$A,A135,'MP내역(적극)'!$B:$B,"예탁금")-COUNTIFS('MP내역(적극)'!$A:$A,A135,'MP내역(적극)'!$B:$B,"합계"))</f>
        <v/>
      </c>
      <c r="I135" s="15" t="str">
        <f>IF(A135="","",IF(COUNTIFS('MP내역(적극)'!A:A,A135,'MP내역(적극)'!G:G,"&gt;"&amp;#REF!,'MP내역(적극)'!D:D,"&lt;&gt;"&amp;#REF!,'MP내역(적극)'!D:D,"&lt;&gt;"&amp;#REF!,'MP내역(적극)'!B:B,"&lt;&gt;현금",'MP내역(적극)'!B:B,"&lt;&gt;합계")=0,"O","X"))</f>
        <v/>
      </c>
      <c r="J135" s="15" t="str">
        <f>IF(A135="","",IF(AND(ABS(#REF!-SUMIFS('MP내역(적극)'!G:G,'MP내역(적극)'!A:A,A135,'MP내역(적극)'!F:F,"Y"))&lt;0.001,ABS(#REF!-SUMIFS('MP내역(적극)'!G:G,'MP내역(적극)'!A:A,A135,'MP내역(적극)'!B:B,"&lt;&gt;합계"))&lt;0.001),"O","X"))</f>
        <v/>
      </c>
      <c r="K135" s="15" t="str">
        <f>IF(A135="","",IF(COUNTIFS('MP내역(적극)'!A:A,A135,'MP내역(적극)'!H:H,"X")=0,"O","X"))</f>
        <v/>
      </c>
      <c r="L135" s="14"/>
    </row>
    <row r="136" spans="4:12" x14ac:dyDescent="0.3">
      <c r="D136" s="14"/>
      <c r="E136" s="15"/>
      <c r="G136" s="15" t="str">
        <f>IF(A136="","",IFERROR(IF(#REF!&gt;VLOOKUP(A136,'포트변경내역(중립)'!A:C,10,0),"O","X"),""))</f>
        <v/>
      </c>
      <c r="H136" s="15" t="str">
        <f>IF(A136="","",COUNTIFS('MP내역(적극)'!$A:$A,A136)-COUNTIFS('MP내역(적극)'!$A:$A,A136,'MP내역(적극)'!$B:$B,"현금")-COUNTIFS('MP내역(적극)'!$A:$A,A136,'MP내역(적극)'!$B:$B,"예수금")-COUNTIFS('MP내역(적극)'!$A:$A,A136,'MP내역(적극)'!$B:$B,"예탁금")-COUNTIFS('MP내역(적극)'!$A:$A,A136,'MP내역(적극)'!$B:$B,"합계"))</f>
        <v/>
      </c>
      <c r="I136" s="15" t="str">
        <f>IF(A136="","",IF(COUNTIFS('MP내역(적극)'!A:A,A136,'MP내역(적극)'!G:G,"&gt;"&amp;#REF!,'MP내역(적극)'!D:D,"&lt;&gt;"&amp;#REF!,'MP내역(적극)'!D:D,"&lt;&gt;"&amp;#REF!,'MP내역(적극)'!B:B,"&lt;&gt;현금",'MP내역(적극)'!B:B,"&lt;&gt;합계")=0,"O","X"))</f>
        <v/>
      </c>
      <c r="J136" s="15" t="str">
        <f>IF(A136="","",IF(AND(ABS(#REF!-SUMIFS('MP내역(적극)'!G:G,'MP내역(적극)'!A:A,A136,'MP내역(적극)'!F:F,"Y"))&lt;0.001,ABS(#REF!-SUMIFS('MP내역(적극)'!G:G,'MP내역(적극)'!A:A,A136,'MP내역(적극)'!B:B,"&lt;&gt;합계"))&lt;0.001),"O","X"))</f>
        <v/>
      </c>
      <c r="K136" s="15" t="str">
        <f>IF(A136="","",IF(COUNTIFS('MP내역(적극)'!A:A,A136,'MP내역(적극)'!H:H,"X")=0,"O","X"))</f>
        <v/>
      </c>
      <c r="L136" s="14"/>
    </row>
    <row r="137" spans="4:12" x14ac:dyDescent="0.3">
      <c r="D137" s="14"/>
      <c r="E137" s="15"/>
      <c r="G137" s="15" t="str">
        <f>IF(A137="","",IFERROR(IF(#REF!&gt;VLOOKUP(A137,'포트변경내역(중립)'!A:C,10,0),"O","X"),""))</f>
        <v/>
      </c>
      <c r="H137" s="15" t="str">
        <f>IF(A137="","",COUNTIFS('MP내역(적극)'!$A:$A,A137)-COUNTIFS('MP내역(적극)'!$A:$A,A137,'MP내역(적극)'!$B:$B,"현금")-COUNTIFS('MP내역(적극)'!$A:$A,A137,'MP내역(적극)'!$B:$B,"예수금")-COUNTIFS('MP내역(적극)'!$A:$A,A137,'MP내역(적극)'!$B:$B,"예탁금")-COUNTIFS('MP내역(적극)'!$A:$A,A137,'MP내역(적극)'!$B:$B,"합계"))</f>
        <v/>
      </c>
      <c r="I137" s="15" t="str">
        <f>IF(A137="","",IF(COUNTIFS('MP내역(적극)'!A:A,A137,'MP내역(적극)'!G:G,"&gt;"&amp;#REF!,'MP내역(적극)'!D:D,"&lt;&gt;"&amp;#REF!,'MP내역(적극)'!D:D,"&lt;&gt;"&amp;#REF!,'MP내역(적극)'!B:B,"&lt;&gt;현금",'MP내역(적극)'!B:B,"&lt;&gt;합계")=0,"O","X"))</f>
        <v/>
      </c>
      <c r="J137" s="15" t="str">
        <f>IF(A137="","",IF(AND(ABS(#REF!-SUMIFS('MP내역(적극)'!G:G,'MP내역(적극)'!A:A,A137,'MP내역(적극)'!F:F,"Y"))&lt;0.001,ABS(#REF!-SUMIFS('MP내역(적극)'!G:G,'MP내역(적극)'!A:A,A137,'MP내역(적극)'!B:B,"&lt;&gt;합계"))&lt;0.001),"O","X"))</f>
        <v/>
      </c>
      <c r="K137" s="15" t="str">
        <f>IF(A137="","",IF(COUNTIFS('MP내역(적극)'!A:A,A137,'MP내역(적극)'!H:H,"X")=0,"O","X"))</f>
        <v/>
      </c>
      <c r="L137" s="14"/>
    </row>
    <row r="138" spans="4:12" x14ac:dyDescent="0.3">
      <c r="D138" s="14"/>
      <c r="E138" s="15"/>
      <c r="G138" s="15" t="str">
        <f>IF(A138="","",IFERROR(IF(#REF!&gt;VLOOKUP(A138,'포트변경내역(중립)'!A:C,10,0),"O","X"),""))</f>
        <v/>
      </c>
      <c r="H138" s="15" t="str">
        <f>IF(A138="","",COUNTIFS('MP내역(적극)'!$A:$A,A138)-COUNTIFS('MP내역(적극)'!$A:$A,A138,'MP내역(적극)'!$B:$B,"현금")-COUNTIFS('MP내역(적극)'!$A:$A,A138,'MP내역(적극)'!$B:$B,"예수금")-COUNTIFS('MP내역(적극)'!$A:$A,A138,'MP내역(적극)'!$B:$B,"예탁금")-COUNTIFS('MP내역(적극)'!$A:$A,A138,'MP내역(적극)'!$B:$B,"합계"))</f>
        <v/>
      </c>
      <c r="I138" s="15" t="str">
        <f>IF(A138="","",IF(COUNTIFS('MP내역(적극)'!A:A,A138,'MP내역(적극)'!G:G,"&gt;"&amp;#REF!,'MP내역(적극)'!D:D,"&lt;&gt;"&amp;#REF!,'MP내역(적극)'!D:D,"&lt;&gt;"&amp;#REF!,'MP내역(적극)'!B:B,"&lt;&gt;현금",'MP내역(적극)'!B:B,"&lt;&gt;합계")=0,"O","X"))</f>
        <v/>
      </c>
      <c r="J138" s="15" t="str">
        <f>IF(A138="","",IF(AND(ABS(#REF!-SUMIFS('MP내역(적극)'!G:G,'MP내역(적극)'!A:A,A138,'MP내역(적극)'!F:F,"Y"))&lt;0.001,ABS(#REF!-SUMIFS('MP내역(적극)'!G:G,'MP내역(적극)'!A:A,A138,'MP내역(적극)'!B:B,"&lt;&gt;합계"))&lt;0.001),"O","X"))</f>
        <v/>
      </c>
      <c r="K138" s="15" t="str">
        <f>IF(A138="","",IF(COUNTIFS('MP내역(적극)'!A:A,A138,'MP내역(적극)'!H:H,"X")=0,"O","X"))</f>
        <v/>
      </c>
      <c r="L138" s="14"/>
    </row>
    <row r="139" spans="4:12" x14ac:dyDescent="0.3">
      <c r="D139" s="14"/>
      <c r="E139" s="15"/>
      <c r="G139" s="15" t="str">
        <f>IF(A139="","",IFERROR(IF(#REF!&gt;VLOOKUP(A139,'포트변경내역(중립)'!A:C,10,0),"O","X"),""))</f>
        <v/>
      </c>
      <c r="H139" s="15" t="str">
        <f>IF(A139="","",COUNTIFS('MP내역(적극)'!$A:$A,A139)-COUNTIFS('MP내역(적극)'!$A:$A,A139,'MP내역(적극)'!$B:$B,"현금")-COUNTIFS('MP내역(적극)'!$A:$A,A139,'MP내역(적극)'!$B:$B,"예수금")-COUNTIFS('MP내역(적극)'!$A:$A,A139,'MP내역(적극)'!$B:$B,"예탁금")-COUNTIFS('MP내역(적극)'!$A:$A,A139,'MP내역(적극)'!$B:$B,"합계"))</f>
        <v/>
      </c>
      <c r="I139" s="15" t="str">
        <f>IF(A139="","",IF(COUNTIFS('MP내역(적극)'!A:A,A139,'MP내역(적극)'!G:G,"&gt;"&amp;#REF!,'MP내역(적극)'!D:D,"&lt;&gt;"&amp;#REF!,'MP내역(적극)'!D:D,"&lt;&gt;"&amp;#REF!,'MP내역(적극)'!B:B,"&lt;&gt;현금",'MP내역(적극)'!B:B,"&lt;&gt;합계")=0,"O","X"))</f>
        <v/>
      </c>
      <c r="J139" s="15" t="str">
        <f>IF(A139="","",IF(AND(ABS(#REF!-SUMIFS('MP내역(적극)'!G:G,'MP내역(적극)'!A:A,A139,'MP내역(적극)'!F:F,"Y"))&lt;0.001,ABS(#REF!-SUMIFS('MP내역(적극)'!G:G,'MP내역(적극)'!A:A,A139,'MP내역(적극)'!B:B,"&lt;&gt;합계"))&lt;0.001),"O","X"))</f>
        <v/>
      </c>
      <c r="K139" s="15" t="str">
        <f>IF(A139="","",IF(COUNTIFS('MP내역(적극)'!A:A,A139,'MP내역(적극)'!H:H,"X")=0,"O","X"))</f>
        <v/>
      </c>
      <c r="L139" s="14"/>
    </row>
    <row r="140" spans="4:12" x14ac:dyDescent="0.3">
      <c r="D140" s="14"/>
      <c r="E140" s="15"/>
      <c r="G140" s="15" t="str">
        <f>IF(A140="","",IFERROR(IF(#REF!&gt;VLOOKUP(A140,'포트변경내역(중립)'!A:C,10,0),"O","X"),""))</f>
        <v/>
      </c>
      <c r="H140" s="15" t="str">
        <f>IF(A140="","",COUNTIFS('MP내역(적극)'!$A:$A,A140)-COUNTIFS('MP내역(적극)'!$A:$A,A140,'MP내역(적극)'!$B:$B,"현금")-COUNTIFS('MP내역(적극)'!$A:$A,A140,'MP내역(적극)'!$B:$B,"예수금")-COUNTIFS('MP내역(적극)'!$A:$A,A140,'MP내역(적극)'!$B:$B,"예탁금")-COUNTIFS('MP내역(적극)'!$A:$A,A140,'MP내역(적극)'!$B:$B,"합계"))</f>
        <v/>
      </c>
      <c r="I140" s="15" t="str">
        <f>IF(A140="","",IF(COUNTIFS('MP내역(적극)'!A:A,A140,'MP내역(적극)'!G:G,"&gt;"&amp;#REF!,'MP내역(적극)'!D:D,"&lt;&gt;"&amp;#REF!,'MP내역(적극)'!D:D,"&lt;&gt;"&amp;#REF!,'MP내역(적극)'!B:B,"&lt;&gt;현금",'MP내역(적극)'!B:B,"&lt;&gt;합계")=0,"O","X"))</f>
        <v/>
      </c>
      <c r="J140" s="15" t="str">
        <f>IF(A140="","",IF(AND(ABS(#REF!-SUMIFS('MP내역(적극)'!G:G,'MP내역(적극)'!A:A,A140,'MP내역(적극)'!F:F,"Y"))&lt;0.001,ABS(#REF!-SUMIFS('MP내역(적극)'!G:G,'MP내역(적극)'!A:A,A140,'MP내역(적극)'!B:B,"&lt;&gt;합계"))&lt;0.001),"O","X"))</f>
        <v/>
      </c>
      <c r="K140" s="15" t="str">
        <f>IF(A140="","",IF(COUNTIFS('MP내역(적극)'!A:A,A140,'MP내역(적극)'!H:H,"X")=0,"O","X"))</f>
        <v/>
      </c>
      <c r="L140" s="14"/>
    </row>
    <row r="141" spans="4:12" x14ac:dyDescent="0.3">
      <c r="D141" s="14"/>
      <c r="E141" s="15"/>
      <c r="G141" s="15" t="str">
        <f>IF(A141="","",IFERROR(IF(#REF!&gt;VLOOKUP(A141,'포트변경내역(중립)'!A:C,10,0),"O","X"),""))</f>
        <v/>
      </c>
      <c r="H141" s="15" t="str">
        <f>IF(A141="","",COUNTIFS('MP내역(적극)'!$A:$A,A141)-COUNTIFS('MP내역(적극)'!$A:$A,A141,'MP내역(적극)'!$B:$B,"현금")-COUNTIFS('MP내역(적극)'!$A:$A,A141,'MP내역(적극)'!$B:$B,"예수금")-COUNTIFS('MP내역(적극)'!$A:$A,A141,'MP내역(적극)'!$B:$B,"예탁금")-COUNTIFS('MP내역(적극)'!$A:$A,A141,'MP내역(적극)'!$B:$B,"합계"))</f>
        <v/>
      </c>
      <c r="I141" s="15" t="str">
        <f>IF(A141="","",IF(COUNTIFS('MP내역(적극)'!A:A,A141,'MP내역(적극)'!G:G,"&gt;"&amp;#REF!,'MP내역(적극)'!D:D,"&lt;&gt;"&amp;#REF!,'MP내역(적극)'!D:D,"&lt;&gt;"&amp;#REF!,'MP내역(적극)'!B:B,"&lt;&gt;현금",'MP내역(적극)'!B:B,"&lt;&gt;합계")=0,"O","X"))</f>
        <v/>
      </c>
      <c r="J141" s="15" t="str">
        <f>IF(A141="","",IF(AND(ABS(#REF!-SUMIFS('MP내역(적극)'!G:G,'MP내역(적극)'!A:A,A141,'MP내역(적극)'!F:F,"Y"))&lt;0.001,ABS(#REF!-SUMIFS('MP내역(적극)'!G:G,'MP내역(적극)'!A:A,A141,'MP내역(적극)'!B:B,"&lt;&gt;합계"))&lt;0.001),"O","X"))</f>
        <v/>
      </c>
      <c r="K141" s="15" t="str">
        <f>IF(A141="","",IF(COUNTIFS('MP내역(적극)'!A:A,A141,'MP내역(적극)'!H:H,"X")=0,"O","X"))</f>
        <v/>
      </c>
      <c r="L141" s="14"/>
    </row>
    <row r="142" spans="4:12" x14ac:dyDescent="0.3">
      <c r="D142" s="14"/>
      <c r="E142" s="15"/>
      <c r="G142" s="15" t="str">
        <f>IF(A142="","",IFERROR(IF(#REF!&gt;VLOOKUP(A142,'포트변경내역(중립)'!A:C,10,0),"O","X"),""))</f>
        <v/>
      </c>
      <c r="H142" s="15" t="str">
        <f>IF(A142="","",COUNTIFS('MP내역(적극)'!$A:$A,A142)-COUNTIFS('MP내역(적극)'!$A:$A,A142,'MP내역(적극)'!$B:$B,"현금")-COUNTIFS('MP내역(적극)'!$A:$A,A142,'MP내역(적극)'!$B:$B,"예수금")-COUNTIFS('MP내역(적극)'!$A:$A,A142,'MP내역(적극)'!$B:$B,"예탁금")-COUNTIFS('MP내역(적극)'!$A:$A,A142,'MP내역(적극)'!$B:$B,"합계"))</f>
        <v/>
      </c>
      <c r="I142" s="15" t="str">
        <f>IF(A142="","",IF(COUNTIFS('MP내역(적극)'!A:A,A142,'MP내역(적극)'!G:G,"&gt;"&amp;#REF!,'MP내역(적극)'!D:D,"&lt;&gt;"&amp;#REF!,'MP내역(적극)'!D:D,"&lt;&gt;"&amp;#REF!,'MP내역(적극)'!B:B,"&lt;&gt;현금",'MP내역(적극)'!B:B,"&lt;&gt;합계")=0,"O","X"))</f>
        <v/>
      </c>
      <c r="J142" s="15" t="str">
        <f>IF(A142="","",IF(AND(ABS(#REF!-SUMIFS('MP내역(적극)'!G:G,'MP내역(적극)'!A:A,A142,'MP내역(적극)'!F:F,"Y"))&lt;0.001,ABS(#REF!-SUMIFS('MP내역(적극)'!G:G,'MP내역(적극)'!A:A,A142,'MP내역(적극)'!B:B,"&lt;&gt;합계"))&lt;0.001),"O","X"))</f>
        <v/>
      </c>
      <c r="K142" s="15" t="str">
        <f>IF(A142="","",IF(COUNTIFS('MP내역(적극)'!A:A,A142,'MP내역(적극)'!H:H,"X")=0,"O","X"))</f>
        <v/>
      </c>
      <c r="L142" s="14"/>
    </row>
    <row r="143" spans="4:12" x14ac:dyDescent="0.3">
      <c r="D143" s="14"/>
      <c r="E143" s="15"/>
      <c r="G143" s="15" t="str">
        <f>IF(A143="","",IFERROR(IF(#REF!&gt;VLOOKUP(A143,'포트변경내역(중립)'!A:C,10,0),"O","X"),""))</f>
        <v/>
      </c>
      <c r="H143" s="15" t="str">
        <f>IF(A143="","",COUNTIFS('MP내역(적극)'!$A:$A,A143)-COUNTIFS('MP내역(적극)'!$A:$A,A143,'MP내역(적극)'!$B:$B,"현금")-COUNTIFS('MP내역(적극)'!$A:$A,A143,'MP내역(적극)'!$B:$B,"예수금")-COUNTIFS('MP내역(적극)'!$A:$A,A143,'MP내역(적극)'!$B:$B,"예탁금")-COUNTIFS('MP내역(적극)'!$A:$A,A143,'MP내역(적극)'!$B:$B,"합계"))</f>
        <v/>
      </c>
      <c r="I143" s="15" t="str">
        <f>IF(A143="","",IF(COUNTIFS('MP내역(적극)'!A:A,A143,'MP내역(적극)'!G:G,"&gt;"&amp;#REF!,'MP내역(적극)'!D:D,"&lt;&gt;"&amp;#REF!,'MP내역(적극)'!D:D,"&lt;&gt;"&amp;#REF!,'MP내역(적극)'!B:B,"&lt;&gt;현금",'MP내역(적극)'!B:B,"&lt;&gt;합계")=0,"O","X"))</f>
        <v/>
      </c>
      <c r="J143" s="15" t="str">
        <f>IF(A143="","",IF(AND(ABS(#REF!-SUMIFS('MP내역(적극)'!G:G,'MP내역(적극)'!A:A,A143,'MP내역(적극)'!F:F,"Y"))&lt;0.001,ABS(#REF!-SUMIFS('MP내역(적극)'!G:G,'MP내역(적극)'!A:A,A143,'MP내역(적극)'!B:B,"&lt;&gt;합계"))&lt;0.001),"O","X"))</f>
        <v/>
      </c>
      <c r="K143" s="15" t="str">
        <f>IF(A143="","",IF(COUNTIFS('MP내역(적극)'!A:A,A143,'MP내역(적극)'!H:H,"X")=0,"O","X"))</f>
        <v/>
      </c>
      <c r="L143" s="14"/>
    </row>
    <row r="144" spans="4:12" x14ac:dyDescent="0.3">
      <c r="D144" s="14"/>
      <c r="E144" s="15"/>
      <c r="G144" s="15" t="str">
        <f>IF(A144="","",IFERROR(IF(#REF!&gt;VLOOKUP(A144,'포트변경내역(중립)'!A:C,10,0),"O","X"),""))</f>
        <v/>
      </c>
      <c r="H144" s="15" t="str">
        <f>IF(A144="","",COUNTIFS('MP내역(적극)'!$A:$A,A144)-COUNTIFS('MP내역(적극)'!$A:$A,A144,'MP내역(적극)'!$B:$B,"현금")-COUNTIFS('MP내역(적극)'!$A:$A,A144,'MP내역(적극)'!$B:$B,"예수금")-COUNTIFS('MP내역(적극)'!$A:$A,A144,'MP내역(적극)'!$B:$B,"예탁금")-COUNTIFS('MP내역(적극)'!$A:$A,A144,'MP내역(적극)'!$B:$B,"합계"))</f>
        <v/>
      </c>
      <c r="I144" s="15" t="str">
        <f>IF(A144="","",IF(COUNTIFS('MP내역(적극)'!A:A,A144,'MP내역(적극)'!G:G,"&gt;"&amp;#REF!,'MP내역(적극)'!D:D,"&lt;&gt;"&amp;#REF!,'MP내역(적극)'!D:D,"&lt;&gt;"&amp;#REF!,'MP내역(적극)'!B:B,"&lt;&gt;현금",'MP내역(적극)'!B:B,"&lt;&gt;합계")=0,"O","X"))</f>
        <v/>
      </c>
      <c r="J144" s="15" t="str">
        <f>IF(A144="","",IF(AND(ABS(#REF!-SUMIFS('MP내역(적극)'!G:G,'MP내역(적극)'!A:A,A144,'MP내역(적극)'!F:F,"Y"))&lt;0.001,ABS(#REF!-SUMIFS('MP내역(적극)'!G:G,'MP내역(적극)'!A:A,A144,'MP내역(적극)'!B:B,"&lt;&gt;합계"))&lt;0.001),"O","X"))</f>
        <v/>
      </c>
      <c r="K144" s="15" t="str">
        <f>IF(A144="","",IF(COUNTIFS('MP내역(적극)'!A:A,A144,'MP내역(적극)'!H:H,"X")=0,"O","X"))</f>
        <v/>
      </c>
      <c r="L144" s="14"/>
    </row>
    <row r="145" spans="4:12" x14ac:dyDescent="0.3">
      <c r="D145" s="14"/>
      <c r="E145" s="15"/>
      <c r="G145" s="15" t="str">
        <f>IF(A145="","",IFERROR(IF(#REF!&gt;VLOOKUP(A145,'포트변경내역(중립)'!A:C,10,0),"O","X"),""))</f>
        <v/>
      </c>
      <c r="H145" s="15" t="str">
        <f>IF(A145="","",COUNTIFS('MP내역(적극)'!$A:$A,A145)-COUNTIFS('MP내역(적극)'!$A:$A,A145,'MP내역(적극)'!$B:$B,"현금")-COUNTIFS('MP내역(적극)'!$A:$A,A145,'MP내역(적극)'!$B:$B,"예수금")-COUNTIFS('MP내역(적극)'!$A:$A,A145,'MP내역(적극)'!$B:$B,"예탁금")-COUNTIFS('MP내역(적극)'!$A:$A,A145,'MP내역(적극)'!$B:$B,"합계"))</f>
        <v/>
      </c>
      <c r="I145" s="15" t="str">
        <f>IF(A145="","",IF(COUNTIFS('MP내역(적극)'!A:A,A145,'MP내역(적극)'!G:G,"&gt;"&amp;#REF!,'MP내역(적극)'!D:D,"&lt;&gt;"&amp;#REF!,'MP내역(적극)'!D:D,"&lt;&gt;"&amp;#REF!,'MP내역(적극)'!B:B,"&lt;&gt;현금",'MP내역(적극)'!B:B,"&lt;&gt;합계")=0,"O","X"))</f>
        <v/>
      </c>
      <c r="J145" s="15" t="str">
        <f>IF(A145="","",IF(AND(ABS(#REF!-SUMIFS('MP내역(적극)'!G:G,'MP내역(적극)'!A:A,A145,'MP내역(적극)'!F:F,"Y"))&lt;0.001,ABS(#REF!-SUMIFS('MP내역(적극)'!G:G,'MP내역(적극)'!A:A,A145,'MP내역(적극)'!B:B,"&lt;&gt;합계"))&lt;0.001),"O","X"))</f>
        <v/>
      </c>
      <c r="K145" s="15" t="str">
        <f>IF(A145="","",IF(COUNTIFS('MP내역(적극)'!A:A,A145,'MP내역(적극)'!H:H,"X")=0,"O","X"))</f>
        <v/>
      </c>
      <c r="L145" s="14"/>
    </row>
    <row r="146" spans="4:12" x14ac:dyDescent="0.3">
      <c r="D146" s="14"/>
      <c r="E146" s="15"/>
      <c r="G146" s="15" t="str">
        <f>IF(A146="","",IFERROR(IF(#REF!&gt;VLOOKUP(A146,'포트변경내역(중립)'!A:C,10,0),"O","X"),""))</f>
        <v/>
      </c>
      <c r="H146" s="15" t="str">
        <f>IF(A146="","",COUNTIFS('MP내역(적극)'!$A:$A,A146)-COUNTIFS('MP내역(적극)'!$A:$A,A146,'MP내역(적극)'!$B:$B,"현금")-COUNTIFS('MP내역(적극)'!$A:$A,A146,'MP내역(적극)'!$B:$B,"예수금")-COUNTIFS('MP내역(적극)'!$A:$A,A146,'MP내역(적극)'!$B:$B,"예탁금")-COUNTIFS('MP내역(적극)'!$A:$A,A146,'MP내역(적극)'!$B:$B,"합계"))</f>
        <v/>
      </c>
      <c r="I146" s="15" t="str">
        <f>IF(A146="","",IF(COUNTIFS('MP내역(적극)'!A:A,A146,'MP내역(적극)'!G:G,"&gt;"&amp;#REF!,'MP내역(적극)'!D:D,"&lt;&gt;"&amp;#REF!,'MP내역(적극)'!D:D,"&lt;&gt;"&amp;#REF!,'MP내역(적극)'!B:B,"&lt;&gt;현금",'MP내역(적극)'!B:B,"&lt;&gt;합계")=0,"O","X"))</f>
        <v/>
      </c>
      <c r="J146" s="15" t="str">
        <f>IF(A146="","",IF(AND(ABS(#REF!-SUMIFS('MP내역(적극)'!G:G,'MP내역(적극)'!A:A,A146,'MP내역(적극)'!F:F,"Y"))&lt;0.001,ABS(#REF!-SUMIFS('MP내역(적극)'!G:G,'MP내역(적극)'!A:A,A146,'MP내역(적극)'!B:B,"&lt;&gt;합계"))&lt;0.001),"O","X"))</f>
        <v/>
      </c>
      <c r="K146" s="15" t="str">
        <f>IF(A146="","",IF(COUNTIFS('MP내역(적극)'!A:A,A146,'MP내역(적극)'!H:H,"X")=0,"O","X"))</f>
        <v/>
      </c>
      <c r="L146" s="14"/>
    </row>
    <row r="147" spans="4:12" x14ac:dyDescent="0.3">
      <c r="D147" s="14"/>
      <c r="E147" s="15"/>
      <c r="G147" s="15" t="str">
        <f>IF(A147="","",IFERROR(IF(#REF!&gt;VLOOKUP(A147,'포트변경내역(중립)'!A:C,10,0),"O","X"),""))</f>
        <v/>
      </c>
      <c r="H147" s="15" t="str">
        <f>IF(A147="","",COUNTIFS('MP내역(적극)'!$A:$A,A147)-COUNTIFS('MP내역(적극)'!$A:$A,A147,'MP내역(적극)'!$B:$B,"현금")-COUNTIFS('MP내역(적극)'!$A:$A,A147,'MP내역(적극)'!$B:$B,"예수금")-COUNTIFS('MP내역(적극)'!$A:$A,A147,'MP내역(적극)'!$B:$B,"예탁금")-COUNTIFS('MP내역(적극)'!$A:$A,A147,'MP내역(적극)'!$B:$B,"합계"))</f>
        <v/>
      </c>
      <c r="I147" s="15" t="str">
        <f>IF(A147="","",IF(COUNTIFS('MP내역(적극)'!A:A,A147,'MP내역(적극)'!G:G,"&gt;"&amp;#REF!,'MP내역(적극)'!D:D,"&lt;&gt;"&amp;#REF!,'MP내역(적극)'!D:D,"&lt;&gt;"&amp;#REF!,'MP내역(적극)'!B:B,"&lt;&gt;현금",'MP내역(적극)'!B:B,"&lt;&gt;합계")=0,"O","X"))</f>
        <v/>
      </c>
      <c r="J147" s="15" t="str">
        <f>IF(A147="","",IF(AND(ABS(#REF!-SUMIFS('MP내역(적극)'!G:G,'MP내역(적극)'!A:A,A147,'MP내역(적극)'!F:F,"Y"))&lt;0.001,ABS(#REF!-SUMIFS('MP내역(적극)'!G:G,'MP내역(적극)'!A:A,A147,'MP내역(적극)'!B:B,"&lt;&gt;합계"))&lt;0.001),"O","X"))</f>
        <v/>
      </c>
      <c r="K147" s="15" t="str">
        <f>IF(A147="","",IF(COUNTIFS('MP내역(적극)'!A:A,A147,'MP내역(적극)'!H:H,"X")=0,"O","X"))</f>
        <v/>
      </c>
      <c r="L147" s="14"/>
    </row>
    <row r="148" spans="4:12" x14ac:dyDescent="0.3">
      <c r="D148" s="14"/>
      <c r="E148" s="15"/>
      <c r="G148" s="15" t="str">
        <f>IF(A148="","",IFERROR(IF(#REF!&gt;VLOOKUP(A148,'포트변경내역(중립)'!A:C,10,0),"O","X"),""))</f>
        <v/>
      </c>
      <c r="H148" s="15" t="str">
        <f>IF(A148="","",COUNTIFS('MP내역(적극)'!$A:$A,A148)-COUNTIFS('MP내역(적극)'!$A:$A,A148,'MP내역(적극)'!$B:$B,"현금")-COUNTIFS('MP내역(적극)'!$A:$A,A148,'MP내역(적극)'!$B:$B,"예수금")-COUNTIFS('MP내역(적극)'!$A:$A,A148,'MP내역(적극)'!$B:$B,"예탁금")-COUNTIFS('MP내역(적극)'!$A:$A,A148,'MP내역(적극)'!$B:$B,"합계"))</f>
        <v/>
      </c>
      <c r="I148" s="15" t="str">
        <f>IF(A148="","",IF(COUNTIFS('MP내역(적극)'!A:A,A148,'MP내역(적극)'!G:G,"&gt;"&amp;#REF!,'MP내역(적극)'!D:D,"&lt;&gt;"&amp;#REF!,'MP내역(적극)'!D:D,"&lt;&gt;"&amp;#REF!,'MP내역(적극)'!B:B,"&lt;&gt;현금",'MP내역(적극)'!B:B,"&lt;&gt;합계")=0,"O","X"))</f>
        <v/>
      </c>
      <c r="J148" s="15" t="str">
        <f>IF(A148="","",IF(AND(ABS(#REF!-SUMIFS('MP내역(적극)'!G:G,'MP내역(적극)'!A:A,A148,'MP내역(적극)'!F:F,"Y"))&lt;0.001,ABS(#REF!-SUMIFS('MP내역(적극)'!G:G,'MP내역(적극)'!A:A,A148,'MP내역(적극)'!B:B,"&lt;&gt;합계"))&lt;0.001),"O","X"))</f>
        <v/>
      </c>
      <c r="K148" s="15" t="str">
        <f>IF(A148="","",IF(COUNTIFS('MP내역(적극)'!A:A,A148,'MP내역(적극)'!H:H,"X")=0,"O","X"))</f>
        <v/>
      </c>
      <c r="L148" s="14"/>
    </row>
    <row r="149" spans="4:12" x14ac:dyDescent="0.3">
      <c r="D149" s="14"/>
      <c r="E149" s="15"/>
      <c r="G149" s="15" t="str">
        <f>IF(A149="","",IFERROR(IF(#REF!&gt;VLOOKUP(A149,'포트변경내역(중립)'!A:C,10,0),"O","X"),""))</f>
        <v/>
      </c>
      <c r="H149" s="15" t="str">
        <f>IF(A149="","",COUNTIFS('MP내역(적극)'!$A:$A,A149)-COUNTIFS('MP내역(적극)'!$A:$A,A149,'MP내역(적극)'!$B:$B,"현금")-COUNTIFS('MP내역(적극)'!$A:$A,A149,'MP내역(적극)'!$B:$B,"예수금")-COUNTIFS('MP내역(적극)'!$A:$A,A149,'MP내역(적극)'!$B:$B,"예탁금")-COUNTIFS('MP내역(적극)'!$A:$A,A149,'MP내역(적극)'!$B:$B,"합계"))</f>
        <v/>
      </c>
      <c r="I149" s="15" t="str">
        <f>IF(A149="","",IF(COUNTIFS('MP내역(적극)'!A:A,A149,'MP내역(적극)'!G:G,"&gt;"&amp;#REF!,'MP내역(적극)'!D:D,"&lt;&gt;"&amp;#REF!,'MP내역(적극)'!D:D,"&lt;&gt;"&amp;#REF!,'MP내역(적극)'!B:B,"&lt;&gt;현금",'MP내역(적극)'!B:B,"&lt;&gt;합계")=0,"O","X"))</f>
        <v/>
      </c>
      <c r="J149" s="15" t="str">
        <f>IF(A149="","",IF(AND(ABS(#REF!-SUMIFS('MP내역(적극)'!G:G,'MP내역(적극)'!A:A,A149,'MP내역(적극)'!F:F,"Y"))&lt;0.001,ABS(#REF!-SUMIFS('MP내역(적극)'!G:G,'MP내역(적극)'!A:A,A149,'MP내역(적극)'!B:B,"&lt;&gt;합계"))&lt;0.001),"O","X"))</f>
        <v/>
      </c>
      <c r="K149" s="15" t="str">
        <f>IF(A149="","",IF(COUNTIFS('MP내역(적극)'!A:A,A149,'MP내역(적극)'!H:H,"X")=0,"O","X"))</f>
        <v/>
      </c>
      <c r="L149" s="14"/>
    </row>
    <row r="150" spans="4:12" x14ac:dyDescent="0.3">
      <c r="D150" s="14"/>
      <c r="E150" s="15"/>
      <c r="G150" s="15" t="str">
        <f>IF(A150="","",IFERROR(IF(#REF!&gt;VLOOKUP(A150,'포트변경내역(중립)'!A:C,10,0),"O","X"),""))</f>
        <v/>
      </c>
      <c r="H150" s="15" t="str">
        <f>IF(A150="","",COUNTIFS('MP내역(적극)'!$A:$A,A150)-COUNTIFS('MP내역(적극)'!$A:$A,A150,'MP내역(적극)'!$B:$B,"현금")-COUNTIFS('MP내역(적극)'!$A:$A,A150,'MP내역(적극)'!$B:$B,"예수금")-COUNTIFS('MP내역(적극)'!$A:$A,A150,'MP내역(적극)'!$B:$B,"예탁금")-COUNTIFS('MP내역(적극)'!$A:$A,A150,'MP내역(적극)'!$B:$B,"합계"))</f>
        <v/>
      </c>
      <c r="I150" s="15" t="str">
        <f>IF(A150="","",IF(COUNTIFS('MP내역(적극)'!A:A,A150,'MP내역(적극)'!G:G,"&gt;"&amp;#REF!,'MP내역(적극)'!D:D,"&lt;&gt;"&amp;#REF!,'MP내역(적극)'!D:D,"&lt;&gt;"&amp;#REF!,'MP내역(적극)'!B:B,"&lt;&gt;현금",'MP내역(적극)'!B:B,"&lt;&gt;합계")=0,"O","X"))</f>
        <v/>
      </c>
      <c r="J150" s="15" t="str">
        <f>IF(A150="","",IF(AND(ABS(#REF!-SUMIFS('MP내역(적극)'!G:G,'MP내역(적극)'!A:A,A150,'MP내역(적극)'!F:F,"Y"))&lt;0.001,ABS(#REF!-SUMIFS('MP내역(적극)'!G:G,'MP내역(적극)'!A:A,A150,'MP내역(적극)'!B:B,"&lt;&gt;합계"))&lt;0.001),"O","X"))</f>
        <v/>
      </c>
      <c r="K150" s="15" t="str">
        <f>IF(A150="","",IF(COUNTIFS('MP내역(적극)'!A:A,A150,'MP내역(적극)'!H:H,"X")=0,"O","X"))</f>
        <v/>
      </c>
      <c r="L150" s="14"/>
    </row>
    <row r="151" spans="4:12" x14ac:dyDescent="0.3">
      <c r="D151" s="14"/>
      <c r="E151" s="15"/>
      <c r="G151" s="15" t="str">
        <f>IF(A151="","",IFERROR(IF(#REF!&gt;VLOOKUP(A151,'포트변경내역(중립)'!A:C,10,0),"O","X"),""))</f>
        <v/>
      </c>
      <c r="H151" s="15" t="str">
        <f>IF(A151="","",COUNTIFS('MP내역(적극)'!$A:$A,A151)-COUNTIFS('MP내역(적극)'!$A:$A,A151,'MP내역(적극)'!$B:$B,"현금")-COUNTIFS('MP내역(적극)'!$A:$A,A151,'MP내역(적극)'!$B:$B,"예수금")-COUNTIFS('MP내역(적극)'!$A:$A,A151,'MP내역(적극)'!$B:$B,"예탁금")-COUNTIFS('MP내역(적극)'!$A:$A,A151,'MP내역(적극)'!$B:$B,"합계"))</f>
        <v/>
      </c>
      <c r="I151" s="15" t="str">
        <f>IF(A151="","",IF(COUNTIFS('MP내역(적극)'!A:A,A151,'MP내역(적극)'!G:G,"&gt;"&amp;#REF!,'MP내역(적극)'!D:D,"&lt;&gt;"&amp;#REF!,'MP내역(적극)'!D:D,"&lt;&gt;"&amp;#REF!,'MP내역(적극)'!B:B,"&lt;&gt;현금",'MP내역(적극)'!B:B,"&lt;&gt;합계")=0,"O","X"))</f>
        <v/>
      </c>
      <c r="J151" s="15" t="str">
        <f>IF(A151="","",IF(AND(ABS(#REF!-SUMIFS('MP내역(적극)'!G:G,'MP내역(적극)'!A:A,A151,'MP내역(적극)'!F:F,"Y"))&lt;0.001,ABS(#REF!-SUMIFS('MP내역(적극)'!G:G,'MP내역(적극)'!A:A,A151,'MP내역(적극)'!B:B,"&lt;&gt;합계"))&lt;0.001),"O","X"))</f>
        <v/>
      </c>
      <c r="K151" s="15" t="str">
        <f>IF(A151="","",IF(COUNTIFS('MP내역(적극)'!A:A,A151,'MP내역(적극)'!H:H,"X")=0,"O","X"))</f>
        <v/>
      </c>
      <c r="L151" s="14"/>
    </row>
    <row r="152" spans="4:12" x14ac:dyDescent="0.3">
      <c r="D152" s="14"/>
      <c r="E152" s="15"/>
      <c r="G152" s="15" t="str">
        <f>IF(A152="","",IFERROR(IF(#REF!&gt;VLOOKUP(A152,'포트변경내역(중립)'!A:C,10,0),"O","X"),""))</f>
        <v/>
      </c>
      <c r="H152" s="15" t="str">
        <f>IF(A152="","",COUNTIFS('MP내역(적극)'!$A:$A,A152)-COUNTIFS('MP내역(적극)'!$A:$A,A152,'MP내역(적극)'!$B:$B,"현금")-COUNTIFS('MP내역(적극)'!$A:$A,A152,'MP내역(적극)'!$B:$B,"예수금")-COUNTIFS('MP내역(적극)'!$A:$A,A152,'MP내역(적극)'!$B:$B,"예탁금")-COUNTIFS('MP내역(적극)'!$A:$A,A152,'MP내역(적극)'!$B:$B,"합계"))</f>
        <v/>
      </c>
      <c r="I152" s="15" t="str">
        <f>IF(A152="","",IF(COUNTIFS('MP내역(적극)'!A:A,A152,'MP내역(적극)'!G:G,"&gt;"&amp;#REF!,'MP내역(적극)'!D:D,"&lt;&gt;"&amp;#REF!,'MP내역(적극)'!D:D,"&lt;&gt;"&amp;#REF!,'MP내역(적극)'!B:B,"&lt;&gt;현금",'MP내역(적극)'!B:B,"&lt;&gt;합계")=0,"O","X"))</f>
        <v/>
      </c>
      <c r="J152" s="15" t="str">
        <f>IF(A152="","",IF(AND(ABS(#REF!-SUMIFS('MP내역(적극)'!G:G,'MP내역(적극)'!A:A,A152,'MP내역(적극)'!F:F,"Y"))&lt;0.001,ABS(#REF!-SUMIFS('MP내역(적극)'!G:G,'MP내역(적극)'!A:A,A152,'MP내역(적극)'!B:B,"&lt;&gt;합계"))&lt;0.001),"O","X"))</f>
        <v/>
      </c>
      <c r="K152" s="15" t="str">
        <f>IF(A152="","",IF(COUNTIFS('MP내역(적극)'!A:A,A152,'MP내역(적극)'!H:H,"X")=0,"O","X"))</f>
        <v/>
      </c>
      <c r="L152" s="14"/>
    </row>
    <row r="153" spans="4:12" x14ac:dyDescent="0.3">
      <c r="D153" s="14"/>
      <c r="E153" s="15"/>
      <c r="G153" s="15" t="str">
        <f>IF(A153="","",IFERROR(IF(#REF!&gt;VLOOKUP(A153,'포트변경내역(중립)'!A:C,10,0),"O","X"),""))</f>
        <v/>
      </c>
      <c r="H153" s="15" t="str">
        <f>IF(A153="","",COUNTIFS('MP내역(적극)'!$A:$A,A153)-COUNTIFS('MP내역(적극)'!$A:$A,A153,'MP내역(적극)'!$B:$B,"현금")-COUNTIFS('MP내역(적극)'!$A:$A,A153,'MP내역(적극)'!$B:$B,"예수금")-COUNTIFS('MP내역(적극)'!$A:$A,A153,'MP내역(적극)'!$B:$B,"예탁금")-COUNTIFS('MP내역(적극)'!$A:$A,A153,'MP내역(적극)'!$B:$B,"합계"))</f>
        <v/>
      </c>
      <c r="I153" s="15" t="str">
        <f>IF(A153="","",IF(COUNTIFS('MP내역(적극)'!A:A,A153,'MP내역(적극)'!G:G,"&gt;"&amp;#REF!,'MP내역(적극)'!D:D,"&lt;&gt;"&amp;#REF!,'MP내역(적극)'!D:D,"&lt;&gt;"&amp;#REF!,'MP내역(적극)'!B:B,"&lt;&gt;현금",'MP내역(적극)'!B:B,"&lt;&gt;합계")=0,"O","X"))</f>
        <v/>
      </c>
      <c r="J153" s="15" t="str">
        <f>IF(A153="","",IF(AND(ABS(#REF!-SUMIFS('MP내역(적극)'!G:G,'MP내역(적극)'!A:A,A153,'MP내역(적극)'!F:F,"Y"))&lt;0.001,ABS(#REF!-SUMIFS('MP내역(적극)'!G:G,'MP내역(적극)'!A:A,A153,'MP내역(적극)'!B:B,"&lt;&gt;합계"))&lt;0.001),"O","X"))</f>
        <v/>
      </c>
      <c r="K153" s="15" t="str">
        <f>IF(A153="","",IF(COUNTIFS('MP내역(적극)'!A:A,A153,'MP내역(적극)'!H:H,"X")=0,"O","X"))</f>
        <v/>
      </c>
      <c r="L153" s="14"/>
    </row>
    <row r="154" spans="4:12" x14ac:dyDescent="0.3">
      <c r="D154" s="14"/>
      <c r="E154" s="15"/>
      <c r="G154" s="15" t="str">
        <f>IF(A154="","",IFERROR(IF(#REF!&gt;VLOOKUP(A154,'포트변경내역(중립)'!A:C,10,0),"O","X"),""))</f>
        <v/>
      </c>
      <c r="H154" s="15" t="str">
        <f>IF(A154="","",COUNTIFS('MP내역(적극)'!$A:$A,A154)-COUNTIFS('MP내역(적극)'!$A:$A,A154,'MP내역(적극)'!$B:$B,"현금")-COUNTIFS('MP내역(적극)'!$A:$A,A154,'MP내역(적극)'!$B:$B,"예수금")-COUNTIFS('MP내역(적극)'!$A:$A,A154,'MP내역(적극)'!$B:$B,"예탁금")-COUNTIFS('MP내역(적극)'!$A:$A,A154,'MP내역(적극)'!$B:$B,"합계"))</f>
        <v/>
      </c>
      <c r="I154" s="15" t="str">
        <f>IF(A154="","",IF(COUNTIFS('MP내역(적극)'!A:A,A154,'MP내역(적극)'!G:G,"&gt;"&amp;#REF!,'MP내역(적극)'!D:D,"&lt;&gt;"&amp;#REF!,'MP내역(적극)'!D:D,"&lt;&gt;"&amp;#REF!,'MP내역(적극)'!B:B,"&lt;&gt;현금",'MP내역(적극)'!B:B,"&lt;&gt;합계")=0,"O","X"))</f>
        <v/>
      </c>
      <c r="J154" s="15" t="str">
        <f>IF(A154="","",IF(AND(ABS(#REF!-SUMIFS('MP내역(적극)'!G:G,'MP내역(적극)'!A:A,A154,'MP내역(적극)'!F:F,"Y"))&lt;0.001,ABS(#REF!-SUMIFS('MP내역(적극)'!G:G,'MP내역(적극)'!A:A,A154,'MP내역(적극)'!B:B,"&lt;&gt;합계"))&lt;0.001),"O","X"))</f>
        <v/>
      </c>
      <c r="K154" s="15" t="str">
        <f>IF(A154="","",IF(COUNTIFS('MP내역(적극)'!A:A,A154,'MP내역(적극)'!H:H,"X")=0,"O","X"))</f>
        <v/>
      </c>
      <c r="L154" s="14"/>
    </row>
    <row r="155" spans="4:12" x14ac:dyDescent="0.3">
      <c r="D155" s="14"/>
      <c r="E155" s="15"/>
      <c r="G155" s="15" t="str">
        <f>IF(A155="","",IFERROR(IF(#REF!&gt;VLOOKUP(A155,'포트변경내역(중립)'!A:C,10,0),"O","X"),""))</f>
        <v/>
      </c>
      <c r="H155" s="15" t="str">
        <f>IF(A155="","",COUNTIFS('MP내역(적극)'!$A:$A,A155)-COUNTIFS('MP내역(적극)'!$A:$A,A155,'MP내역(적극)'!$B:$B,"현금")-COUNTIFS('MP내역(적극)'!$A:$A,A155,'MP내역(적극)'!$B:$B,"예수금")-COUNTIFS('MP내역(적극)'!$A:$A,A155,'MP내역(적극)'!$B:$B,"예탁금")-COUNTIFS('MP내역(적극)'!$A:$A,A155,'MP내역(적극)'!$B:$B,"합계"))</f>
        <v/>
      </c>
      <c r="I155" s="15" t="str">
        <f>IF(A155="","",IF(COUNTIFS('MP내역(적극)'!A:A,A155,'MP내역(적극)'!G:G,"&gt;"&amp;#REF!,'MP내역(적극)'!D:D,"&lt;&gt;"&amp;#REF!,'MP내역(적극)'!D:D,"&lt;&gt;"&amp;#REF!,'MP내역(적극)'!B:B,"&lt;&gt;현금",'MP내역(적극)'!B:B,"&lt;&gt;합계")=0,"O","X"))</f>
        <v/>
      </c>
      <c r="J155" s="15" t="str">
        <f>IF(A155="","",IF(AND(ABS(#REF!-SUMIFS('MP내역(적극)'!G:G,'MP내역(적극)'!A:A,A155,'MP내역(적극)'!F:F,"Y"))&lt;0.001,ABS(#REF!-SUMIFS('MP내역(적극)'!G:G,'MP내역(적극)'!A:A,A155,'MP내역(적극)'!B:B,"&lt;&gt;합계"))&lt;0.001),"O","X"))</f>
        <v/>
      </c>
      <c r="K155" s="15" t="str">
        <f>IF(A155="","",IF(COUNTIFS('MP내역(적극)'!A:A,A155,'MP내역(적극)'!H:H,"X")=0,"O","X"))</f>
        <v/>
      </c>
      <c r="L155" s="14"/>
    </row>
    <row r="156" spans="4:12" x14ac:dyDescent="0.3">
      <c r="D156" s="14"/>
      <c r="E156" s="15"/>
      <c r="G156" s="15" t="str">
        <f>IF(A156="","",IFERROR(IF(#REF!&gt;VLOOKUP(A156,'포트변경내역(중립)'!A:C,10,0),"O","X"),""))</f>
        <v/>
      </c>
      <c r="H156" s="15" t="str">
        <f>IF(A156="","",COUNTIFS('MP내역(적극)'!$A:$A,A156)-COUNTIFS('MP내역(적극)'!$A:$A,A156,'MP내역(적극)'!$B:$B,"현금")-COUNTIFS('MP내역(적극)'!$A:$A,A156,'MP내역(적극)'!$B:$B,"예수금")-COUNTIFS('MP내역(적극)'!$A:$A,A156,'MP내역(적극)'!$B:$B,"예탁금")-COUNTIFS('MP내역(적극)'!$A:$A,A156,'MP내역(적극)'!$B:$B,"합계"))</f>
        <v/>
      </c>
      <c r="I156" s="15" t="str">
        <f>IF(A156="","",IF(COUNTIFS('MP내역(적극)'!A:A,A156,'MP내역(적극)'!G:G,"&gt;"&amp;#REF!,'MP내역(적극)'!D:D,"&lt;&gt;"&amp;#REF!,'MP내역(적극)'!D:D,"&lt;&gt;"&amp;#REF!,'MP내역(적극)'!B:B,"&lt;&gt;현금",'MP내역(적극)'!B:B,"&lt;&gt;합계")=0,"O","X"))</f>
        <v/>
      </c>
      <c r="J156" s="15" t="str">
        <f>IF(A156="","",IF(AND(ABS(#REF!-SUMIFS('MP내역(적극)'!G:G,'MP내역(적극)'!A:A,A156,'MP내역(적극)'!F:F,"Y"))&lt;0.001,ABS(#REF!-SUMIFS('MP내역(적극)'!G:G,'MP내역(적극)'!A:A,A156,'MP내역(적극)'!B:B,"&lt;&gt;합계"))&lt;0.001),"O","X"))</f>
        <v/>
      </c>
      <c r="K156" s="15" t="str">
        <f>IF(A156="","",IF(COUNTIFS('MP내역(적극)'!A:A,A156,'MP내역(적극)'!H:H,"X")=0,"O","X"))</f>
        <v/>
      </c>
      <c r="L156" s="14"/>
    </row>
    <row r="157" spans="4:12" x14ac:dyDescent="0.3">
      <c r="D157" s="14"/>
      <c r="E157" s="15"/>
      <c r="G157" s="15" t="str">
        <f>IF(A157="","",IFERROR(IF(#REF!&gt;VLOOKUP(A157,'포트변경내역(중립)'!A:C,10,0),"O","X"),""))</f>
        <v/>
      </c>
      <c r="H157" s="15" t="str">
        <f>IF(A157="","",COUNTIFS('MP내역(적극)'!$A:$A,A157)-COUNTIFS('MP내역(적극)'!$A:$A,A157,'MP내역(적극)'!$B:$B,"현금")-COUNTIFS('MP내역(적극)'!$A:$A,A157,'MP내역(적극)'!$B:$B,"예수금")-COUNTIFS('MP내역(적극)'!$A:$A,A157,'MP내역(적극)'!$B:$B,"예탁금")-COUNTIFS('MP내역(적극)'!$A:$A,A157,'MP내역(적극)'!$B:$B,"합계"))</f>
        <v/>
      </c>
      <c r="I157" s="15" t="str">
        <f>IF(A157="","",IF(COUNTIFS('MP내역(적극)'!A:A,A157,'MP내역(적극)'!G:G,"&gt;"&amp;#REF!,'MP내역(적극)'!D:D,"&lt;&gt;"&amp;#REF!,'MP내역(적극)'!D:D,"&lt;&gt;"&amp;#REF!,'MP내역(적극)'!B:B,"&lt;&gt;현금",'MP내역(적극)'!B:B,"&lt;&gt;합계")=0,"O","X"))</f>
        <v/>
      </c>
      <c r="J157" s="15" t="str">
        <f>IF(A157="","",IF(AND(ABS(#REF!-SUMIFS('MP내역(적극)'!G:G,'MP내역(적극)'!A:A,A157,'MP내역(적극)'!F:F,"Y"))&lt;0.001,ABS(#REF!-SUMIFS('MP내역(적극)'!G:G,'MP내역(적극)'!A:A,A157,'MP내역(적극)'!B:B,"&lt;&gt;합계"))&lt;0.001),"O","X"))</f>
        <v/>
      </c>
      <c r="K157" s="15" t="str">
        <f>IF(A157="","",IF(COUNTIFS('MP내역(적극)'!A:A,A157,'MP내역(적극)'!H:H,"X")=0,"O","X"))</f>
        <v/>
      </c>
      <c r="L157" s="14"/>
    </row>
    <row r="158" spans="4:12" x14ac:dyDescent="0.3">
      <c r="D158" s="14"/>
      <c r="E158" s="15"/>
      <c r="G158" s="15" t="str">
        <f>IF(A158="","",IFERROR(IF(#REF!&gt;VLOOKUP(A158,'포트변경내역(중립)'!A:C,10,0),"O","X"),""))</f>
        <v/>
      </c>
      <c r="H158" s="15" t="str">
        <f>IF(A158="","",COUNTIFS('MP내역(적극)'!$A:$A,A158)-COUNTIFS('MP내역(적극)'!$A:$A,A158,'MP내역(적극)'!$B:$B,"현금")-COUNTIFS('MP내역(적극)'!$A:$A,A158,'MP내역(적극)'!$B:$B,"예수금")-COUNTIFS('MP내역(적극)'!$A:$A,A158,'MP내역(적극)'!$B:$B,"예탁금")-COUNTIFS('MP내역(적극)'!$A:$A,A158,'MP내역(적극)'!$B:$B,"합계"))</f>
        <v/>
      </c>
      <c r="I158" s="15" t="str">
        <f>IF(A158="","",IF(COUNTIFS('MP내역(적극)'!A:A,A158,'MP내역(적극)'!G:G,"&gt;"&amp;#REF!,'MP내역(적극)'!D:D,"&lt;&gt;"&amp;#REF!,'MP내역(적극)'!D:D,"&lt;&gt;"&amp;#REF!,'MP내역(적극)'!B:B,"&lt;&gt;현금",'MP내역(적극)'!B:B,"&lt;&gt;합계")=0,"O","X"))</f>
        <v/>
      </c>
      <c r="J158" s="15" t="str">
        <f>IF(A158="","",IF(AND(ABS(#REF!-SUMIFS('MP내역(적극)'!G:G,'MP내역(적극)'!A:A,A158,'MP내역(적극)'!F:F,"Y"))&lt;0.001,ABS(#REF!-SUMIFS('MP내역(적극)'!G:G,'MP내역(적극)'!A:A,A158,'MP내역(적극)'!B:B,"&lt;&gt;합계"))&lt;0.001),"O","X"))</f>
        <v/>
      </c>
      <c r="K158" s="15" t="str">
        <f>IF(A158="","",IF(COUNTIFS('MP내역(적극)'!A:A,A158,'MP내역(적극)'!H:H,"X")=0,"O","X"))</f>
        <v/>
      </c>
      <c r="L158" s="14"/>
    </row>
    <row r="159" spans="4:12" x14ac:dyDescent="0.3">
      <c r="D159" s="14"/>
      <c r="E159" s="15"/>
      <c r="G159" s="15" t="str">
        <f>IF(A159="","",IFERROR(IF(#REF!&gt;VLOOKUP(A159,'포트변경내역(중립)'!A:C,10,0),"O","X"),""))</f>
        <v/>
      </c>
      <c r="H159" s="15" t="str">
        <f>IF(A159="","",COUNTIFS('MP내역(적극)'!$A:$A,A159)-COUNTIFS('MP내역(적극)'!$A:$A,A159,'MP내역(적극)'!$B:$B,"현금")-COUNTIFS('MP내역(적극)'!$A:$A,A159,'MP내역(적극)'!$B:$B,"예수금")-COUNTIFS('MP내역(적극)'!$A:$A,A159,'MP내역(적극)'!$B:$B,"예탁금")-COUNTIFS('MP내역(적극)'!$A:$A,A159,'MP내역(적극)'!$B:$B,"합계"))</f>
        <v/>
      </c>
      <c r="I159" s="15" t="str">
        <f>IF(A159="","",IF(COUNTIFS('MP내역(적극)'!A:A,A159,'MP내역(적극)'!G:G,"&gt;"&amp;#REF!,'MP내역(적극)'!D:D,"&lt;&gt;"&amp;#REF!,'MP내역(적극)'!D:D,"&lt;&gt;"&amp;#REF!,'MP내역(적극)'!B:B,"&lt;&gt;현금",'MP내역(적극)'!B:B,"&lt;&gt;합계")=0,"O","X"))</f>
        <v/>
      </c>
      <c r="J159" s="15" t="str">
        <f>IF(A159="","",IF(AND(ABS(#REF!-SUMIFS('MP내역(적극)'!G:G,'MP내역(적극)'!A:A,A159,'MP내역(적극)'!F:F,"Y"))&lt;0.001,ABS(#REF!-SUMIFS('MP내역(적극)'!G:G,'MP내역(적극)'!A:A,A159,'MP내역(적극)'!B:B,"&lt;&gt;합계"))&lt;0.001),"O","X"))</f>
        <v/>
      </c>
      <c r="K159" s="15" t="str">
        <f>IF(A159="","",IF(COUNTIFS('MP내역(적극)'!A:A,A159,'MP내역(적극)'!H:H,"X")=0,"O","X"))</f>
        <v/>
      </c>
      <c r="L159" s="14"/>
    </row>
    <row r="160" spans="4:12" x14ac:dyDescent="0.3">
      <c r="D160" s="14"/>
      <c r="E160" s="15"/>
      <c r="G160" s="15" t="str">
        <f>IF(A160="","",IFERROR(IF(#REF!&gt;VLOOKUP(A160,'포트변경내역(중립)'!A:C,10,0),"O","X"),""))</f>
        <v/>
      </c>
      <c r="H160" s="15" t="str">
        <f>IF(A160="","",COUNTIFS('MP내역(적극)'!$A:$A,A160)-COUNTIFS('MP내역(적극)'!$A:$A,A160,'MP내역(적극)'!$B:$B,"현금")-COUNTIFS('MP내역(적극)'!$A:$A,A160,'MP내역(적극)'!$B:$B,"예수금")-COUNTIFS('MP내역(적극)'!$A:$A,A160,'MP내역(적극)'!$B:$B,"예탁금")-COUNTIFS('MP내역(적극)'!$A:$A,A160,'MP내역(적극)'!$B:$B,"합계"))</f>
        <v/>
      </c>
      <c r="I160" s="15" t="str">
        <f>IF(A160="","",IF(COUNTIFS('MP내역(적극)'!A:A,A160,'MP내역(적극)'!G:G,"&gt;"&amp;#REF!,'MP내역(적극)'!D:D,"&lt;&gt;"&amp;#REF!,'MP내역(적극)'!D:D,"&lt;&gt;"&amp;#REF!,'MP내역(적극)'!B:B,"&lt;&gt;현금",'MP내역(적극)'!B:B,"&lt;&gt;합계")=0,"O","X"))</f>
        <v/>
      </c>
      <c r="J160" s="15" t="str">
        <f>IF(A160="","",IF(AND(ABS(#REF!-SUMIFS('MP내역(적극)'!G:G,'MP내역(적극)'!A:A,A160,'MP내역(적극)'!F:F,"Y"))&lt;0.001,ABS(#REF!-SUMIFS('MP내역(적극)'!G:G,'MP내역(적극)'!A:A,A160,'MP내역(적극)'!B:B,"&lt;&gt;합계"))&lt;0.001),"O","X"))</f>
        <v/>
      </c>
      <c r="K160" s="15" t="str">
        <f>IF(A160="","",IF(COUNTIFS('MP내역(적극)'!A:A,A160,'MP내역(적극)'!H:H,"X")=0,"O","X"))</f>
        <v/>
      </c>
      <c r="L160" s="14"/>
    </row>
    <row r="161" spans="4:12" x14ac:dyDescent="0.3">
      <c r="D161" s="14"/>
      <c r="E161" s="15"/>
      <c r="G161" s="15" t="str">
        <f>IF(A161="","",IFERROR(IF(#REF!&gt;VLOOKUP(A161,'포트변경내역(중립)'!A:C,10,0),"O","X"),""))</f>
        <v/>
      </c>
      <c r="H161" s="15" t="str">
        <f>IF(A161="","",COUNTIFS('MP내역(적극)'!$A:$A,A161)-COUNTIFS('MP내역(적극)'!$A:$A,A161,'MP내역(적극)'!$B:$B,"현금")-COUNTIFS('MP내역(적극)'!$A:$A,A161,'MP내역(적극)'!$B:$B,"예수금")-COUNTIFS('MP내역(적극)'!$A:$A,A161,'MP내역(적극)'!$B:$B,"예탁금")-COUNTIFS('MP내역(적극)'!$A:$A,A161,'MP내역(적극)'!$B:$B,"합계"))</f>
        <v/>
      </c>
      <c r="I161" s="15" t="str">
        <f>IF(A161="","",IF(COUNTIFS('MP내역(적극)'!A:A,A161,'MP내역(적극)'!G:G,"&gt;"&amp;#REF!,'MP내역(적극)'!D:D,"&lt;&gt;"&amp;#REF!,'MP내역(적극)'!D:D,"&lt;&gt;"&amp;#REF!,'MP내역(적극)'!B:B,"&lt;&gt;현금",'MP내역(적극)'!B:B,"&lt;&gt;합계")=0,"O","X"))</f>
        <v/>
      </c>
      <c r="J161" s="15" t="str">
        <f>IF(A161="","",IF(AND(ABS(#REF!-SUMIFS('MP내역(적극)'!G:G,'MP내역(적극)'!A:A,A161,'MP내역(적극)'!F:F,"Y"))&lt;0.001,ABS(#REF!-SUMIFS('MP내역(적극)'!G:G,'MP내역(적극)'!A:A,A161,'MP내역(적극)'!B:B,"&lt;&gt;합계"))&lt;0.001),"O","X"))</f>
        <v/>
      </c>
      <c r="K161" s="15" t="str">
        <f>IF(A161="","",IF(COUNTIFS('MP내역(적극)'!A:A,A161,'MP내역(적극)'!H:H,"X")=0,"O","X"))</f>
        <v/>
      </c>
      <c r="L161" s="14"/>
    </row>
    <row r="162" spans="4:12" x14ac:dyDescent="0.3">
      <c r="D162" s="14"/>
      <c r="E162" s="15"/>
      <c r="G162" s="15" t="str">
        <f>IF(A162="","",IFERROR(IF(#REF!&gt;VLOOKUP(A162,'포트변경내역(중립)'!A:C,10,0),"O","X"),""))</f>
        <v/>
      </c>
      <c r="H162" s="15" t="str">
        <f>IF(A162="","",COUNTIFS('MP내역(적극)'!$A:$A,A162)-COUNTIFS('MP내역(적극)'!$A:$A,A162,'MP내역(적극)'!$B:$B,"현금")-COUNTIFS('MP내역(적극)'!$A:$A,A162,'MP내역(적극)'!$B:$B,"예수금")-COUNTIFS('MP내역(적극)'!$A:$A,A162,'MP내역(적극)'!$B:$B,"예탁금")-COUNTIFS('MP내역(적극)'!$A:$A,A162,'MP내역(적극)'!$B:$B,"합계"))</f>
        <v/>
      </c>
      <c r="I162" s="15" t="str">
        <f>IF(A162="","",IF(COUNTIFS('MP내역(적극)'!A:A,A162,'MP내역(적극)'!G:G,"&gt;"&amp;#REF!,'MP내역(적극)'!D:D,"&lt;&gt;"&amp;#REF!,'MP내역(적극)'!D:D,"&lt;&gt;"&amp;#REF!,'MP내역(적극)'!B:B,"&lt;&gt;현금",'MP내역(적극)'!B:B,"&lt;&gt;합계")=0,"O","X"))</f>
        <v/>
      </c>
      <c r="J162" s="15" t="str">
        <f>IF(A162="","",IF(AND(ABS(#REF!-SUMIFS('MP내역(적극)'!G:G,'MP내역(적극)'!A:A,A162,'MP내역(적극)'!F:F,"Y"))&lt;0.001,ABS(#REF!-SUMIFS('MP내역(적극)'!G:G,'MP내역(적극)'!A:A,A162,'MP내역(적극)'!B:B,"&lt;&gt;합계"))&lt;0.001),"O","X"))</f>
        <v/>
      </c>
      <c r="K162" s="15" t="str">
        <f>IF(A162="","",IF(COUNTIFS('MP내역(적극)'!A:A,A162,'MP내역(적극)'!H:H,"X")=0,"O","X"))</f>
        <v/>
      </c>
      <c r="L162" s="14"/>
    </row>
    <row r="163" spans="4:12" x14ac:dyDescent="0.3">
      <c r="D163" s="14"/>
      <c r="E163" s="15"/>
      <c r="G163" s="15" t="str">
        <f>IF(A163="","",IFERROR(IF(#REF!&gt;VLOOKUP(A163,'포트변경내역(중립)'!A:C,10,0),"O","X"),""))</f>
        <v/>
      </c>
      <c r="H163" s="15" t="str">
        <f>IF(A163="","",COUNTIFS('MP내역(적극)'!$A:$A,A163)-COUNTIFS('MP내역(적극)'!$A:$A,A163,'MP내역(적극)'!$B:$B,"현금")-COUNTIFS('MP내역(적극)'!$A:$A,A163,'MP내역(적극)'!$B:$B,"예수금")-COUNTIFS('MP내역(적극)'!$A:$A,A163,'MP내역(적극)'!$B:$B,"예탁금")-COUNTIFS('MP내역(적극)'!$A:$A,A163,'MP내역(적극)'!$B:$B,"합계"))</f>
        <v/>
      </c>
      <c r="I163" s="15" t="str">
        <f>IF(A163="","",IF(COUNTIFS('MP내역(적극)'!A:A,A163,'MP내역(적극)'!G:G,"&gt;"&amp;#REF!,'MP내역(적극)'!D:D,"&lt;&gt;"&amp;#REF!,'MP내역(적극)'!D:D,"&lt;&gt;"&amp;#REF!,'MP내역(적극)'!B:B,"&lt;&gt;현금",'MP내역(적극)'!B:B,"&lt;&gt;합계")=0,"O","X"))</f>
        <v/>
      </c>
      <c r="J163" s="15" t="str">
        <f>IF(A163="","",IF(AND(ABS(#REF!-SUMIFS('MP내역(적극)'!G:G,'MP내역(적극)'!A:A,A163,'MP내역(적극)'!F:F,"Y"))&lt;0.001,ABS(#REF!-SUMIFS('MP내역(적극)'!G:G,'MP내역(적극)'!A:A,A163,'MP내역(적극)'!B:B,"&lt;&gt;합계"))&lt;0.001),"O","X"))</f>
        <v/>
      </c>
      <c r="K163" s="15" t="str">
        <f>IF(A163="","",IF(COUNTIFS('MP내역(적극)'!A:A,A163,'MP내역(적극)'!H:H,"X")=0,"O","X"))</f>
        <v/>
      </c>
      <c r="L163" s="14"/>
    </row>
    <row r="164" spans="4:12" x14ac:dyDescent="0.3">
      <c r="D164" s="14"/>
      <c r="E164" s="15"/>
      <c r="G164" s="15" t="str">
        <f>IF(A164="","",IFERROR(IF(#REF!&gt;VLOOKUP(A164,'포트변경내역(중립)'!A:C,10,0),"O","X"),""))</f>
        <v/>
      </c>
      <c r="H164" s="15" t="str">
        <f>IF(A164="","",COUNTIFS('MP내역(적극)'!$A:$A,A164)-COUNTIFS('MP내역(적극)'!$A:$A,A164,'MP내역(적극)'!$B:$B,"현금")-COUNTIFS('MP내역(적극)'!$A:$A,A164,'MP내역(적극)'!$B:$B,"예수금")-COUNTIFS('MP내역(적극)'!$A:$A,A164,'MP내역(적극)'!$B:$B,"예탁금")-COUNTIFS('MP내역(적극)'!$A:$A,A164,'MP내역(적극)'!$B:$B,"합계"))</f>
        <v/>
      </c>
      <c r="I164" s="15" t="str">
        <f>IF(A164="","",IF(COUNTIFS('MP내역(적극)'!A:A,A164,'MP내역(적극)'!G:G,"&gt;"&amp;#REF!,'MP내역(적극)'!D:D,"&lt;&gt;"&amp;#REF!,'MP내역(적극)'!D:D,"&lt;&gt;"&amp;#REF!,'MP내역(적극)'!B:B,"&lt;&gt;현금",'MP내역(적극)'!B:B,"&lt;&gt;합계")=0,"O","X"))</f>
        <v/>
      </c>
      <c r="J164" s="15" t="str">
        <f>IF(A164="","",IF(AND(ABS(#REF!-SUMIFS('MP내역(적극)'!G:G,'MP내역(적극)'!A:A,A164,'MP내역(적극)'!F:F,"Y"))&lt;0.001,ABS(#REF!-SUMIFS('MP내역(적극)'!G:G,'MP내역(적극)'!A:A,A164,'MP내역(적극)'!B:B,"&lt;&gt;합계"))&lt;0.001),"O","X"))</f>
        <v/>
      </c>
      <c r="K164" s="15" t="str">
        <f>IF(A164="","",IF(COUNTIFS('MP내역(적극)'!A:A,A164,'MP내역(적극)'!H:H,"X")=0,"O","X"))</f>
        <v/>
      </c>
      <c r="L164" s="14"/>
    </row>
    <row r="165" spans="4:12" x14ac:dyDescent="0.3">
      <c r="D165" s="14"/>
      <c r="E165" s="15"/>
      <c r="G165" s="15" t="str">
        <f>IF(A165="","",IFERROR(IF(#REF!&gt;VLOOKUP(A165,'포트변경내역(중립)'!A:C,10,0),"O","X"),""))</f>
        <v/>
      </c>
      <c r="H165" s="15" t="str">
        <f>IF(A165="","",COUNTIFS('MP내역(적극)'!$A:$A,A165)-COUNTIFS('MP내역(적극)'!$A:$A,A165,'MP내역(적극)'!$B:$B,"현금")-COUNTIFS('MP내역(적극)'!$A:$A,A165,'MP내역(적극)'!$B:$B,"예수금")-COUNTIFS('MP내역(적극)'!$A:$A,A165,'MP내역(적극)'!$B:$B,"예탁금")-COUNTIFS('MP내역(적극)'!$A:$A,A165,'MP내역(적극)'!$B:$B,"합계"))</f>
        <v/>
      </c>
      <c r="I165" s="15" t="str">
        <f>IF(A165="","",IF(COUNTIFS('MP내역(적극)'!A:A,A165,'MP내역(적극)'!G:G,"&gt;"&amp;#REF!,'MP내역(적극)'!D:D,"&lt;&gt;"&amp;#REF!,'MP내역(적극)'!D:D,"&lt;&gt;"&amp;#REF!,'MP내역(적극)'!B:B,"&lt;&gt;현금",'MP내역(적극)'!B:B,"&lt;&gt;합계")=0,"O","X"))</f>
        <v/>
      </c>
      <c r="J165" s="15" t="str">
        <f>IF(A165="","",IF(AND(ABS(#REF!-SUMIFS('MP내역(적극)'!G:G,'MP내역(적극)'!A:A,A165,'MP내역(적극)'!F:F,"Y"))&lt;0.001,ABS(#REF!-SUMIFS('MP내역(적극)'!G:G,'MP내역(적극)'!A:A,A165,'MP내역(적극)'!B:B,"&lt;&gt;합계"))&lt;0.001),"O","X"))</f>
        <v/>
      </c>
      <c r="K165" s="15" t="str">
        <f>IF(A165="","",IF(COUNTIFS('MP내역(적극)'!A:A,A165,'MP내역(적극)'!H:H,"X")=0,"O","X"))</f>
        <v/>
      </c>
      <c r="L165" s="14"/>
    </row>
    <row r="166" spans="4:12" x14ac:dyDescent="0.3">
      <c r="D166" s="14"/>
      <c r="E166" s="15"/>
      <c r="G166" s="15" t="str">
        <f>IF(A166="","",IFERROR(IF(#REF!&gt;VLOOKUP(A166,'포트변경내역(중립)'!A:C,10,0),"O","X"),""))</f>
        <v/>
      </c>
      <c r="H166" s="15" t="str">
        <f>IF(A166="","",COUNTIFS('MP내역(적극)'!$A:$A,A166)-COUNTIFS('MP내역(적극)'!$A:$A,A166,'MP내역(적극)'!$B:$B,"현금")-COUNTIFS('MP내역(적극)'!$A:$A,A166,'MP내역(적극)'!$B:$B,"예수금")-COUNTIFS('MP내역(적극)'!$A:$A,A166,'MP내역(적극)'!$B:$B,"예탁금")-COUNTIFS('MP내역(적극)'!$A:$A,A166,'MP내역(적극)'!$B:$B,"합계"))</f>
        <v/>
      </c>
      <c r="I166" s="15" t="str">
        <f>IF(A166="","",IF(COUNTIFS('MP내역(적극)'!A:A,A166,'MP내역(적극)'!G:G,"&gt;"&amp;#REF!,'MP내역(적극)'!D:D,"&lt;&gt;"&amp;#REF!,'MP내역(적극)'!D:D,"&lt;&gt;"&amp;#REF!,'MP내역(적극)'!B:B,"&lt;&gt;현금",'MP내역(적극)'!B:B,"&lt;&gt;합계")=0,"O","X"))</f>
        <v/>
      </c>
      <c r="J166" s="15" t="str">
        <f>IF(A166="","",IF(AND(ABS(#REF!-SUMIFS('MP내역(적극)'!G:G,'MP내역(적극)'!A:A,A166,'MP내역(적극)'!F:F,"Y"))&lt;0.001,ABS(#REF!-SUMIFS('MP내역(적극)'!G:G,'MP내역(적극)'!A:A,A166,'MP내역(적극)'!B:B,"&lt;&gt;합계"))&lt;0.001),"O","X"))</f>
        <v/>
      </c>
      <c r="K166" s="15" t="str">
        <f>IF(A166="","",IF(COUNTIFS('MP내역(적극)'!A:A,A166,'MP내역(적극)'!H:H,"X")=0,"O","X"))</f>
        <v/>
      </c>
      <c r="L166" s="14"/>
    </row>
    <row r="167" spans="4:12" x14ac:dyDescent="0.3">
      <c r="D167" s="14"/>
      <c r="E167" s="15"/>
      <c r="G167" s="15" t="str">
        <f>IF(A167="","",IFERROR(IF(#REF!&gt;VLOOKUP(A167,'포트변경내역(중립)'!A:C,10,0),"O","X"),""))</f>
        <v/>
      </c>
      <c r="H167" s="15" t="str">
        <f>IF(A167="","",COUNTIFS('MP내역(적극)'!$A:$A,A167)-COUNTIFS('MP내역(적극)'!$A:$A,A167,'MP내역(적극)'!$B:$B,"현금")-COUNTIFS('MP내역(적극)'!$A:$A,A167,'MP내역(적극)'!$B:$B,"예수금")-COUNTIFS('MP내역(적극)'!$A:$A,A167,'MP내역(적극)'!$B:$B,"예탁금")-COUNTIFS('MP내역(적극)'!$A:$A,A167,'MP내역(적극)'!$B:$B,"합계"))</f>
        <v/>
      </c>
      <c r="I167" s="15" t="str">
        <f>IF(A167="","",IF(COUNTIFS('MP내역(적극)'!A:A,A167,'MP내역(적극)'!G:G,"&gt;"&amp;#REF!,'MP내역(적극)'!D:D,"&lt;&gt;"&amp;#REF!,'MP내역(적극)'!D:D,"&lt;&gt;"&amp;#REF!,'MP내역(적극)'!B:B,"&lt;&gt;현금",'MP내역(적극)'!B:B,"&lt;&gt;합계")=0,"O","X"))</f>
        <v/>
      </c>
      <c r="J167" s="15" t="str">
        <f>IF(A167="","",IF(AND(ABS(#REF!-SUMIFS('MP내역(적극)'!G:G,'MP내역(적극)'!A:A,A167,'MP내역(적극)'!F:F,"Y"))&lt;0.001,ABS(#REF!-SUMIFS('MP내역(적극)'!G:G,'MP내역(적극)'!A:A,A167,'MP내역(적극)'!B:B,"&lt;&gt;합계"))&lt;0.001),"O","X"))</f>
        <v/>
      </c>
      <c r="K167" s="15" t="str">
        <f>IF(A167="","",IF(COUNTIFS('MP내역(적극)'!A:A,A167,'MP내역(적극)'!H:H,"X")=0,"O","X"))</f>
        <v/>
      </c>
      <c r="L167" s="14"/>
    </row>
    <row r="168" spans="4:12" x14ac:dyDescent="0.3">
      <c r="D168" s="14"/>
      <c r="E168" s="15"/>
      <c r="G168" s="15" t="str">
        <f>IF(A168="","",IFERROR(IF(#REF!&gt;VLOOKUP(A168,'포트변경내역(중립)'!A:C,10,0),"O","X"),""))</f>
        <v/>
      </c>
      <c r="H168" s="15" t="str">
        <f>IF(A168="","",COUNTIFS('MP내역(적극)'!$A:$A,A168)-COUNTIFS('MP내역(적극)'!$A:$A,A168,'MP내역(적극)'!$B:$B,"현금")-COUNTIFS('MP내역(적극)'!$A:$A,A168,'MP내역(적극)'!$B:$B,"예수금")-COUNTIFS('MP내역(적극)'!$A:$A,A168,'MP내역(적극)'!$B:$B,"예탁금")-COUNTIFS('MP내역(적극)'!$A:$A,A168,'MP내역(적극)'!$B:$B,"합계"))</f>
        <v/>
      </c>
      <c r="I168" s="15" t="str">
        <f>IF(A168="","",IF(COUNTIFS('MP내역(적극)'!A:A,A168,'MP내역(적극)'!G:G,"&gt;"&amp;#REF!,'MP내역(적극)'!D:D,"&lt;&gt;"&amp;#REF!,'MP내역(적극)'!D:D,"&lt;&gt;"&amp;#REF!,'MP내역(적극)'!B:B,"&lt;&gt;현금",'MP내역(적극)'!B:B,"&lt;&gt;합계")=0,"O","X"))</f>
        <v/>
      </c>
      <c r="J168" s="15" t="str">
        <f>IF(A168="","",IF(AND(ABS(#REF!-SUMIFS('MP내역(적극)'!G:G,'MP내역(적극)'!A:A,A168,'MP내역(적극)'!F:F,"Y"))&lt;0.001,ABS(#REF!-SUMIFS('MP내역(적극)'!G:G,'MP내역(적극)'!A:A,A168,'MP내역(적극)'!B:B,"&lt;&gt;합계"))&lt;0.001),"O","X"))</f>
        <v/>
      </c>
      <c r="K168" s="15" t="str">
        <f>IF(A168="","",IF(COUNTIFS('MP내역(적극)'!A:A,A168,'MP내역(적극)'!H:H,"X")=0,"O","X"))</f>
        <v/>
      </c>
      <c r="L168" s="14"/>
    </row>
    <row r="169" spans="4:12" x14ac:dyDescent="0.3">
      <c r="D169" s="14"/>
      <c r="E169" s="15"/>
      <c r="G169" s="15" t="str">
        <f>IF(A169="","",IFERROR(IF(#REF!&gt;VLOOKUP(A169,'포트변경내역(중립)'!A:C,10,0),"O","X"),""))</f>
        <v/>
      </c>
      <c r="H169" s="15" t="str">
        <f>IF(A169="","",COUNTIFS('MP내역(적극)'!$A:$A,A169)-COUNTIFS('MP내역(적극)'!$A:$A,A169,'MP내역(적극)'!$B:$B,"현금")-COUNTIFS('MP내역(적극)'!$A:$A,A169,'MP내역(적극)'!$B:$B,"예수금")-COUNTIFS('MP내역(적극)'!$A:$A,A169,'MP내역(적극)'!$B:$B,"예탁금")-COUNTIFS('MP내역(적극)'!$A:$A,A169,'MP내역(적극)'!$B:$B,"합계"))</f>
        <v/>
      </c>
      <c r="I169" s="15" t="str">
        <f>IF(A169="","",IF(COUNTIFS('MP내역(적극)'!A:A,A169,'MP내역(적극)'!G:G,"&gt;"&amp;#REF!,'MP내역(적극)'!D:D,"&lt;&gt;"&amp;#REF!,'MP내역(적극)'!D:D,"&lt;&gt;"&amp;#REF!,'MP내역(적극)'!B:B,"&lt;&gt;현금",'MP내역(적극)'!B:B,"&lt;&gt;합계")=0,"O","X"))</f>
        <v/>
      </c>
      <c r="J169" s="15" t="str">
        <f>IF(A169="","",IF(AND(ABS(#REF!-SUMIFS('MP내역(적극)'!G:G,'MP내역(적극)'!A:A,A169,'MP내역(적극)'!F:F,"Y"))&lt;0.001,ABS(#REF!-SUMIFS('MP내역(적극)'!G:G,'MP내역(적극)'!A:A,A169,'MP내역(적극)'!B:B,"&lt;&gt;합계"))&lt;0.001),"O","X"))</f>
        <v/>
      </c>
      <c r="K169" s="15" t="str">
        <f>IF(A169="","",IF(COUNTIFS('MP내역(적극)'!A:A,A169,'MP내역(적극)'!H:H,"X")=0,"O","X"))</f>
        <v/>
      </c>
      <c r="L169" s="14"/>
    </row>
    <row r="170" spans="4:12" x14ac:dyDescent="0.3">
      <c r="D170" s="14"/>
      <c r="E170" s="15"/>
      <c r="G170" s="15" t="str">
        <f>IF(A170="","",IFERROR(IF(#REF!&gt;VLOOKUP(A170,'포트변경내역(중립)'!A:C,10,0),"O","X"),""))</f>
        <v/>
      </c>
      <c r="H170" s="15" t="str">
        <f>IF(A170="","",COUNTIFS('MP내역(적극)'!$A:$A,A170)-COUNTIFS('MP내역(적극)'!$A:$A,A170,'MP내역(적극)'!$B:$B,"현금")-COUNTIFS('MP내역(적극)'!$A:$A,A170,'MP내역(적극)'!$B:$B,"예수금")-COUNTIFS('MP내역(적극)'!$A:$A,A170,'MP내역(적극)'!$B:$B,"예탁금")-COUNTIFS('MP내역(적극)'!$A:$A,A170,'MP내역(적극)'!$B:$B,"합계"))</f>
        <v/>
      </c>
      <c r="I170" s="15" t="str">
        <f>IF(A170="","",IF(COUNTIFS('MP내역(적극)'!A:A,A170,'MP내역(적극)'!G:G,"&gt;"&amp;#REF!,'MP내역(적극)'!D:D,"&lt;&gt;"&amp;#REF!,'MP내역(적극)'!D:D,"&lt;&gt;"&amp;#REF!,'MP내역(적극)'!B:B,"&lt;&gt;현금",'MP내역(적극)'!B:B,"&lt;&gt;합계")=0,"O","X"))</f>
        <v/>
      </c>
      <c r="J170" s="15" t="str">
        <f>IF(A170="","",IF(AND(ABS(#REF!-SUMIFS('MP내역(적극)'!G:G,'MP내역(적극)'!A:A,A170,'MP내역(적극)'!F:F,"Y"))&lt;0.001,ABS(#REF!-SUMIFS('MP내역(적극)'!G:G,'MP내역(적극)'!A:A,A170,'MP내역(적극)'!B:B,"&lt;&gt;합계"))&lt;0.001),"O","X"))</f>
        <v/>
      </c>
      <c r="K170" s="15" t="str">
        <f>IF(A170="","",IF(COUNTIFS('MP내역(적극)'!A:A,A170,'MP내역(적극)'!H:H,"X")=0,"O","X"))</f>
        <v/>
      </c>
      <c r="L170" s="14"/>
    </row>
    <row r="171" spans="4:12" x14ac:dyDescent="0.3">
      <c r="D171" s="14"/>
      <c r="E171" s="15"/>
      <c r="G171" s="15" t="str">
        <f>IF(A171="","",IFERROR(IF(#REF!&gt;VLOOKUP(A171,'포트변경내역(중립)'!A:C,10,0),"O","X"),""))</f>
        <v/>
      </c>
      <c r="H171" s="15" t="str">
        <f>IF(A171="","",COUNTIFS('MP내역(적극)'!$A:$A,A171)-COUNTIFS('MP내역(적극)'!$A:$A,A171,'MP내역(적극)'!$B:$B,"현금")-COUNTIFS('MP내역(적극)'!$A:$A,A171,'MP내역(적극)'!$B:$B,"예수금")-COUNTIFS('MP내역(적극)'!$A:$A,A171,'MP내역(적극)'!$B:$B,"예탁금")-COUNTIFS('MP내역(적극)'!$A:$A,A171,'MP내역(적극)'!$B:$B,"합계"))</f>
        <v/>
      </c>
      <c r="I171" s="15" t="str">
        <f>IF(A171="","",IF(COUNTIFS('MP내역(적극)'!A:A,A171,'MP내역(적극)'!G:G,"&gt;"&amp;#REF!,'MP내역(적극)'!D:D,"&lt;&gt;"&amp;#REF!,'MP내역(적극)'!D:D,"&lt;&gt;"&amp;#REF!,'MP내역(적극)'!B:B,"&lt;&gt;현금",'MP내역(적극)'!B:B,"&lt;&gt;합계")=0,"O","X"))</f>
        <v/>
      </c>
      <c r="J171" s="15" t="str">
        <f>IF(A171="","",IF(AND(ABS(#REF!-SUMIFS('MP내역(적극)'!G:G,'MP내역(적극)'!A:A,A171,'MP내역(적극)'!F:F,"Y"))&lt;0.001,ABS(#REF!-SUMIFS('MP내역(적극)'!G:G,'MP내역(적극)'!A:A,A171,'MP내역(적극)'!B:B,"&lt;&gt;합계"))&lt;0.001),"O","X"))</f>
        <v/>
      </c>
      <c r="K171" s="15" t="str">
        <f>IF(A171="","",IF(COUNTIFS('MP내역(적극)'!A:A,A171,'MP내역(적극)'!H:H,"X")=0,"O","X"))</f>
        <v/>
      </c>
      <c r="L171" s="14"/>
    </row>
    <row r="172" spans="4:12" x14ac:dyDescent="0.3">
      <c r="D172" s="14"/>
      <c r="E172" s="15"/>
      <c r="G172" s="15" t="str">
        <f>IF(A172="","",IFERROR(IF(#REF!&gt;VLOOKUP(A172,'포트변경내역(중립)'!A:C,10,0),"O","X"),""))</f>
        <v/>
      </c>
      <c r="H172" s="15" t="str">
        <f>IF(A172="","",COUNTIFS('MP내역(적극)'!$A:$A,A172)-COUNTIFS('MP내역(적극)'!$A:$A,A172,'MP내역(적극)'!$B:$B,"현금")-COUNTIFS('MP내역(적극)'!$A:$A,A172,'MP내역(적극)'!$B:$B,"예수금")-COUNTIFS('MP내역(적극)'!$A:$A,A172,'MP내역(적극)'!$B:$B,"예탁금")-COUNTIFS('MP내역(적극)'!$A:$A,A172,'MP내역(적극)'!$B:$B,"합계"))</f>
        <v/>
      </c>
      <c r="I172" s="15" t="str">
        <f>IF(A172="","",IF(COUNTIFS('MP내역(적극)'!A:A,A172,'MP내역(적극)'!G:G,"&gt;"&amp;#REF!,'MP내역(적극)'!D:D,"&lt;&gt;"&amp;#REF!,'MP내역(적극)'!D:D,"&lt;&gt;"&amp;#REF!,'MP내역(적극)'!B:B,"&lt;&gt;현금",'MP내역(적극)'!B:B,"&lt;&gt;합계")=0,"O","X"))</f>
        <v/>
      </c>
      <c r="J172" s="15" t="str">
        <f>IF(A172="","",IF(AND(ABS(#REF!-SUMIFS('MP내역(적극)'!G:G,'MP내역(적극)'!A:A,A172,'MP내역(적극)'!F:F,"Y"))&lt;0.001,ABS(#REF!-SUMIFS('MP내역(적극)'!G:G,'MP내역(적극)'!A:A,A172,'MP내역(적극)'!B:B,"&lt;&gt;합계"))&lt;0.001),"O","X"))</f>
        <v/>
      </c>
      <c r="K172" s="15" t="str">
        <f>IF(A172="","",IF(COUNTIFS('MP내역(적극)'!A:A,A172,'MP내역(적극)'!H:H,"X")=0,"O","X"))</f>
        <v/>
      </c>
      <c r="L172" s="14"/>
    </row>
    <row r="173" spans="4:12" x14ac:dyDescent="0.3">
      <c r="D173" s="14"/>
      <c r="E173" s="15"/>
      <c r="G173" s="15" t="str">
        <f>IF(A173="","",IFERROR(IF(#REF!&gt;VLOOKUP(A173,'포트변경내역(중립)'!A:C,10,0),"O","X"),""))</f>
        <v/>
      </c>
      <c r="H173" s="15" t="str">
        <f>IF(A173="","",COUNTIFS('MP내역(적극)'!$A:$A,A173)-COUNTIFS('MP내역(적극)'!$A:$A,A173,'MP내역(적극)'!$B:$B,"현금")-COUNTIFS('MP내역(적극)'!$A:$A,A173,'MP내역(적극)'!$B:$B,"예수금")-COUNTIFS('MP내역(적극)'!$A:$A,A173,'MP내역(적극)'!$B:$B,"예탁금")-COUNTIFS('MP내역(적극)'!$A:$A,A173,'MP내역(적극)'!$B:$B,"합계"))</f>
        <v/>
      </c>
      <c r="I173" s="15" t="str">
        <f>IF(A173="","",IF(COUNTIFS('MP내역(적극)'!A:A,A173,'MP내역(적극)'!G:G,"&gt;"&amp;#REF!,'MP내역(적극)'!D:D,"&lt;&gt;"&amp;#REF!,'MP내역(적극)'!D:D,"&lt;&gt;"&amp;#REF!,'MP내역(적극)'!B:B,"&lt;&gt;현금",'MP내역(적극)'!B:B,"&lt;&gt;합계")=0,"O","X"))</f>
        <v/>
      </c>
      <c r="J173" s="15" t="str">
        <f>IF(A173="","",IF(AND(ABS(#REF!-SUMIFS('MP내역(적극)'!G:G,'MP내역(적극)'!A:A,A173,'MP내역(적극)'!F:F,"Y"))&lt;0.001,ABS(#REF!-SUMIFS('MP내역(적극)'!G:G,'MP내역(적극)'!A:A,A173,'MP내역(적극)'!B:B,"&lt;&gt;합계"))&lt;0.001),"O","X"))</f>
        <v/>
      </c>
      <c r="K173" s="15" t="str">
        <f>IF(A173="","",IF(COUNTIFS('MP내역(적극)'!A:A,A173,'MP내역(적극)'!H:H,"X")=0,"O","X"))</f>
        <v/>
      </c>
      <c r="L173" s="14"/>
    </row>
    <row r="174" spans="4:12" x14ac:dyDescent="0.3">
      <c r="D174" s="14"/>
      <c r="E174" s="15"/>
      <c r="G174" s="15" t="str">
        <f>IF(A174="","",IFERROR(IF(#REF!&gt;VLOOKUP(A174,'포트변경내역(중립)'!A:C,10,0),"O","X"),""))</f>
        <v/>
      </c>
      <c r="H174" s="15" t="str">
        <f>IF(A174="","",COUNTIFS('MP내역(적극)'!$A:$A,A174)-COUNTIFS('MP내역(적극)'!$A:$A,A174,'MP내역(적극)'!$B:$B,"현금")-COUNTIFS('MP내역(적극)'!$A:$A,A174,'MP내역(적극)'!$B:$B,"예수금")-COUNTIFS('MP내역(적극)'!$A:$A,A174,'MP내역(적극)'!$B:$B,"예탁금")-COUNTIFS('MP내역(적극)'!$A:$A,A174,'MP내역(적극)'!$B:$B,"합계"))</f>
        <v/>
      </c>
      <c r="I174" s="15" t="str">
        <f>IF(A174="","",IF(COUNTIFS('MP내역(적극)'!A:A,A174,'MP내역(적극)'!G:G,"&gt;"&amp;#REF!,'MP내역(적극)'!D:D,"&lt;&gt;"&amp;#REF!,'MP내역(적극)'!D:D,"&lt;&gt;"&amp;#REF!,'MP내역(적극)'!B:B,"&lt;&gt;현금",'MP내역(적극)'!B:B,"&lt;&gt;합계")=0,"O","X"))</f>
        <v/>
      </c>
      <c r="J174" s="15" t="str">
        <f>IF(A174="","",IF(AND(ABS(#REF!-SUMIFS('MP내역(적극)'!G:G,'MP내역(적극)'!A:A,A174,'MP내역(적극)'!F:F,"Y"))&lt;0.001,ABS(#REF!-SUMIFS('MP내역(적극)'!G:G,'MP내역(적극)'!A:A,A174,'MP내역(적극)'!B:B,"&lt;&gt;합계"))&lt;0.001),"O","X"))</f>
        <v/>
      </c>
      <c r="K174" s="15" t="str">
        <f>IF(A174="","",IF(COUNTIFS('MP내역(적극)'!A:A,A174,'MP내역(적극)'!H:H,"X")=0,"O","X"))</f>
        <v/>
      </c>
      <c r="L174" s="14"/>
    </row>
    <row r="175" spans="4:12" x14ac:dyDescent="0.3">
      <c r="D175" s="14"/>
      <c r="E175" s="15"/>
      <c r="G175" s="15" t="str">
        <f>IF(A175="","",IFERROR(IF(#REF!&gt;VLOOKUP(A175,'포트변경내역(중립)'!A:C,10,0),"O","X"),""))</f>
        <v/>
      </c>
      <c r="H175" s="15" t="str">
        <f>IF(A175="","",COUNTIFS('MP내역(적극)'!$A:$A,A175)-COUNTIFS('MP내역(적극)'!$A:$A,A175,'MP내역(적극)'!$B:$B,"현금")-COUNTIFS('MP내역(적극)'!$A:$A,A175,'MP내역(적극)'!$B:$B,"예수금")-COUNTIFS('MP내역(적극)'!$A:$A,A175,'MP내역(적극)'!$B:$B,"예탁금")-COUNTIFS('MP내역(적극)'!$A:$A,A175,'MP내역(적극)'!$B:$B,"합계"))</f>
        <v/>
      </c>
      <c r="I175" s="15" t="str">
        <f>IF(A175="","",IF(COUNTIFS('MP내역(적극)'!A:A,A175,'MP내역(적극)'!G:G,"&gt;"&amp;#REF!,'MP내역(적극)'!D:D,"&lt;&gt;"&amp;#REF!,'MP내역(적극)'!D:D,"&lt;&gt;"&amp;#REF!,'MP내역(적극)'!B:B,"&lt;&gt;현금",'MP내역(적극)'!B:B,"&lt;&gt;합계")=0,"O","X"))</f>
        <v/>
      </c>
      <c r="J175" s="15" t="str">
        <f>IF(A175="","",IF(AND(ABS(#REF!-SUMIFS('MP내역(적극)'!G:G,'MP내역(적극)'!A:A,A175,'MP내역(적극)'!F:F,"Y"))&lt;0.001,ABS(#REF!-SUMIFS('MP내역(적극)'!G:G,'MP내역(적극)'!A:A,A175,'MP내역(적극)'!B:B,"&lt;&gt;합계"))&lt;0.001),"O","X"))</f>
        <v/>
      </c>
      <c r="K175" s="15" t="str">
        <f>IF(A175="","",IF(COUNTIFS('MP내역(적극)'!A:A,A175,'MP내역(적극)'!H:H,"X")=0,"O","X"))</f>
        <v/>
      </c>
      <c r="L175" s="14"/>
    </row>
    <row r="176" spans="4:12" x14ac:dyDescent="0.3">
      <c r="D176" s="14"/>
      <c r="E176" s="15"/>
      <c r="G176" s="15" t="str">
        <f>IF(A176="","",IFERROR(IF(#REF!&gt;VLOOKUP(A176,'포트변경내역(중립)'!A:C,10,0),"O","X"),""))</f>
        <v/>
      </c>
      <c r="H176" s="15" t="str">
        <f>IF(A176="","",COUNTIFS('MP내역(적극)'!$A:$A,A176)-COUNTIFS('MP내역(적극)'!$A:$A,A176,'MP내역(적극)'!$B:$B,"현금")-COUNTIFS('MP내역(적극)'!$A:$A,A176,'MP내역(적극)'!$B:$B,"예수금")-COUNTIFS('MP내역(적극)'!$A:$A,A176,'MP내역(적극)'!$B:$B,"예탁금")-COUNTIFS('MP내역(적극)'!$A:$A,A176,'MP내역(적극)'!$B:$B,"합계"))</f>
        <v/>
      </c>
      <c r="I176" s="15" t="str">
        <f>IF(A176="","",IF(COUNTIFS('MP내역(적극)'!A:A,A176,'MP내역(적극)'!G:G,"&gt;"&amp;#REF!,'MP내역(적극)'!D:D,"&lt;&gt;"&amp;#REF!,'MP내역(적극)'!D:D,"&lt;&gt;"&amp;#REF!,'MP내역(적극)'!B:B,"&lt;&gt;현금",'MP내역(적극)'!B:B,"&lt;&gt;합계")=0,"O","X"))</f>
        <v/>
      </c>
      <c r="J176" s="15" t="str">
        <f>IF(A176="","",IF(AND(ABS(#REF!-SUMIFS('MP내역(적극)'!G:G,'MP내역(적극)'!A:A,A176,'MP내역(적극)'!F:F,"Y"))&lt;0.001,ABS(#REF!-SUMIFS('MP내역(적극)'!G:G,'MP내역(적극)'!A:A,A176,'MP내역(적극)'!B:B,"&lt;&gt;합계"))&lt;0.001),"O","X"))</f>
        <v/>
      </c>
      <c r="K176" s="15" t="str">
        <f>IF(A176="","",IF(COUNTIFS('MP내역(적극)'!A:A,A176,'MP내역(적극)'!H:H,"X")=0,"O","X"))</f>
        <v/>
      </c>
      <c r="L176" s="14"/>
    </row>
    <row r="177" spans="4:12" x14ac:dyDescent="0.3">
      <c r="D177" s="14"/>
      <c r="E177" s="15"/>
      <c r="G177" s="15" t="str">
        <f>IF(A177="","",IFERROR(IF(#REF!&gt;VLOOKUP(A177,'포트변경내역(중립)'!A:C,10,0),"O","X"),""))</f>
        <v/>
      </c>
      <c r="H177" s="15" t="str">
        <f>IF(A177="","",COUNTIFS('MP내역(적극)'!$A:$A,A177)-COUNTIFS('MP내역(적극)'!$A:$A,A177,'MP내역(적극)'!$B:$B,"현금")-COUNTIFS('MP내역(적극)'!$A:$A,A177,'MP내역(적극)'!$B:$B,"예수금")-COUNTIFS('MP내역(적극)'!$A:$A,A177,'MP내역(적극)'!$B:$B,"예탁금")-COUNTIFS('MP내역(적극)'!$A:$A,A177,'MP내역(적극)'!$B:$B,"합계"))</f>
        <v/>
      </c>
      <c r="I177" s="15" t="str">
        <f>IF(A177="","",IF(COUNTIFS('MP내역(적극)'!A:A,A177,'MP내역(적극)'!G:G,"&gt;"&amp;#REF!,'MP내역(적극)'!D:D,"&lt;&gt;"&amp;#REF!,'MP내역(적극)'!D:D,"&lt;&gt;"&amp;#REF!,'MP내역(적극)'!B:B,"&lt;&gt;현금",'MP내역(적극)'!B:B,"&lt;&gt;합계")=0,"O","X"))</f>
        <v/>
      </c>
      <c r="J177" s="15" t="str">
        <f>IF(A177="","",IF(AND(ABS(#REF!-SUMIFS('MP내역(적극)'!G:G,'MP내역(적극)'!A:A,A177,'MP내역(적극)'!F:F,"Y"))&lt;0.001,ABS(#REF!-SUMIFS('MP내역(적극)'!G:G,'MP내역(적극)'!A:A,A177,'MP내역(적극)'!B:B,"&lt;&gt;합계"))&lt;0.001),"O","X"))</f>
        <v/>
      </c>
      <c r="K177" s="15" t="str">
        <f>IF(A177="","",IF(COUNTIFS('MP내역(적극)'!A:A,A177,'MP내역(적극)'!H:H,"X")=0,"O","X"))</f>
        <v/>
      </c>
      <c r="L177" s="14"/>
    </row>
    <row r="178" spans="4:12" x14ac:dyDescent="0.3">
      <c r="D178" s="14"/>
      <c r="E178" s="15"/>
      <c r="G178" s="15" t="str">
        <f>IF(A178="","",IFERROR(IF(#REF!&gt;VLOOKUP(A178,'포트변경내역(중립)'!A:C,10,0),"O","X"),""))</f>
        <v/>
      </c>
      <c r="H178" s="15" t="str">
        <f>IF(A178="","",COUNTIFS('MP내역(적극)'!$A:$A,A178)-COUNTIFS('MP내역(적극)'!$A:$A,A178,'MP내역(적극)'!$B:$B,"현금")-COUNTIFS('MP내역(적극)'!$A:$A,A178,'MP내역(적극)'!$B:$B,"예수금")-COUNTIFS('MP내역(적극)'!$A:$A,A178,'MP내역(적극)'!$B:$B,"예탁금")-COUNTIFS('MP내역(적극)'!$A:$A,A178,'MP내역(적극)'!$B:$B,"합계"))</f>
        <v/>
      </c>
      <c r="I178" s="15" t="str">
        <f>IF(A178="","",IF(COUNTIFS('MP내역(적극)'!A:A,A178,'MP내역(적극)'!G:G,"&gt;"&amp;#REF!,'MP내역(적극)'!D:D,"&lt;&gt;"&amp;#REF!,'MP내역(적극)'!D:D,"&lt;&gt;"&amp;#REF!,'MP내역(적극)'!B:B,"&lt;&gt;현금",'MP내역(적극)'!B:B,"&lt;&gt;합계")=0,"O","X"))</f>
        <v/>
      </c>
      <c r="J178" s="15" t="str">
        <f>IF(A178="","",IF(AND(ABS(#REF!-SUMIFS('MP내역(적극)'!G:G,'MP내역(적극)'!A:A,A178,'MP내역(적극)'!F:F,"Y"))&lt;0.001,ABS(#REF!-SUMIFS('MP내역(적극)'!G:G,'MP내역(적극)'!A:A,A178,'MP내역(적극)'!B:B,"&lt;&gt;합계"))&lt;0.001),"O","X"))</f>
        <v/>
      </c>
      <c r="K178" s="15" t="str">
        <f>IF(A178="","",IF(COUNTIFS('MP내역(적극)'!A:A,A178,'MP내역(적극)'!H:H,"X")=0,"O","X"))</f>
        <v/>
      </c>
      <c r="L178" s="14"/>
    </row>
    <row r="179" spans="4:12" x14ac:dyDescent="0.3">
      <c r="D179" s="14"/>
      <c r="E179" s="15"/>
      <c r="G179" s="15" t="str">
        <f>IF(A179="","",IFERROR(IF(#REF!&gt;VLOOKUP(A179,'포트변경내역(중립)'!A:C,10,0),"O","X"),""))</f>
        <v/>
      </c>
      <c r="H179" s="15" t="str">
        <f>IF(A179="","",COUNTIFS('MP내역(적극)'!$A:$A,A179)-COUNTIFS('MP내역(적극)'!$A:$A,A179,'MP내역(적극)'!$B:$B,"현금")-COUNTIFS('MP내역(적극)'!$A:$A,A179,'MP내역(적극)'!$B:$B,"예수금")-COUNTIFS('MP내역(적극)'!$A:$A,A179,'MP내역(적극)'!$B:$B,"예탁금")-COUNTIFS('MP내역(적극)'!$A:$A,A179,'MP내역(적극)'!$B:$B,"합계"))</f>
        <v/>
      </c>
      <c r="I179" s="15" t="str">
        <f>IF(A179="","",IF(COUNTIFS('MP내역(적극)'!A:A,A179,'MP내역(적극)'!G:G,"&gt;"&amp;#REF!,'MP내역(적극)'!D:D,"&lt;&gt;"&amp;#REF!,'MP내역(적극)'!D:D,"&lt;&gt;"&amp;#REF!,'MP내역(적극)'!B:B,"&lt;&gt;현금",'MP내역(적극)'!B:B,"&lt;&gt;합계")=0,"O","X"))</f>
        <v/>
      </c>
      <c r="J179" s="15" t="str">
        <f>IF(A179="","",IF(AND(ABS(#REF!-SUMIFS('MP내역(적극)'!G:G,'MP내역(적극)'!A:A,A179,'MP내역(적극)'!F:F,"Y"))&lt;0.001,ABS(#REF!-SUMIFS('MP내역(적극)'!G:G,'MP내역(적극)'!A:A,A179,'MP내역(적극)'!B:B,"&lt;&gt;합계"))&lt;0.001),"O","X"))</f>
        <v/>
      </c>
      <c r="K179" s="15" t="str">
        <f>IF(A179="","",IF(COUNTIFS('MP내역(적극)'!A:A,A179,'MP내역(적극)'!H:H,"X")=0,"O","X"))</f>
        <v/>
      </c>
      <c r="L179" s="14"/>
    </row>
    <row r="180" spans="4:12" x14ac:dyDescent="0.3">
      <c r="D180" s="14"/>
      <c r="E180" s="15"/>
      <c r="G180" s="15" t="str">
        <f>IF(A180="","",IFERROR(IF(#REF!&gt;VLOOKUP(A180,'포트변경내역(중립)'!A:C,10,0),"O","X"),""))</f>
        <v/>
      </c>
      <c r="H180" s="15" t="str">
        <f>IF(A180="","",COUNTIFS('MP내역(적극)'!$A:$A,A180)-COUNTIFS('MP내역(적극)'!$A:$A,A180,'MP내역(적극)'!$B:$B,"현금")-COUNTIFS('MP내역(적극)'!$A:$A,A180,'MP내역(적극)'!$B:$B,"예수금")-COUNTIFS('MP내역(적극)'!$A:$A,A180,'MP내역(적극)'!$B:$B,"예탁금")-COUNTIFS('MP내역(적극)'!$A:$A,A180,'MP내역(적극)'!$B:$B,"합계"))</f>
        <v/>
      </c>
      <c r="I180" s="15" t="str">
        <f>IF(A180="","",IF(COUNTIFS('MP내역(적극)'!A:A,A180,'MP내역(적극)'!G:G,"&gt;"&amp;#REF!,'MP내역(적극)'!D:D,"&lt;&gt;"&amp;#REF!,'MP내역(적극)'!D:D,"&lt;&gt;"&amp;#REF!,'MP내역(적극)'!B:B,"&lt;&gt;현금",'MP내역(적극)'!B:B,"&lt;&gt;합계")=0,"O","X"))</f>
        <v/>
      </c>
      <c r="J180" s="15" t="str">
        <f>IF(A180="","",IF(AND(ABS(#REF!-SUMIFS('MP내역(적극)'!G:G,'MP내역(적극)'!A:A,A180,'MP내역(적극)'!F:F,"Y"))&lt;0.001,ABS(#REF!-SUMIFS('MP내역(적극)'!G:G,'MP내역(적극)'!A:A,A180,'MP내역(적극)'!B:B,"&lt;&gt;합계"))&lt;0.001),"O","X"))</f>
        <v/>
      </c>
      <c r="K180" s="15" t="str">
        <f>IF(A180="","",IF(COUNTIFS('MP내역(적극)'!A:A,A180,'MP내역(적극)'!H:H,"X")=0,"O","X"))</f>
        <v/>
      </c>
      <c r="L180" s="14"/>
    </row>
    <row r="181" spans="4:12" x14ac:dyDescent="0.3">
      <c r="D181" s="14"/>
      <c r="E181" s="15"/>
      <c r="G181" s="15" t="str">
        <f>IF(A181="","",IFERROR(IF(#REF!&gt;VLOOKUP(A181,'포트변경내역(중립)'!A:C,10,0),"O","X"),""))</f>
        <v/>
      </c>
      <c r="H181" s="15" t="str">
        <f>IF(A181="","",COUNTIFS('MP내역(적극)'!$A:$A,A181)-COUNTIFS('MP내역(적극)'!$A:$A,A181,'MP내역(적극)'!$B:$B,"현금")-COUNTIFS('MP내역(적극)'!$A:$A,A181,'MP내역(적극)'!$B:$B,"예수금")-COUNTIFS('MP내역(적극)'!$A:$A,A181,'MP내역(적극)'!$B:$B,"예탁금")-COUNTIFS('MP내역(적극)'!$A:$A,A181,'MP내역(적극)'!$B:$B,"합계"))</f>
        <v/>
      </c>
      <c r="I181" s="15" t="str">
        <f>IF(A181="","",IF(COUNTIFS('MP내역(적극)'!A:A,A181,'MP내역(적극)'!G:G,"&gt;"&amp;#REF!,'MP내역(적극)'!D:D,"&lt;&gt;"&amp;#REF!,'MP내역(적극)'!D:D,"&lt;&gt;"&amp;#REF!,'MP내역(적극)'!B:B,"&lt;&gt;현금",'MP내역(적극)'!B:B,"&lt;&gt;합계")=0,"O","X"))</f>
        <v/>
      </c>
      <c r="J181" s="15" t="str">
        <f>IF(A181="","",IF(AND(ABS(#REF!-SUMIFS('MP내역(적극)'!G:G,'MP내역(적극)'!A:A,A181,'MP내역(적극)'!F:F,"Y"))&lt;0.001,ABS(#REF!-SUMIFS('MP내역(적극)'!G:G,'MP내역(적극)'!A:A,A181,'MP내역(적극)'!B:B,"&lt;&gt;합계"))&lt;0.001),"O","X"))</f>
        <v/>
      </c>
      <c r="K181" s="15" t="str">
        <f>IF(A181="","",IF(COUNTIFS('MP내역(적극)'!A:A,A181,'MP내역(적극)'!H:H,"X")=0,"O","X"))</f>
        <v/>
      </c>
      <c r="L181" s="14"/>
    </row>
    <row r="182" spans="4:12" x14ac:dyDescent="0.3">
      <c r="D182" s="14"/>
      <c r="E182" s="15"/>
      <c r="G182" s="15" t="str">
        <f>IF(A182="","",IFERROR(IF(#REF!&gt;VLOOKUP(A182,'포트변경내역(중립)'!A:C,10,0),"O","X"),""))</f>
        <v/>
      </c>
      <c r="H182" s="15" t="str">
        <f>IF(A182="","",COUNTIFS('MP내역(적극)'!$A:$A,A182)-COUNTIFS('MP내역(적극)'!$A:$A,A182,'MP내역(적극)'!$B:$B,"현금")-COUNTIFS('MP내역(적극)'!$A:$A,A182,'MP내역(적극)'!$B:$B,"예수금")-COUNTIFS('MP내역(적극)'!$A:$A,A182,'MP내역(적극)'!$B:$B,"예탁금")-COUNTIFS('MP내역(적극)'!$A:$A,A182,'MP내역(적극)'!$B:$B,"합계"))</f>
        <v/>
      </c>
      <c r="I182" s="15" t="str">
        <f>IF(A182="","",IF(COUNTIFS('MP내역(적극)'!A:A,A182,'MP내역(적극)'!G:G,"&gt;"&amp;#REF!,'MP내역(적극)'!D:D,"&lt;&gt;"&amp;#REF!,'MP내역(적극)'!D:D,"&lt;&gt;"&amp;#REF!,'MP내역(적극)'!B:B,"&lt;&gt;현금",'MP내역(적극)'!B:B,"&lt;&gt;합계")=0,"O","X"))</f>
        <v/>
      </c>
      <c r="J182" s="15" t="str">
        <f>IF(A182="","",IF(AND(ABS(#REF!-SUMIFS('MP내역(적극)'!G:G,'MP내역(적극)'!A:A,A182,'MP내역(적극)'!F:F,"Y"))&lt;0.001,ABS(#REF!-SUMIFS('MP내역(적극)'!G:G,'MP내역(적극)'!A:A,A182,'MP내역(적극)'!B:B,"&lt;&gt;합계"))&lt;0.001),"O","X"))</f>
        <v/>
      </c>
      <c r="K182" s="15" t="str">
        <f>IF(A182="","",IF(COUNTIFS('MP내역(적극)'!A:A,A182,'MP내역(적극)'!H:H,"X")=0,"O","X"))</f>
        <v/>
      </c>
      <c r="L182" s="14"/>
    </row>
    <row r="183" spans="4:12" x14ac:dyDescent="0.3">
      <c r="D183" s="14"/>
      <c r="E183" s="15"/>
      <c r="G183" s="15" t="str">
        <f>IF(A183="","",IFERROR(IF(#REF!&gt;VLOOKUP(A183,'포트변경내역(중립)'!A:C,10,0),"O","X"),""))</f>
        <v/>
      </c>
      <c r="H183" s="15" t="str">
        <f>IF(A183="","",COUNTIFS('MP내역(적극)'!$A:$A,A183)-COUNTIFS('MP내역(적극)'!$A:$A,A183,'MP내역(적극)'!$B:$B,"현금")-COUNTIFS('MP내역(적극)'!$A:$A,A183,'MP내역(적극)'!$B:$B,"예수금")-COUNTIFS('MP내역(적극)'!$A:$A,A183,'MP내역(적극)'!$B:$B,"예탁금")-COUNTIFS('MP내역(적극)'!$A:$A,A183,'MP내역(적극)'!$B:$B,"합계"))</f>
        <v/>
      </c>
      <c r="I183" s="15" t="str">
        <f>IF(A183="","",IF(COUNTIFS('MP내역(적극)'!A:A,A183,'MP내역(적극)'!G:G,"&gt;"&amp;#REF!,'MP내역(적극)'!D:D,"&lt;&gt;"&amp;#REF!,'MP내역(적극)'!D:D,"&lt;&gt;"&amp;#REF!,'MP내역(적극)'!B:B,"&lt;&gt;현금",'MP내역(적극)'!B:B,"&lt;&gt;합계")=0,"O","X"))</f>
        <v/>
      </c>
      <c r="J183" s="15" t="str">
        <f>IF(A183="","",IF(AND(ABS(#REF!-SUMIFS('MP내역(적극)'!G:G,'MP내역(적극)'!A:A,A183,'MP내역(적극)'!F:F,"Y"))&lt;0.001,ABS(#REF!-SUMIFS('MP내역(적극)'!G:G,'MP내역(적극)'!A:A,A183,'MP내역(적극)'!B:B,"&lt;&gt;합계"))&lt;0.001),"O","X"))</f>
        <v/>
      </c>
      <c r="K183" s="15" t="str">
        <f>IF(A183="","",IF(COUNTIFS('MP내역(적극)'!A:A,A183,'MP내역(적극)'!H:H,"X")=0,"O","X"))</f>
        <v/>
      </c>
      <c r="L183" s="14"/>
    </row>
    <row r="184" spans="4:12" x14ac:dyDescent="0.3">
      <c r="D184" s="14"/>
      <c r="E184" s="15"/>
      <c r="G184" s="15" t="str">
        <f>IF(A184="","",IFERROR(IF(#REF!&gt;VLOOKUP(A184,'포트변경내역(중립)'!A:C,10,0),"O","X"),""))</f>
        <v/>
      </c>
      <c r="H184" s="15" t="str">
        <f>IF(A184="","",COUNTIFS('MP내역(적극)'!$A:$A,A184)-COUNTIFS('MP내역(적극)'!$A:$A,A184,'MP내역(적극)'!$B:$B,"현금")-COUNTIFS('MP내역(적극)'!$A:$A,A184,'MP내역(적극)'!$B:$B,"예수금")-COUNTIFS('MP내역(적극)'!$A:$A,A184,'MP내역(적극)'!$B:$B,"예탁금")-COUNTIFS('MP내역(적극)'!$A:$A,A184,'MP내역(적극)'!$B:$B,"합계"))</f>
        <v/>
      </c>
      <c r="I184" s="15" t="str">
        <f>IF(A184="","",IF(COUNTIFS('MP내역(적극)'!A:A,A184,'MP내역(적극)'!G:G,"&gt;"&amp;#REF!,'MP내역(적극)'!D:D,"&lt;&gt;"&amp;#REF!,'MP내역(적극)'!D:D,"&lt;&gt;"&amp;#REF!,'MP내역(적극)'!B:B,"&lt;&gt;현금",'MP내역(적극)'!B:B,"&lt;&gt;합계")=0,"O","X"))</f>
        <v/>
      </c>
      <c r="J184" s="15" t="str">
        <f>IF(A184="","",IF(AND(ABS(#REF!-SUMIFS('MP내역(적극)'!G:G,'MP내역(적극)'!A:A,A184,'MP내역(적극)'!F:F,"Y"))&lt;0.001,ABS(#REF!-SUMIFS('MP내역(적극)'!G:G,'MP내역(적극)'!A:A,A184,'MP내역(적극)'!B:B,"&lt;&gt;합계"))&lt;0.001),"O","X"))</f>
        <v/>
      </c>
      <c r="K184" s="15" t="str">
        <f>IF(A184="","",IF(COUNTIFS('MP내역(적극)'!A:A,A184,'MP내역(적극)'!H:H,"X")=0,"O","X"))</f>
        <v/>
      </c>
      <c r="L184" s="14"/>
    </row>
    <row r="185" spans="4:12" x14ac:dyDescent="0.3">
      <c r="D185" s="14"/>
      <c r="E185" s="15"/>
      <c r="G185" s="15" t="str">
        <f>IF(A185="","",IFERROR(IF(#REF!&gt;VLOOKUP(A185,'포트변경내역(중립)'!A:C,10,0),"O","X"),""))</f>
        <v/>
      </c>
      <c r="H185" s="15" t="str">
        <f>IF(A185="","",COUNTIFS('MP내역(적극)'!$A:$A,A185)-COUNTIFS('MP내역(적극)'!$A:$A,A185,'MP내역(적극)'!$B:$B,"현금")-COUNTIFS('MP내역(적극)'!$A:$A,A185,'MP내역(적극)'!$B:$B,"예수금")-COUNTIFS('MP내역(적극)'!$A:$A,A185,'MP내역(적극)'!$B:$B,"예탁금")-COUNTIFS('MP내역(적극)'!$A:$A,A185,'MP내역(적극)'!$B:$B,"합계"))</f>
        <v/>
      </c>
      <c r="I185" s="15" t="str">
        <f>IF(A185="","",IF(COUNTIFS('MP내역(적극)'!A:A,A185,'MP내역(적극)'!G:G,"&gt;"&amp;#REF!,'MP내역(적극)'!D:D,"&lt;&gt;"&amp;#REF!,'MP내역(적극)'!D:D,"&lt;&gt;"&amp;#REF!,'MP내역(적극)'!B:B,"&lt;&gt;현금",'MP내역(적극)'!B:B,"&lt;&gt;합계")=0,"O","X"))</f>
        <v/>
      </c>
      <c r="J185" s="15" t="str">
        <f>IF(A185="","",IF(AND(ABS(#REF!-SUMIFS('MP내역(적극)'!G:G,'MP내역(적극)'!A:A,A185,'MP내역(적극)'!F:F,"Y"))&lt;0.001,ABS(#REF!-SUMIFS('MP내역(적극)'!G:G,'MP내역(적극)'!A:A,A185,'MP내역(적극)'!B:B,"&lt;&gt;합계"))&lt;0.001),"O","X"))</f>
        <v/>
      </c>
      <c r="K185" s="15" t="str">
        <f>IF(A185="","",IF(COUNTIFS('MP내역(적극)'!A:A,A185,'MP내역(적극)'!H:H,"X")=0,"O","X"))</f>
        <v/>
      </c>
      <c r="L185" s="14"/>
    </row>
    <row r="186" spans="4:12" x14ac:dyDescent="0.3">
      <c r="D186" s="14"/>
      <c r="E186" s="15"/>
      <c r="G186" s="15" t="str">
        <f>IF(A186="","",IFERROR(IF(#REF!&gt;VLOOKUP(A186,'포트변경내역(중립)'!A:C,10,0),"O","X"),""))</f>
        <v/>
      </c>
      <c r="H186" s="15" t="str">
        <f>IF(A186="","",COUNTIFS('MP내역(적극)'!$A:$A,A186)-COUNTIFS('MP내역(적극)'!$A:$A,A186,'MP내역(적극)'!$B:$B,"현금")-COUNTIFS('MP내역(적극)'!$A:$A,A186,'MP내역(적극)'!$B:$B,"예수금")-COUNTIFS('MP내역(적극)'!$A:$A,A186,'MP내역(적극)'!$B:$B,"예탁금")-COUNTIFS('MP내역(적극)'!$A:$A,A186,'MP내역(적극)'!$B:$B,"합계"))</f>
        <v/>
      </c>
      <c r="I186" s="15" t="str">
        <f>IF(A186="","",IF(COUNTIFS('MP내역(적극)'!A:A,A186,'MP내역(적극)'!G:G,"&gt;"&amp;#REF!,'MP내역(적극)'!D:D,"&lt;&gt;"&amp;#REF!,'MP내역(적극)'!D:D,"&lt;&gt;"&amp;#REF!,'MP내역(적극)'!B:B,"&lt;&gt;현금",'MP내역(적극)'!B:B,"&lt;&gt;합계")=0,"O","X"))</f>
        <v/>
      </c>
      <c r="J186" s="15" t="str">
        <f>IF(A186="","",IF(AND(ABS(#REF!-SUMIFS('MP내역(적극)'!G:G,'MP내역(적극)'!A:A,A186,'MP내역(적극)'!F:F,"Y"))&lt;0.001,ABS(#REF!-SUMIFS('MP내역(적극)'!G:G,'MP내역(적극)'!A:A,A186,'MP내역(적극)'!B:B,"&lt;&gt;합계"))&lt;0.001),"O","X"))</f>
        <v/>
      </c>
      <c r="K186" s="15" t="str">
        <f>IF(A186="","",IF(COUNTIFS('MP내역(적극)'!A:A,A186,'MP내역(적극)'!H:H,"X")=0,"O","X"))</f>
        <v/>
      </c>
      <c r="L186" s="14"/>
    </row>
    <row r="187" spans="4:12" x14ac:dyDescent="0.3">
      <c r="D187" s="14"/>
      <c r="E187" s="15"/>
      <c r="G187" s="15" t="str">
        <f>IF(A187="","",IFERROR(IF(#REF!&gt;VLOOKUP(A187,'포트변경내역(중립)'!A:C,10,0),"O","X"),""))</f>
        <v/>
      </c>
      <c r="H187" s="15" t="str">
        <f>IF(A187="","",COUNTIFS('MP내역(적극)'!$A:$A,A187)-COUNTIFS('MP내역(적극)'!$A:$A,A187,'MP내역(적극)'!$B:$B,"현금")-COUNTIFS('MP내역(적극)'!$A:$A,A187,'MP내역(적극)'!$B:$B,"예수금")-COUNTIFS('MP내역(적극)'!$A:$A,A187,'MP내역(적극)'!$B:$B,"예탁금")-COUNTIFS('MP내역(적극)'!$A:$A,A187,'MP내역(적극)'!$B:$B,"합계"))</f>
        <v/>
      </c>
      <c r="I187" s="15" t="str">
        <f>IF(A187="","",IF(COUNTIFS('MP내역(적극)'!A:A,A187,'MP내역(적극)'!G:G,"&gt;"&amp;#REF!,'MP내역(적극)'!D:D,"&lt;&gt;"&amp;#REF!,'MP내역(적극)'!D:D,"&lt;&gt;"&amp;#REF!,'MP내역(적극)'!B:B,"&lt;&gt;현금",'MP내역(적극)'!B:B,"&lt;&gt;합계")=0,"O","X"))</f>
        <v/>
      </c>
      <c r="J187" s="15" t="str">
        <f>IF(A187="","",IF(AND(ABS(#REF!-SUMIFS('MP내역(적극)'!G:G,'MP내역(적극)'!A:A,A187,'MP내역(적극)'!F:F,"Y"))&lt;0.001,ABS(#REF!-SUMIFS('MP내역(적극)'!G:G,'MP내역(적극)'!A:A,A187,'MP내역(적극)'!B:B,"&lt;&gt;합계"))&lt;0.001),"O","X"))</f>
        <v/>
      </c>
      <c r="K187" s="15" t="str">
        <f>IF(A187="","",IF(COUNTIFS('MP내역(적극)'!A:A,A187,'MP내역(적극)'!H:H,"X")=0,"O","X"))</f>
        <v/>
      </c>
      <c r="L187" s="14"/>
    </row>
    <row r="188" spans="4:12" x14ac:dyDescent="0.3">
      <c r="D188" s="14"/>
      <c r="E188" s="15"/>
      <c r="G188" s="15" t="str">
        <f>IF(A188="","",IFERROR(IF(#REF!&gt;VLOOKUP(A188,'포트변경내역(중립)'!A:C,10,0),"O","X"),""))</f>
        <v/>
      </c>
      <c r="H188" s="15" t="str">
        <f>IF(A188="","",COUNTIFS('MP내역(적극)'!$A:$A,A188)-COUNTIFS('MP내역(적극)'!$A:$A,A188,'MP내역(적극)'!$B:$B,"현금")-COUNTIFS('MP내역(적극)'!$A:$A,A188,'MP내역(적극)'!$B:$B,"예수금")-COUNTIFS('MP내역(적극)'!$A:$A,A188,'MP내역(적극)'!$B:$B,"예탁금")-COUNTIFS('MP내역(적극)'!$A:$A,A188,'MP내역(적극)'!$B:$B,"합계"))</f>
        <v/>
      </c>
      <c r="I188" s="15" t="str">
        <f>IF(A188="","",IF(COUNTIFS('MP내역(적극)'!A:A,A188,'MP내역(적극)'!G:G,"&gt;"&amp;#REF!,'MP내역(적극)'!D:D,"&lt;&gt;"&amp;#REF!,'MP내역(적극)'!D:D,"&lt;&gt;"&amp;#REF!,'MP내역(적극)'!B:B,"&lt;&gt;현금",'MP내역(적극)'!B:B,"&lt;&gt;합계")=0,"O","X"))</f>
        <v/>
      </c>
      <c r="J188" s="15" t="str">
        <f>IF(A188="","",IF(AND(ABS(#REF!-SUMIFS('MP내역(적극)'!G:G,'MP내역(적극)'!A:A,A188,'MP내역(적극)'!F:F,"Y"))&lt;0.001,ABS(#REF!-SUMIFS('MP내역(적극)'!G:G,'MP내역(적극)'!A:A,A188,'MP내역(적극)'!B:B,"&lt;&gt;합계"))&lt;0.001),"O","X"))</f>
        <v/>
      </c>
      <c r="K188" s="15" t="str">
        <f>IF(A188="","",IF(COUNTIFS('MP내역(적극)'!A:A,A188,'MP내역(적극)'!H:H,"X")=0,"O","X"))</f>
        <v/>
      </c>
      <c r="L188" s="14"/>
    </row>
    <row r="189" spans="4:12" x14ac:dyDescent="0.3">
      <c r="D189" s="14"/>
      <c r="E189" s="15"/>
      <c r="G189" s="15" t="str">
        <f>IF(A189="","",IFERROR(IF(#REF!&gt;VLOOKUP(A189,'포트변경내역(중립)'!A:C,10,0),"O","X"),""))</f>
        <v/>
      </c>
      <c r="H189" s="15" t="str">
        <f>IF(A189="","",COUNTIFS('MP내역(적극)'!$A:$A,A189)-COUNTIFS('MP내역(적극)'!$A:$A,A189,'MP내역(적극)'!$B:$B,"현금")-COUNTIFS('MP내역(적극)'!$A:$A,A189,'MP내역(적극)'!$B:$B,"예수금")-COUNTIFS('MP내역(적극)'!$A:$A,A189,'MP내역(적극)'!$B:$B,"예탁금")-COUNTIFS('MP내역(적극)'!$A:$A,A189,'MP내역(적극)'!$B:$B,"합계"))</f>
        <v/>
      </c>
      <c r="I189" s="15" t="str">
        <f>IF(A189="","",IF(COUNTIFS('MP내역(적극)'!A:A,A189,'MP내역(적극)'!G:G,"&gt;"&amp;#REF!,'MP내역(적극)'!D:D,"&lt;&gt;"&amp;#REF!,'MP내역(적극)'!D:D,"&lt;&gt;"&amp;#REF!,'MP내역(적극)'!B:B,"&lt;&gt;현금",'MP내역(적극)'!B:B,"&lt;&gt;합계")=0,"O","X"))</f>
        <v/>
      </c>
      <c r="J189" s="15" t="str">
        <f>IF(A189="","",IF(AND(ABS(#REF!-SUMIFS('MP내역(적극)'!G:G,'MP내역(적극)'!A:A,A189,'MP내역(적극)'!F:F,"Y"))&lt;0.001,ABS(#REF!-SUMIFS('MP내역(적극)'!G:G,'MP내역(적극)'!A:A,A189,'MP내역(적극)'!B:B,"&lt;&gt;합계"))&lt;0.001),"O","X"))</f>
        <v/>
      </c>
      <c r="K189" s="15" t="str">
        <f>IF(A189="","",IF(COUNTIFS('MP내역(적극)'!A:A,A189,'MP내역(적극)'!H:H,"X")=0,"O","X"))</f>
        <v/>
      </c>
      <c r="L189" s="14"/>
    </row>
    <row r="190" spans="4:12" x14ac:dyDescent="0.3">
      <c r="D190" s="14"/>
      <c r="E190" s="15"/>
      <c r="G190" s="15" t="str">
        <f>IF(A190="","",IFERROR(IF(#REF!&gt;VLOOKUP(A190,'포트변경내역(중립)'!A:C,10,0),"O","X"),""))</f>
        <v/>
      </c>
      <c r="H190" s="15" t="str">
        <f>IF(A190="","",COUNTIFS('MP내역(적극)'!$A:$A,A190)-COUNTIFS('MP내역(적극)'!$A:$A,A190,'MP내역(적극)'!$B:$B,"현금")-COUNTIFS('MP내역(적극)'!$A:$A,A190,'MP내역(적극)'!$B:$B,"예수금")-COUNTIFS('MP내역(적극)'!$A:$A,A190,'MP내역(적극)'!$B:$B,"예탁금")-COUNTIFS('MP내역(적극)'!$A:$A,A190,'MP내역(적극)'!$B:$B,"합계"))</f>
        <v/>
      </c>
      <c r="I190" s="15" t="str">
        <f>IF(A190="","",IF(COUNTIFS('MP내역(적극)'!A:A,A190,'MP내역(적극)'!G:G,"&gt;"&amp;#REF!,'MP내역(적극)'!D:D,"&lt;&gt;"&amp;#REF!,'MP내역(적극)'!D:D,"&lt;&gt;"&amp;#REF!,'MP내역(적극)'!B:B,"&lt;&gt;현금",'MP내역(적극)'!B:B,"&lt;&gt;합계")=0,"O","X"))</f>
        <v/>
      </c>
      <c r="J190" s="15" t="str">
        <f>IF(A190="","",IF(AND(ABS(#REF!-SUMIFS('MP내역(적극)'!G:G,'MP내역(적극)'!A:A,A190,'MP내역(적극)'!F:F,"Y"))&lt;0.001,ABS(#REF!-SUMIFS('MP내역(적극)'!G:G,'MP내역(적극)'!A:A,A190,'MP내역(적극)'!B:B,"&lt;&gt;합계"))&lt;0.001),"O","X"))</f>
        <v/>
      </c>
      <c r="K190" s="15" t="str">
        <f>IF(A190="","",IF(COUNTIFS('MP내역(적극)'!A:A,A190,'MP내역(적극)'!H:H,"X")=0,"O","X"))</f>
        <v/>
      </c>
      <c r="L190" s="14"/>
    </row>
    <row r="191" spans="4:12" x14ac:dyDescent="0.3">
      <c r="D191" s="14"/>
      <c r="E191" s="15"/>
      <c r="G191" s="15" t="str">
        <f>IF(A191="","",IFERROR(IF(#REF!&gt;VLOOKUP(A191,'포트변경내역(중립)'!A:C,10,0),"O","X"),""))</f>
        <v/>
      </c>
      <c r="H191" s="15" t="str">
        <f>IF(A191="","",COUNTIFS('MP내역(적극)'!$A:$A,A191)-COUNTIFS('MP내역(적극)'!$A:$A,A191,'MP내역(적극)'!$B:$B,"현금")-COUNTIFS('MP내역(적극)'!$A:$A,A191,'MP내역(적극)'!$B:$B,"예수금")-COUNTIFS('MP내역(적극)'!$A:$A,A191,'MP내역(적극)'!$B:$B,"예탁금")-COUNTIFS('MP내역(적극)'!$A:$A,A191,'MP내역(적극)'!$B:$B,"합계"))</f>
        <v/>
      </c>
      <c r="I191" s="15" t="str">
        <f>IF(A191="","",IF(COUNTIFS('MP내역(적극)'!A:A,A191,'MP내역(적극)'!G:G,"&gt;"&amp;#REF!,'MP내역(적극)'!D:D,"&lt;&gt;"&amp;#REF!,'MP내역(적극)'!D:D,"&lt;&gt;"&amp;#REF!,'MP내역(적극)'!B:B,"&lt;&gt;현금",'MP내역(적극)'!B:B,"&lt;&gt;합계")=0,"O","X"))</f>
        <v/>
      </c>
      <c r="J191" s="15" t="str">
        <f>IF(A191="","",IF(AND(ABS(#REF!-SUMIFS('MP내역(적극)'!G:G,'MP내역(적극)'!A:A,A191,'MP내역(적극)'!F:F,"Y"))&lt;0.001,ABS(#REF!-SUMIFS('MP내역(적극)'!G:G,'MP내역(적극)'!A:A,A191,'MP내역(적극)'!B:B,"&lt;&gt;합계"))&lt;0.001),"O","X"))</f>
        <v/>
      </c>
      <c r="K191" s="15" t="str">
        <f>IF(A191="","",IF(COUNTIFS('MP내역(적극)'!A:A,A191,'MP내역(적극)'!H:H,"X")=0,"O","X"))</f>
        <v/>
      </c>
      <c r="L191" s="14"/>
    </row>
    <row r="192" spans="4:12" x14ac:dyDescent="0.3">
      <c r="D192" s="14"/>
      <c r="E192" s="15"/>
      <c r="G192" s="15" t="str">
        <f>IF(A192="","",IFERROR(IF(#REF!&gt;VLOOKUP(A192,'포트변경내역(중립)'!A:C,10,0),"O","X"),""))</f>
        <v/>
      </c>
      <c r="H192" s="15" t="str">
        <f>IF(A192="","",COUNTIFS('MP내역(적극)'!$A:$A,A192)-COUNTIFS('MP내역(적극)'!$A:$A,A192,'MP내역(적극)'!$B:$B,"현금")-COUNTIFS('MP내역(적극)'!$A:$A,A192,'MP내역(적극)'!$B:$B,"예수금")-COUNTIFS('MP내역(적극)'!$A:$A,A192,'MP내역(적극)'!$B:$B,"예탁금")-COUNTIFS('MP내역(적극)'!$A:$A,A192,'MP내역(적극)'!$B:$B,"합계"))</f>
        <v/>
      </c>
      <c r="I192" s="15" t="str">
        <f>IF(A192="","",IF(COUNTIFS('MP내역(적극)'!A:A,A192,'MP내역(적극)'!G:G,"&gt;"&amp;#REF!,'MP내역(적극)'!D:D,"&lt;&gt;"&amp;#REF!,'MP내역(적극)'!D:D,"&lt;&gt;"&amp;#REF!,'MP내역(적극)'!B:B,"&lt;&gt;현금",'MP내역(적극)'!B:B,"&lt;&gt;합계")=0,"O","X"))</f>
        <v/>
      </c>
      <c r="J192" s="15" t="str">
        <f>IF(A192="","",IF(AND(ABS(#REF!-SUMIFS('MP내역(적극)'!G:G,'MP내역(적극)'!A:A,A192,'MP내역(적극)'!F:F,"Y"))&lt;0.001,ABS(#REF!-SUMIFS('MP내역(적극)'!G:G,'MP내역(적극)'!A:A,A192,'MP내역(적극)'!B:B,"&lt;&gt;합계"))&lt;0.001),"O","X"))</f>
        <v/>
      </c>
      <c r="K192" s="15" t="str">
        <f>IF(A192="","",IF(COUNTIFS('MP내역(적극)'!A:A,A192,'MP내역(적극)'!H:H,"X")=0,"O","X"))</f>
        <v/>
      </c>
      <c r="L192" s="14"/>
    </row>
    <row r="193" spans="4:12" x14ac:dyDescent="0.3">
      <c r="D193" s="14"/>
      <c r="E193" s="15"/>
      <c r="G193" s="15" t="str">
        <f>IF(A193="","",IFERROR(IF(#REF!&gt;VLOOKUP(A193,'포트변경내역(중립)'!A:C,10,0),"O","X"),""))</f>
        <v/>
      </c>
      <c r="H193" s="15" t="str">
        <f>IF(A193="","",COUNTIFS('MP내역(적극)'!$A:$A,A193)-COUNTIFS('MP내역(적극)'!$A:$A,A193,'MP내역(적극)'!$B:$B,"현금")-COUNTIFS('MP내역(적극)'!$A:$A,A193,'MP내역(적극)'!$B:$B,"예수금")-COUNTIFS('MP내역(적극)'!$A:$A,A193,'MP내역(적극)'!$B:$B,"예탁금")-COUNTIFS('MP내역(적극)'!$A:$A,A193,'MP내역(적극)'!$B:$B,"합계"))</f>
        <v/>
      </c>
      <c r="I193" s="15" t="str">
        <f>IF(A193="","",IF(COUNTIFS('MP내역(적극)'!A:A,A193,'MP내역(적극)'!G:G,"&gt;"&amp;#REF!,'MP내역(적극)'!D:D,"&lt;&gt;"&amp;#REF!,'MP내역(적극)'!D:D,"&lt;&gt;"&amp;#REF!,'MP내역(적극)'!B:B,"&lt;&gt;현금",'MP내역(적극)'!B:B,"&lt;&gt;합계")=0,"O","X"))</f>
        <v/>
      </c>
      <c r="J193" s="15" t="str">
        <f>IF(A193="","",IF(AND(ABS(#REF!-SUMIFS('MP내역(적극)'!G:G,'MP내역(적극)'!A:A,A193,'MP내역(적극)'!F:F,"Y"))&lt;0.001,ABS(#REF!-SUMIFS('MP내역(적극)'!G:G,'MP내역(적극)'!A:A,A193,'MP내역(적극)'!B:B,"&lt;&gt;합계"))&lt;0.001),"O","X"))</f>
        <v/>
      </c>
      <c r="K193" s="15" t="str">
        <f>IF(A193="","",IF(COUNTIFS('MP내역(적극)'!A:A,A193,'MP내역(적극)'!H:H,"X")=0,"O","X"))</f>
        <v/>
      </c>
      <c r="L193" s="14"/>
    </row>
    <row r="194" spans="4:12" x14ac:dyDescent="0.3">
      <c r="D194" s="14"/>
      <c r="E194" s="15"/>
      <c r="G194" s="15" t="str">
        <f>IF(A194="","",IFERROR(IF(#REF!&gt;VLOOKUP(A194,'포트변경내역(중립)'!A:C,10,0),"O","X"),""))</f>
        <v/>
      </c>
      <c r="H194" s="15" t="str">
        <f>IF(A194="","",COUNTIFS('MP내역(적극)'!$A:$A,A194)-COUNTIFS('MP내역(적극)'!$A:$A,A194,'MP내역(적극)'!$B:$B,"현금")-COUNTIFS('MP내역(적극)'!$A:$A,A194,'MP내역(적극)'!$B:$B,"예수금")-COUNTIFS('MP내역(적극)'!$A:$A,A194,'MP내역(적극)'!$B:$B,"예탁금")-COUNTIFS('MP내역(적극)'!$A:$A,A194,'MP내역(적극)'!$B:$B,"합계"))</f>
        <v/>
      </c>
      <c r="I194" s="15" t="str">
        <f>IF(A194="","",IF(COUNTIFS('MP내역(적극)'!A:A,A194,'MP내역(적극)'!G:G,"&gt;"&amp;#REF!,'MP내역(적극)'!D:D,"&lt;&gt;"&amp;#REF!,'MP내역(적극)'!D:D,"&lt;&gt;"&amp;#REF!,'MP내역(적극)'!B:B,"&lt;&gt;현금",'MP내역(적극)'!B:B,"&lt;&gt;합계")=0,"O","X"))</f>
        <v/>
      </c>
      <c r="J194" s="15" t="str">
        <f>IF(A194="","",IF(AND(ABS(#REF!-SUMIFS('MP내역(적극)'!G:G,'MP내역(적극)'!A:A,A194,'MP내역(적극)'!F:F,"Y"))&lt;0.001,ABS(#REF!-SUMIFS('MP내역(적극)'!G:G,'MP내역(적극)'!A:A,A194,'MP내역(적극)'!B:B,"&lt;&gt;합계"))&lt;0.001),"O","X"))</f>
        <v/>
      </c>
      <c r="K194" s="15" t="str">
        <f>IF(A194="","",IF(COUNTIFS('MP내역(적극)'!A:A,A194,'MP내역(적극)'!H:H,"X")=0,"O","X"))</f>
        <v/>
      </c>
      <c r="L194" s="14"/>
    </row>
    <row r="195" spans="4:12" x14ac:dyDescent="0.3">
      <c r="D195" s="14"/>
      <c r="E195" s="15"/>
      <c r="G195" s="15" t="str">
        <f>IF(A195="","",IFERROR(IF(#REF!&gt;VLOOKUP(A195,'포트변경내역(중립)'!A:C,10,0),"O","X"),""))</f>
        <v/>
      </c>
      <c r="H195" s="15" t="str">
        <f>IF(A195="","",COUNTIFS('MP내역(적극)'!$A:$A,A195)-COUNTIFS('MP내역(적극)'!$A:$A,A195,'MP내역(적극)'!$B:$B,"현금")-COUNTIFS('MP내역(적극)'!$A:$A,A195,'MP내역(적극)'!$B:$B,"예수금")-COUNTIFS('MP내역(적극)'!$A:$A,A195,'MP내역(적극)'!$B:$B,"예탁금")-COUNTIFS('MP내역(적극)'!$A:$A,A195,'MP내역(적극)'!$B:$B,"합계"))</f>
        <v/>
      </c>
      <c r="I195" s="15" t="str">
        <f>IF(A195="","",IF(COUNTIFS('MP내역(적극)'!A:A,A195,'MP내역(적극)'!G:G,"&gt;"&amp;#REF!,'MP내역(적극)'!D:D,"&lt;&gt;"&amp;#REF!,'MP내역(적극)'!D:D,"&lt;&gt;"&amp;#REF!,'MP내역(적극)'!B:B,"&lt;&gt;현금",'MP내역(적극)'!B:B,"&lt;&gt;합계")=0,"O","X"))</f>
        <v/>
      </c>
      <c r="J195" s="15" t="str">
        <f>IF(A195="","",IF(AND(ABS(#REF!-SUMIFS('MP내역(적극)'!G:G,'MP내역(적극)'!A:A,A195,'MP내역(적극)'!F:F,"Y"))&lt;0.001,ABS(#REF!-SUMIFS('MP내역(적극)'!G:G,'MP내역(적극)'!A:A,A195,'MP내역(적극)'!B:B,"&lt;&gt;합계"))&lt;0.001),"O","X"))</f>
        <v/>
      </c>
      <c r="K195" s="15" t="str">
        <f>IF(A195="","",IF(COUNTIFS('MP내역(적극)'!A:A,A195,'MP내역(적극)'!H:H,"X")=0,"O","X"))</f>
        <v/>
      </c>
      <c r="L195" s="14"/>
    </row>
    <row r="196" spans="4:12" x14ac:dyDescent="0.3">
      <c r="D196" s="14"/>
      <c r="E196" s="15"/>
      <c r="G196" s="15" t="str">
        <f>IF(A196="","",IFERROR(IF(#REF!&gt;VLOOKUP(A196,'포트변경내역(중립)'!A:C,10,0),"O","X"),""))</f>
        <v/>
      </c>
      <c r="H196" s="15" t="str">
        <f>IF(A196="","",COUNTIFS('MP내역(적극)'!$A:$A,A196)-COUNTIFS('MP내역(적극)'!$A:$A,A196,'MP내역(적극)'!$B:$B,"현금")-COUNTIFS('MP내역(적극)'!$A:$A,A196,'MP내역(적극)'!$B:$B,"예수금")-COUNTIFS('MP내역(적극)'!$A:$A,A196,'MP내역(적극)'!$B:$B,"예탁금")-COUNTIFS('MP내역(적극)'!$A:$A,A196,'MP내역(적극)'!$B:$B,"합계"))</f>
        <v/>
      </c>
      <c r="I196" s="15" t="str">
        <f>IF(A196="","",IF(COUNTIFS('MP내역(적극)'!A:A,A196,'MP내역(적극)'!G:G,"&gt;"&amp;#REF!,'MP내역(적극)'!D:D,"&lt;&gt;"&amp;#REF!,'MP내역(적극)'!D:D,"&lt;&gt;"&amp;#REF!,'MP내역(적극)'!B:B,"&lt;&gt;현금",'MP내역(적극)'!B:B,"&lt;&gt;합계")=0,"O","X"))</f>
        <v/>
      </c>
      <c r="J196" s="15" t="str">
        <f>IF(A196="","",IF(AND(ABS(#REF!-SUMIFS('MP내역(적극)'!G:G,'MP내역(적극)'!A:A,A196,'MP내역(적극)'!F:F,"Y"))&lt;0.001,ABS(#REF!-SUMIFS('MP내역(적극)'!G:G,'MP내역(적극)'!A:A,A196,'MP내역(적극)'!B:B,"&lt;&gt;합계"))&lt;0.001),"O","X"))</f>
        <v/>
      </c>
      <c r="K196" s="15" t="str">
        <f>IF(A196="","",IF(COUNTIFS('MP내역(적극)'!A:A,A196,'MP내역(적극)'!H:H,"X")=0,"O","X"))</f>
        <v/>
      </c>
      <c r="L196" s="14"/>
    </row>
    <row r="197" spans="4:12" x14ac:dyDescent="0.3">
      <c r="D197" s="14"/>
      <c r="E197" s="15"/>
      <c r="G197" s="15" t="str">
        <f>IF(A197="","",IFERROR(IF(#REF!&gt;VLOOKUP(A197,'포트변경내역(중립)'!A:C,10,0),"O","X"),""))</f>
        <v/>
      </c>
      <c r="H197" s="15" t="str">
        <f>IF(A197="","",COUNTIFS('MP내역(적극)'!$A:$A,A197)-COUNTIFS('MP내역(적극)'!$A:$A,A197,'MP내역(적극)'!$B:$B,"현금")-COUNTIFS('MP내역(적극)'!$A:$A,A197,'MP내역(적극)'!$B:$B,"예수금")-COUNTIFS('MP내역(적극)'!$A:$A,A197,'MP내역(적극)'!$B:$B,"예탁금")-COUNTIFS('MP내역(적극)'!$A:$A,A197,'MP내역(적극)'!$B:$B,"합계"))</f>
        <v/>
      </c>
      <c r="I197" s="15" t="str">
        <f>IF(A197="","",IF(COUNTIFS('MP내역(적극)'!A:A,A197,'MP내역(적극)'!G:G,"&gt;"&amp;#REF!,'MP내역(적극)'!D:D,"&lt;&gt;"&amp;#REF!,'MP내역(적극)'!D:D,"&lt;&gt;"&amp;#REF!,'MP내역(적극)'!B:B,"&lt;&gt;현금",'MP내역(적극)'!B:B,"&lt;&gt;합계")=0,"O","X"))</f>
        <v/>
      </c>
      <c r="J197" s="15" t="str">
        <f>IF(A197="","",IF(AND(ABS(#REF!-SUMIFS('MP내역(적극)'!G:G,'MP내역(적극)'!A:A,A197,'MP내역(적극)'!F:F,"Y"))&lt;0.001,ABS(#REF!-SUMIFS('MP내역(적극)'!G:G,'MP내역(적극)'!A:A,A197,'MP내역(적극)'!B:B,"&lt;&gt;합계"))&lt;0.001),"O","X"))</f>
        <v/>
      </c>
      <c r="K197" s="15" t="str">
        <f>IF(A197="","",IF(COUNTIFS('MP내역(적극)'!A:A,A197,'MP내역(적극)'!H:H,"X")=0,"O","X"))</f>
        <v/>
      </c>
      <c r="L197" s="14"/>
    </row>
    <row r="198" spans="4:12" x14ac:dyDescent="0.3">
      <c r="D198" s="14"/>
      <c r="E198" s="15"/>
      <c r="G198" s="15" t="str">
        <f>IF(A198="","",IFERROR(IF(#REF!&gt;VLOOKUP(A198,'포트변경내역(중립)'!A:C,10,0),"O","X"),""))</f>
        <v/>
      </c>
      <c r="H198" s="15" t="str">
        <f>IF(A198="","",COUNTIFS('MP내역(적극)'!$A:$A,A198)-COUNTIFS('MP내역(적극)'!$A:$A,A198,'MP내역(적극)'!$B:$B,"현금")-COUNTIFS('MP내역(적극)'!$A:$A,A198,'MP내역(적극)'!$B:$B,"예수금")-COUNTIFS('MP내역(적극)'!$A:$A,A198,'MP내역(적극)'!$B:$B,"예탁금")-COUNTIFS('MP내역(적극)'!$A:$A,A198,'MP내역(적극)'!$B:$B,"합계"))</f>
        <v/>
      </c>
      <c r="I198" s="15" t="str">
        <f>IF(A198="","",IF(COUNTIFS('MP내역(적극)'!A:A,A198,'MP내역(적극)'!G:G,"&gt;"&amp;#REF!,'MP내역(적극)'!D:D,"&lt;&gt;"&amp;#REF!,'MP내역(적극)'!D:D,"&lt;&gt;"&amp;#REF!,'MP내역(적극)'!B:B,"&lt;&gt;현금",'MP내역(적극)'!B:B,"&lt;&gt;합계")=0,"O","X"))</f>
        <v/>
      </c>
      <c r="J198" s="15" t="str">
        <f>IF(A198="","",IF(AND(ABS(#REF!-SUMIFS('MP내역(적극)'!G:G,'MP내역(적극)'!A:A,A198,'MP내역(적극)'!F:F,"Y"))&lt;0.001,ABS(#REF!-SUMIFS('MP내역(적극)'!G:G,'MP내역(적극)'!A:A,A198,'MP내역(적극)'!B:B,"&lt;&gt;합계"))&lt;0.001),"O","X"))</f>
        <v/>
      </c>
      <c r="K198" s="15" t="str">
        <f>IF(A198="","",IF(COUNTIFS('MP내역(적극)'!A:A,A198,'MP내역(적극)'!H:H,"X")=0,"O","X"))</f>
        <v/>
      </c>
      <c r="L198" s="14"/>
    </row>
    <row r="199" spans="4:12" x14ac:dyDescent="0.3">
      <c r="D199" s="14"/>
      <c r="E199" s="15"/>
      <c r="G199" s="15" t="str">
        <f>IF(A199="","",IFERROR(IF(#REF!&gt;VLOOKUP(A199,'포트변경내역(중립)'!A:C,10,0),"O","X"),""))</f>
        <v/>
      </c>
      <c r="H199" s="15" t="str">
        <f>IF(A199="","",COUNTIFS('MP내역(적극)'!$A:$A,A199)-COUNTIFS('MP내역(적극)'!$A:$A,A199,'MP내역(적극)'!$B:$B,"현금")-COUNTIFS('MP내역(적극)'!$A:$A,A199,'MP내역(적극)'!$B:$B,"예수금")-COUNTIFS('MP내역(적극)'!$A:$A,A199,'MP내역(적극)'!$B:$B,"예탁금")-COUNTIFS('MP내역(적극)'!$A:$A,A199,'MP내역(적극)'!$B:$B,"합계"))</f>
        <v/>
      </c>
      <c r="I199" s="15" t="str">
        <f>IF(A199="","",IF(COUNTIFS('MP내역(적극)'!A:A,A199,'MP내역(적극)'!G:G,"&gt;"&amp;#REF!,'MP내역(적극)'!D:D,"&lt;&gt;"&amp;#REF!,'MP내역(적극)'!D:D,"&lt;&gt;"&amp;#REF!,'MP내역(적극)'!B:B,"&lt;&gt;현금",'MP내역(적극)'!B:B,"&lt;&gt;합계")=0,"O","X"))</f>
        <v/>
      </c>
      <c r="J199" s="15" t="str">
        <f>IF(A199="","",IF(AND(ABS(#REF!-SUMIFS('MP내역(적극)'!G:G,'MP내역(적극)'!A:A,A199,'MP내역(적극)'!F:F,"Y"))&lt;0.001,ABS(#REF!-SUMIFS('MP내역(적극)'!G:G,'MP내역(적극)'!A:A,A199,'MP내역(적극)'!B:B,"&lt;&gt;합계"))&lt;0.001),"O","X"))</f>
        <v/>
      </c>
      <c r="K199" s="15" t="str">
        <f>IF(A199="","",IF(COUNTIFS('MP내역(적극)'!A:A,A199,'MP내역(적극)'!H:H,"X")=0,"O","X"))</f>
        <v/>
      </c>
      <c r="L199" s="14"/>
    </row>
    <row r="200" spans="4:12" x14ac:dyDescent="0.3">
      <c r="D200" s="14"/>
      <c r="E200" s="15"/>
      <c r="G200" s="15" t="str">
        <f>IF(A200="","",IFERROR(IF(#REF!&gt;VLOOKUP(A200,'포트변경내역(중립)'!A:C,10,0),"O","X"),""))</f>
        <v/>
      </c>
      <c r="H200" s="15" t="str">
        <f>IF(A200="","",COUNTIFS('MP내역(적극)'!$A:$A,A200)-COUNTIFS('MP내역(적극)'!$A:$A,A200,'MP내역(적극)'!$B:$B,"현금")-COUNTIFS('MP내역(적극)'!$A:$A,A200,'MP내역(적극)'!$B:$B,"예수금")-COUNTIFS('MP내역(적극)'!$A:$A,A200,'MP내역(적극)'!$B:$B,"예탁금")-COUNTIFS('MP내역(적극)'!$A:$A,A200,'MP내역(적극)'!$B:$B,"합계"))</f>
        <v/>
      </c>
      <c r="I200" s="15" t="str">
        <f>IF(A200="","",IF(COUNTIFS('MP내역(적극)'!A:A,A200,'MP내역(적극)'!G:G,"&gt;"&amp;#REF!,'MP내역(적극)'!D:D,"&lt;&gt;"&amp;#REF!,'MP내역(적극)'!D:D,"&lt;&gt;"&amp;#REF!,'MP내역(적극)'!B:B,"&lt;&gt;현금",'MP내역(적극)'!B:B,"&lt;&gt;합계")=0,"O","X"))</f>
        <v/>
      </c>
      <c r="J200" s="15" t="str">
        <f>IF(A200="","",IF(AND(ABS(#REF!-SUMIFS('MP내역(적극)'!G:G,'MP내역(적극)'!A:A,A200,'MP내역(적극)'!F:F,"Y"))&lt;0.001,ABS(#REF!-SUMIFS('MP내역(적극)'!G:G,'MP내역(적극)'!A:A,A200,'MP내역(적극)'!B:B,"&lt;&gt;합계"))&lt;0.001),"O","X"))</f>
        <v/>
      </c>
      <c r="K200" s="15" t="str">
        <f>IF(A200="","",IF(COUNTIFS('MP내역(적극)'!A:A,A200,'MP내역(적극)'!H:H,"X")=0,"O","X"))</f>
        <v/>
      </c>
      <c r="L200" s="14"/>
    </row>
    <row r="201" spans="4:12" x14ac:dyDescent="0.3">
      <c r="D201" s="14"/>
      <c r="E201" s="15"/>
      <c r="G201" s="15" t="str">
        <f>IF(A201="","",IFERROR(IF(#REF!&gt;VLOOKUP(A201,'포트변경내역(중립)'!A:C,10,0),"O","X"),""))</f>
        <v/>
      </c>
      <c r="H201" s="15" t="str">
        <f>IF(A201="","",COUNTIFS('MP내역(적극)'!$A:$A,A201)-COUNTIFS('MP내역(적극)'!$A:$A,A201,'MP내역(적극)'!$B:$B,"현금")-COUNTIFS('MP내역(적극)'!$A:$A,A201,'MP내역(적극)'!$B:$B,"예수금")-COUNTIFS('MP내역(적극)'!$A:$A,A201,'MP내역(적극)'!$B:$B,"예탁금")-COUNTIFS('MP내역(적극)'!$A:$A,A201,'MP내역(적극)'!$B:$B,"합계"))</f>
        <v/>
      </c>
      <c r="I201" s="15" t="str">
        <f>IF(A201="","",IF(COUNTIFS('MP내역(적극)'!A:A,A201,'MP내역(적극)'!G:G,"&gt;"&amp;#REF!,'MP내역(적극)'!D:D,"&lt;&gt;"&amp;#REF!,'MP내역(적극)'!D:D,"&lt;&gt;"&amp;#REF!,'MP내역(적극)'!B:B,"&lt;&gt;현금",'MP내역(적극)'!B:B,"&lt;&gt;합계")=0,"O","X"))</f>
        <v/>
      </c>
      <c r="J201" s="15" t="str">
        <f>IF(A201="","",IF(AND(ABS(#REF!-SUMIFS('MP내역(적극)'!G:G,'MP내역(적극)'!A:A,A201,'MP내역(적극)'!F:F,"Y"))&lt;0.001,ABS(#REF!-SUMIFS('MP내역(적극)'!G:G,'MP내역(적극)'!A:A,A201,'MP내역(적극)'!B:B,"&lt;&gt;합계"))&lt;0.001),"O","X"))</f>
        <v/>
      </c>
      <c r="K201" s="15" t="str">
        <f>IF(A201="","",IF(COUNTIFS('MP내역(적극)'!A:A,A201,'MP내역(적극)'!H:H,"X")=0,"O","X"))</f>
        <v/>
      </c>
      <c r="L201" s="14"/>
    </row>
    <row r="202" spans="4:12" x14ac:dyDescent="0.3">
      <c r="D202" s="14"/>
      <c r="E202" s="15"/>
      <c r="G202" s="15" t="str">
        <f>IF(A202="","",IFERROR(IF(#REF!&gt;VLOOKUP(A202,'포트변경내역(중립)'!A:C,10,0),"O","X"),""))</f>
        <v/>
      </c>
      <c r="H202" s="15" t="str">
        <f>IF(A202="","",COUNTIFS('MP내역(적극)'!$A:$A,A202)-COUNTIFS('MP내역(적극)'!$A:$A,A202,'MP내역(적극)'!$B:$B,"현금")-COUNTIFS('MP내역(적극)'!$A:$A,A202,'MP내역(적극)'!$B:$B,"예수금")-COUNTIFS('MP내역(적극)'!$A:$A,A202,'MP내역(적극)'!$B:$B,"예탁금")-COUNTIFS('MP내역(적극)'!$A:$A,A202,'MP내역(적극)'!$B:$B,"합계"))</f>
        <v/>
      </c>
      <c r="I202" s="15" t="str">
        <f>IF(A202="","",IF(COUNTIFS('MP내역(적극)'!A:A,A202,'MP내역(적극)'!G:G,"&gt;"&amp;#REF!,'MP내역(적극)'!D:D,"&lt;&gt;"&amp;#REF!,'MP내역(적극)'!D:D,"&lt;&gt;"&amp;#REF!,'MP내역(적극)'!B:B,"&lt;&gt;현금",'MP내역(적극)'!B:B,"&lt;&gt;합계")=0,"O","X"))</f>
        <v/>
      </c>
      <c r="J202" s="15" t="str">
        <f>IF(A202="","",IF(AND(ABS(#REF!-SUMIFS('MP내역(적극)'!G:G,'MP내역(적극)'!A:A,A202,'MP내역(적극)'!F:F,"Y"))&lt;0.001,ABS(#REF!-SUMIFS('MP내역(적극)'!G:G,'MP내역(적극)'!A:A,A202,'MP내역(적극)'!B:B,"&lt;&gt;합계"))&lt;0.001),"O","X"))</f>
        <v/>
      </c>
      <c r="K202" s="15" t="str">
        <f>IF(A202="","",IF(COUNTIFS('MP내역(적극)'!A:A,A202,'MP내역(적극)'!H:H,"X")=0,"O","X"))</f>
        <v/>
      </c>
      <c r="L202" s="14"/>
    </row>
    <row r="203" spans="4:12" x14ac:dyDescent="0.3">
      <c r="D203" s="14"/>
      <c r="E203" s="15"/>
      <c r="G203" s="15" t="str">
        <f>IF(A203="","",IFERROR(IF(#REF!&gt;VLOOKUP(A203,'포트변경내역(중립)'!A:C,10,0),"O","X"),""))</f>
        <v/>
      </c>
      <c r="H203" s="15" t="str">
        <f>IF(A203="","",COUNTIFS('MP내역(적극)'!$A:$A,A203)-COUNTIFS('MP내역(적극)'!$A:$A,A203,'MP내역(적극)'!$B:$B,"현금")-COUNTIFS('MP내역(적극)'!$A:$A,A203,'MP내역(적극)'!$B:$B,"예수금")-COUNTIFS('MP내역(적극)'!$A:$A,A203,'MP내역(적극)'!$B:$B,"예탁금")-COUNTIFS('MP내역(적극)'!$A:$A,A203,'MP내역(적극)'!$B:$B,"합계"))</f>
        <v/>
      </c>
      <c r="I203" s="15" t="str">
        <f>IF(A203="","",IF(COUNTIFS('MP내역(적극)'!A:A,A203,'MP내역(적극)'!G:G,"&gt;"&amp;#REF!,'MP내역(적극)'!D:D,"&lt;&gt;"&amp;#REF!,'MP내역(적극)'!D:D,"&lt;&gt;"&amp;#REF!,'MP내역(적극)'!B:B,"&lt;&gt;현금",'MP내역(적극)'!B:B,"&lt;&gt;합계")=0,"O","X"))</f>
        <v/>
      </c>
      <c r="J203" s="15" t="str">
        <f>IF(A203="","",IF(AND(ABS(#REF!-SUMIFS('MP내역(적극)'!G:G,'MP내역(적극)'!A:A,A203,'MP내역(적극)'!F:F,"Y"))&lt;0.001,ABS(#REF!-SUMIFS('MP내역(적극)'!G:G,'MP내역(적극)'!A:A,A203,'MP내역(적극)'!B:B,"&lt;&gt;합계"))&lt;0.001),"O","X"))</f>
        <v/>
      </c>
      <c r="K203" s="15" t="str">
        <f>IF(A203="","",IF(COUNTIFS('MP내역(적극)'!A:A,A203,'MP내역(적극)'!H:H,"X")=0,"O","X"))</f>
        <v/>
      </c>
      <c r="L203" s="14"/>
    </row>
    <row r="204" spans="4:12" x14ac:dyDescent="0.3">
      <c r="D204" s="14"/>
      <c r="E204" s="15"/>
      <c r="G204" s="15" t="str">
        <f>IF(A204="","",IFERROR(IF(#REF!&gt;VLOOKUP(A204,'포트변경내역(중립)'!A:C,10,0),"O","X"),""))</f>
        <v/>
      </c>
      <c r="H204" s="15" t="str">
        <f>IF(A204="","",COUNTIFS('MP내역(적극)'!$A:$A,A204)-COUNTIFS('MP내역(적극)'!$A:$A,A204,'MP내역(적극)'!$B:$B,"현금")-COUNTIFS('MP내역(적극)'!$A:$A,A204,'MP내역(적극)'!$B:$B,"예수금")-COUNTIFS('MP내역(적극)'!$A:$A,A204,'MP내역(적극)'!$B:$B,"예탁금")-COUNTIFS('MP내역(적극)'!$A:$A,A204,'MP내역(적극)'!$B:$B,"합계"))</f>
        <v/>
      </c>
      <c r="I204" s="15" t="str">
        <f>IF(A204="","",IF(COUNTIFS('MP내역(적극)'!A:A,A204,'MP내역(적극)'!G:G,"&gt;"&amp;#REF!,'MP내역(적극)'!D:D,"&lt;&gt;"&amp;#REF!,'MP내역(적극)'!D:D,"&lt;&gt;"&amp;#REF!,'MP내역(적극)'!B:B,"&lt;&gt;현금",'MP내역(적극)'!B:B,"&lt;&gt;합계")=0,"O","X"))</f>
        <v/>
      </c>
      <c r="J204" s="15" t="str">
        <f>IF(A204="","",IF(AND(ABS(#REF!-SUMIFS('MP내역(적극)'!G:G,'MP내역(적극)'!A:A,A204,'MP내역(적극)'!F:F,"Y"))&lt;0.001,ABS(#REF!-SUMIFS('MP내역(적극)'!G:G,'MP내역(적극)'!A:A,A204,'MP내역(적극)'!B:B,"&lt;&gt;합계"))&lt;0.001),"O","X"))</f>
        <v/>
      </c>
      <c r="K204" s="15" t="str">
        <f>IF(A204="","",IF(COUNTIFS('MP내역(적극)'!A:A,A204,'MP내역(적극)'!H:H,"X")=0,"O","X"))</f>
        <v/>
      </c>
      <c r="L204" s="14"/>
    </row>
    <row r="205" spans="4:12" x14ac:dyDescent="0.3">
      <c r="D205" s="14"/>
      <c r="E205" s="15"/>
      <c r="G205" s="15" t="str">
        <f>IF(A205="","",IFERROR(IF(#REF!&gt;VLOOKUP(A205,'포트변경내역(중립)'!A:C,10,0),"O","X"),""))</f>
        <v/>
      </c>
      <c r="H205" s="15" t="str">
        <f>IF(A205="","",COUNTIFS('MP내역(적극)'!$A:$A,A205)-COUNTIFS('MP내역(적극)'!$A:$A,A205,'MP내역(적극)'!$B:$B,"현금")-COUNTIFS('MP내역(적극)'!$A:$A,A205,'MP내역(적극)'!$B:$B,"예수금")-COUNTIFS('MP내역(적극)'!$A:$A,A205,'MP내역(적극)'!$B:$B,"예탁금")-COUNTIFS('MP내역(적극)'!$A:$A,A205,'MP내역(적극)'!$B:$B,"합계"))</f>
        <v/>
      </c>
      <c r="I205" s="15" t="str">
        <f>IF(A205="","",IF(COUNTIFS('MP내역(적극)'!A:A,A205,'MP내역(적극)'!G:G,"&gt;"&amp;#REF!,'MP내역(적극)'!D:D,"&lt;&gt;"&amp;#REF!,'MP내역(적극)'!D:D,"&lt;&gt;"&amp;#REF!,'MP내역(적극)'!B:B,"&lt;&gt;현금",'MP내역(적극)'!B:B,"&lt;&gt;합계")=0,"O","X"))</f>
        <v/>
      </c>
      <c r="J205" s="15" t="str">
        <f>IF(A205="","",IF(AND(ABS(#REF!-SUMIFS('MP내역(적극)'!G:G,'MP내역(적극)'!A:A,A205,'MP내역(적극)'!F:F,"Y"))&lt;0.001,ABS(#REF!-SUMIFS('MP내역(적극)'!G:G,'MP내역(적극)'!A:A,A205,'MP내역(적극)'!B:B,"&lt;&gt;합계"))&lt;0.001),"O","X"))</f>
        <v/>
      </c>
      <c r="K205" s="15" t="str">
        <f>IF(A205="","",IF(COUNTIFS('MP내역(적극)'!A:A,A205,'MP내역(적극)'!H:H,"X")=0,"O","X"))</f>
        <v/>
      </c>
      <c r="L205" s="14"/>
    </row>
    <row r="206" spans="4:12" x14ac:dyDescent="0.3">
      <c r="D206" s="14"/>
      <c r="E206" s="15"/>
      <c r="G206" s="15" t="str">
        <f>IF(A206="","",IFERROR(IF(#REF!&gt;VLOOKUP(A206,'포트변경내역(중립)'!A:C,10,0),"O","X"),""))</f>
        <v/>
      </c>
      <c r="H206" s="15" t="str">
        <f>IF(A206="","",COUNTIFS('MP내역(적극)'!$A:$A,A206)-COUNTIFS('MP내역(적극)'!$A:$A,A206,'MP내역(적극)'!$B:$B,"현금")-COUNTIFS('MP내역(적극)'!$A:$A,A206,'MP내역(적극)'!$B:$B,"예수금")-COUNTIFS('MP내역(적극)'!$A:$A,A206,'MP내역(적극)'!$B:$B,"예탁금")-COUNTIFS('MP내역(적극)'!$A:$A,A206,'MP내역(적극)'!$B:$B,"합계"))</f>
        <v/>
      </c>
      <c r="I206" s="15" t="str">
        <f>IF(A206="","",IF(COUNTIFS('MP내역(적극)'!A:A,A206,'MP내역(적극)'!G:G,"&gt;"&amp;#REF!,'MP내역(적극)'!D:D,"&lt;&gt;"&amp;#REF!,'MP내역(적극)'!D:D,"&lt;&gt;"&amp;#REF!,'MP내역(적극)'!B:B,"&lt;&gt;현금",'MP내역(적극)'!B:B,"&lt;&gt;합계")=0,"O","X"))</f>
        <v/>
      </c>
      <c r="J206" s="15" t="str">
        <f>IF(A206="","",IF(AND(ABS(#REF!-SUMIFS('MP내역(적극)'!G:G,'MP내역(적극)'!A:A,A206,'MP내역(적극)'!F:F,"Y"))&lt;0.001,ABS(#REF!-SUMIFS('MP내역(적극)'!G:G,'MP내역(적극)'!A:A,A206,'MP내역(적극)'!B:B,"&lt;&gt;합계"))&lt;0.001),"O","X"))</f>
        <v/>
      </c>
      <c r="K206" s="15" t="str">
        <f>IF(A206="","",IF(COUNTIFS('MP내역(적극)'!A:A,A206,'MP내역(적극)'!H:H,"X")=0,"O","X"))</f>
        <v/>
      </c>
      <c r="L206" s="14"/>
    </row>
    <row r="207" spans="4:12" x14ac:dyDescent="0.3">
      <c r="D207" s="14"/>
      <c r="E207" s="15"/>
      <c r="G207" s="15" t="str">
        <f>IF(A207="","",IFERROR(IF(#REF!&gt;VLOOKUP(A207,'포트변경내역(중립)'!A:C,10,0),"O","X"),""))</f>
        <v/>
      </c>
      <c r="H207" s="15" t="str">
        <f>IF(A207="","",COUNTIFS('MP내역(적극)'!$A:$A,A207)-COUNTIFS('MP내역(적극)'!$A:$A,A207,'MP내역(적극)'!$B:$B,"현금")-COUNTIFS('MP내역(적극)'!$A:$A,A207,'MP내역(적극)'!$B:$B,"예수금")-COUNTIFS('MP내역(적극)'!$A:$A,A207,'MP내역(적극)'!$B:$B,"예탁금")-COUNTIFS('MP내역(적극)'!$A:$A,A207,'MP내역(적극)'!$B:$B,"합계"))</f>
        <v/>
      </c>
      <c r="I207" s="15" t="str">
        <f>IF(A207="","",IF(COUNTIFS('MP내역(적극)'!A:A,A207,'MP내역(적극)'!G:G,"&gt;"&amp;#REF!,'MP내역(적극)'!D:D,"&lt;&gt;"&amp;#REF!,'MP내역(적극)'!D:D,"&lt;&gt;"&amp;#REF!,'MP내역(적극)'!B:B,"&lt;&gt;현금",'MP내역(적극)'!B:B,"&lt;&gt;합계")=0,"O","X"))</f>
        <v/>
      </c>
      <c r="J207" s="15" t="str">
        <f>IF(A207="","",IF(AND(ABS(#REF!-SUMIFS('MP내역(적극)'!G:G,'MP내역(적극)'!A:A,A207,'MP내역(적극)'!F:F,"Y"))&lt;0.001,ABS(#REF!-SUMIFS('MP내역(적극)'!G:G,'MP내역(적극)'!A:A,A207,'MP내역(적극)'!B:B,"&lt;&gt;합계"))&lt;0.001),"O","X"))</f>
        <v/>
      </c>
      <c r="K207" s="15" t="str">
        <f>IF(A207="","",IF(COUNTIFS('MP내역(적극)'!A:A,A207,'MP내역(적극)'!H:H,"X")=0,"O","X"))</f>
        <v/>
      </c>
      <c r="L207" s="14"/>
    </row>
    <row r="208" spans="4:12" x14ac:dyDescent="0.3">
      <c r="D208" s="14"/>
      <c r="E208" s="15"/>
      <c r="G208" s="15" t="str">
        <f>IF(A208="","",IFERROR(IF(#REF!&gt;VLOOKUP(A208,'포트변경내역(중립)'!A:C,10,0),"O","X"),""))</f>
        <v/>
      </c>
      <c r="H208" s="15" t="str">
        <f>IF(A208="","",COUNTIFS('MP내역(적극)'!$A:$A,A208)-COUNTIFS('MP내역(적극)'!$A:$A,A208,'MP내역(적극)'!$B:$B,"현금")-COUNTIFS('MP내역(적극)'!$A:$A,A208,'MP내역(적극)'!$B:$B,"예수금")-COUNTIFS('MP내역(적극)'!$A:$A,A208,'MP내역(적극)'!$B:$B,"예탁금")-COUNTIFS('MP내역(적극)'!$A:$A,A208,'MP내역(적극)'!$B:$B,"합계"))</f>
        <v/>
      </c>
      <c r="I208" s="15" t="str">
        <f>IF(A208="","",IF(COUNTIFS('MP내역(적극)'!A:A,A208,'MP내역(적극)'!G:G,"&gt;"&amp;#REF!,'MP내역(적극)'!D:D,"&lt;&gt;"&amp;#REF!,'MP내역(적극)'!D:D,"&lt;&gt;"&amp;#REF!,'MP내역(적극)'!B:B,"&lt;&gt;현금",'MP내역(적극)'!B:B,"&lt;&gt;합계")=0,"O","X"))</f>
        <v/>
      </c>
      <c r="J208" s="15" t="str">
        <f>IF(A208="","",IF(AND(ABS(#REF!-SUMIFS('MP내역(적극)'!G:G,'MP내역(적극)'!A:A,A208,'MP내역(적극)'!F:F,"Y"))&lt;0.001,ABS(#REF!-SUMIFS('MP내역(적극)'!G:G,'MP내역(적극)'!A:A,A208,'MP내역(적극)'!B:B,"&lt;&gt;합계"))&lt;0.001),"O","X"))</f>
        <v/>
      </c>
      <c r="K208" s="15" t="str">
        <f>IF(A208="","",IF(COUNTIFS('MP내역(적극)'!A:A,A208,'MP내역(적극)'!H:H,"X")=0,"O","X"))</f>
        <v/>
      </c>
      <c r="L208" s="14"/>
    </row>
    <row r="209" spans="4:12" x14ac:dyDescent="0.3">
      <c r="D209" s="14"/>
      <c r="E209" s="15"/>
      <c r="G209" s="15" t="str">
        <f>IF(A209="","",IFERROR(IF(#REF!&gt;VLOOKUP(A209,'포트변경내역(중립)'!A:C,10,0),"O","X"),""))</f>
        <v/>
      </c>
      <c r="H209" s="15" t="str">
        <f>IF(A209="","",COUNTIFS('MP내역(적극)'!$A:$A,A209)-COUNTIFS('MP내역(적극)'!$A:$A,A209,'MP내역(적극)'!$B:$B,"현금")-COUNTIFS('MP내역(적극)'!$A:$A,A209,'MP내역(적극)'!$B:$B,"예수금")-COUNTIFS('MP내역(적극)'!$A:$A,A209,'MP내역(적극)'!$B:$B,"예탁금")-COUNTIFS('MP내역(적극)'!$A:$A,A209,'MP내역(적극)'!$B:$B,"합계"))</f>
        <v/>
      </c>
      <c r="I209" s="15" t="str">
        <f>IF(A209="","",IF(COUNTIFS('MP내역(적극)'!A:A,A209,'MP내역(적극)'!G:G,"&gt;"&amp;#REF!,'MP내역(적극)'!D:D,"&lt;&gt;"&amp;#REF!,'MP내역(적극)'!D:D,"&lt;&gt;"&amp;#REF!,'MP내역(적극)'!B:B,"&lt;&gt;현금",'MP내역(적극)'!B:B,"&lt;&gt;합계")=0,"O","X"))</f>
        <v/>
      </c>
      <c r="J209" s="15" t="str">
        <f>IF(A209="","",IF(AND(ABS(#REF!-SUMIFS('MP내역(적극)'!G:G,'MP내역(적극)'!A:A,A209,'MP내역(적극)'!F:F,"Y"))&lt;0.001,ABS(#REF!-SUMIFS('MP내역(적극)'!G:G,'MP내역(적극)'!A:A,A209,'MP내역(적극)'!B:B,"&lt;&gt;합계"))&lt;0.001),"O","X"))</f>
        <v/>
      </c>
      <c r="K209" s="15" t="str">
        <f>IF(A209="","",IF(COUNTIFS('MP내역(적극)'!A:A,A209,'MP내역(적극)'!H:H,"X")=0,"O","X"))</f>
        <v/>
      </c>
      <c r="L209" s="14"/>
    </row>
    <row r="210" spans="4:12" x14ac:dyDescent="0.3">
      <c r="D210" s="14"/>
      <c r="E210" s="15"/>
      <c r="G210" s="15" t="str">
        <f>IF(A210="","",IFERROR(IF(#REF!&gt;VLOOKUP(A210,'포트변경내역(중립)'!A:C,10,0),"O","X"),""))</f>
        <v/>
      </c>
      <c r="H210" s="15" t="str">
        <f>IF(A210="","",COUNTIFS('MP내역(적극)'!$A:$A,A210)-COUNTIFS('MP내역(적극)'!$A:$A,A210,'MP내역(적극)'!$B:$B,"현금")-COUNTIFS('MP내역(적극)'!$A:$A,A210,'MP내역(적극)'!$B:$B,"예수금")-COUNTIFS('MP내역(적극)'!$A:$A,A210,'MP내역(적극)'!$B:$B,"예탁금")-COUNTIFS('MP내역(적극)'!$A:$A,A210,'MP내역(적극)'!$B:$B,"합계"))</f>
        <v/>
      </c>
      <c r="I210" s="15" t="str">
        <f>IF(A210="","",IF(COUNTIFS('MP내역(적극)'!A:A,A210,'MP내역(적극)'!G:G,"&gt;"&amp;#REF!,'MP내역(적극)'!D:D,"&lt;&gt;"&amp;#REF!,'MP내역(적극)'!D:D,"&lt;&gt;"&amp;#REF!,'MP내역(적극)'!B:B,"&lt;&gt;현금",'MP내역(적극)'!B:B,"&lt;&gt;합계")=0,"O","X"))</f>
        <v/>
      </c>
      <c r="J210" s="15" t="str">
        <f>IF(A210="","",IF(AND(ABS(#REF!-SUMIFS('MP내역(적극)'!G:G,'MP내역(적극)'!A:A,A210,'MP내역(적극)'!F:F,"Y"))&lt;0.001,ABS(#REF!-SUMIFS('MP내역(적극)'!G:G,'MP내역(적극)'!A:A,A210,'MP내역(적극)'!B:B,"&lt;&gt;합계"))&lt;0.001),"O","X"))</f>
        <v/>
      </c>
      <c r="K210" s="15" t="str">
        <f>IF(A210="","",IF(COUNTIFS('MP내역(적극)'!A:A,A210,'MP내역(적극)'!H:H,"X")=0,"O","X"))</f>
        <v/>
      </c>
      <c r="L210" s="14"/>
    </row>
    <row r="211" spans="4:12" x14ac:dyDescent="0.3">
      <c r="D211" s="14"/>
      <c r="E211" s="15"/>
      <c r="G211" s="15" t="str">
        <f>IF(A211="","",IFERROR(IF(#REF!&gt;VLOOKUP(A211,'포트변경내역(중립)'!A:C,10,0),"O","X"),""))</f>
        <v/>
      </c>
      <c r="H211" s="15" t="str">
        <f>IF(A211="","",COUNTIFS('MP내역(적극)'!$A:$A,A211)-COUNTIFS('MP내역(적극)'!$A:$A,A211,'MP내역(적극)'!$B:$B,"현금")-COUNTIFS('MP내역(적극)'!$A:$A,A211,'MP내역(적극)'!$B:$B,"예수금")-COUNTIFS('MP내역(적극)'!$A:$A,A211,'MP내역(적극)'!$B:$B,"예탁금")-COUNTIFS('MP내역(적극)'!$A:$A,A211,'MP내역(적극)'!$B:$B,"합계"))</f>
        <v/>
      </c>
      <c r="I211" s="15" t="str">
        <f>IF(A211="","",IF(COUNTIFS('MP내역(적극)'!A:A,A211,'MP내역(적극)'!G:G,"&gt;"&amp;#REF!,'MP내역(적극)'!D:D,"&lt;&gt;"&amp;#REF!,'MP내역(적극)'!D:D,"&lt;&gt;"&amp;#REF!,'MP내역(적극)'!B:B,"&lt;&gt;현금",'MP내역(적극)'!B:B,"&lt;&gt;합계")=0,"O","X"))</f>
        <v/>
      </c>
      <c r="J211" s="15" t="str">
        <f>IF(A211="","",IF(AND(ABS(#REF!-SUMIFS('MP내역(적극)'!G:G,'MP내역(적극)'!A:A,A211,'MP내역(적극)'!F:F,"Y"))&lt;0.001,ABS(#REF!-SUMIFS('MP내역(적극)'!G:G,'MP내역(적극)'!A:A,A211,'MP내역(적극)'!B:B,"&lt;&gt;합계"))&lt;0.001),"O","X"))</f>
        <v/>
      </c>
      <c r="K211" s="15" t="str">
        <f>IF(A211="","",IF(COUNTIFS('MP내역(적극)'!A:A,A211,'MP내역(적극)'!H:H,"X")=0,"O","X"))</f>
        <v/>
      </c>
      <c r="L211" s="14"/>
    </row>
    <row r="212" spans="4:12" x14ac:dyDescent="0.3">
      <c r="D212" s="14"/>
      <c r="E212" s="15"/>
      <c r="G212" s="15" t="str">
        <f>IF(A212="","",IFERROR(IF(#REF!&gt;VLOOKUP(A212,'포트변경내역(중립)'!A:C,10,0),"O","X"),""))</f>
        <v/>
      </c>
      <c r="H212" s="15" t="str">
        <f>IF(A212="","",COUNTIFS('MP내역(적극)'!$A:$A,A212)-COUNTIFS('MP내역(적극)'!$A:$A,A212,'MP내역(적극)'!$B:$B,"현금")-COUNTIFS('MP내역(적극)'!$A:$A,A212,'MP내역(적극)'!$B:$B,"예수금")-COUNTIFS('MP내역(적극)'!$A:$A,A212,'MP내역(적극)'!$B:$B,"예탁금")-COUNTIFS('MP내역(적극)'!$A:$A,A212,'MP내역(적극)'!$B:$B,"합계"))</f>
        <v/>
      </c>
      <c r="I212" s="15" t="str">
        <f>IF(A212="","",IF(COUNTIFS('MP내역(적극)'!A:A,A212,'MP내역(적극)'!G:G,"&gt;"&amp;#REF!,'MP내역(적극)'!D:D,"&lt;&gt;"&amp;#REF!,'MP내역(적극)'!D:D,"&lt;&gt;"&amp;#REF!,'MP내역(적극)'!B:B,"&lt;&gt;현금",'MP내역(적극)'!B:B,"&lt;&gt;합계")=0,"O","X"))</f>
        <v/>
      </c>
      <c r="J212" s="15" t="str">
        <f>IF(A212="","",IF(AND(ABS(#REF!-SUMIFS('MP내역(적극)'!G:G,'MP내역(적극)'!A:A,A212,'MP내역(적극)'!F:F,"Y"))&lt;0.001,ABS(#REF!-SUMIFS('MP내역(적극)'!G:G,'MP내역(적극)'!A:A,A212,'MP내역(적극)'!B:B,"&lt;&gt;합계"))&lt;0.001),"O","X"))</f>
        <v/>
      </c>
      <c r="K212" s="15" t="str">
        <f>IF(A212="","",IF(COUNTIFS('MP내역(적극)'!A:A,A212,'MP내역(적극)'!H:H,"X")=0,"O","X"))</f>
        <v/>
      </c>
      <c r="L212" s="14"/>
    </row>
    <row r="213" spans="4:12" x14ac:dyDescent="0.3">
      <c r="D213" s="14"/>
      <c r="E213" s="15"/>
      <c r="G213" s="15" t="str">
        <f>IF(A213="","",IFERROR(IF(#REF!&gt;VLOOKUP(A213,'포트변경내역(중립)'!A:C,10,0),"O","X"),""))</f>
        <v/>
      </c>
      <c r="H213" s="15" t="str">
        <f>IF(A213="","",COUNTIFS('MP내역(적극)'!$A:$A,A213)-COUNTIFS('MP내역(적극)'!$A:$A,A213,'MP내역(적극)'!$B:$B,"현금")-COUNTIFS('MP내역(적극)'!$A:$A,A213,'MP내역(적극)'!$B:$B,"예수금")-COUNTIFS('MP내역(적극)'!$A:$A,A213,'MP내역(적극)'!$B:$B,"예탁금")-COUNTIFS('MP내역(적극)'!$A:$A,A213,'MP내역(적극)'!$B:$B,"합계"))</f>
        <v/>
      </c>
      <c r="I213" s="15" t="str">
        <f>IF(A213="","",IF(COUNTIFS('MP내역(적극)'!A:A,A213,'MP내역(적극)'!G:G,"&gt;"&amp;#REF!,'MP내역(적극)'!D:D,"&lt;&gt;"&amp;#REF!,'MP내역(적극)'!D:D,"&lt;&gt;"&amp;#REF!,'MP내역(적극)'!B:B,"&lt;&gt;현금",'MP내역(적극)'!B:B,"&lt;&gt;합계")=0,"O","X"))</f>
        <v/>
      </c>
      <c r="J213" s="15" t="str">
        <f>IF(A213="","",IF(AND(ABS(#REF!-SUMIFS('MP내역(적극)'!G:G,'MP내역(적극)'!A:A,A213,'MP내역(적극)'!F:F,"Y"))&lt;0.001,ABS(#REF!-SUMIFS('MP내역(적극)'!G:G,'MP내역(적극)'!A:A,A213,'MP내역(적극)'!B:B,"&lt;&gt;합계"))&lt;0.001),"O","X"))</f>
        <v/>
      </c>
      <c r="K213" s="15" t="str">
        <f>IF(A213="","",IF(COUNTIFS('MP내역(적극)'!A:A,A213,'MP내역(적극)'!H:H,"X")=0,"O","X"))</f>
        <v/>
      </c>
      <c r="L213" s="14"/>
    </row>
    <row r="214" spans="4:12" x14ac:dyDescent="0.3">
      <c r="D214" s="14"/>
      <c r="E214" s="15"/>
      <c r="G214" s="15" t="str">
        <f>IF(A214="","",IFERROR(IF(#REF!&gt;VLOOKUP(A214,'포트변경내역(중립)'!A:C,10,0),"O","X"),""))</f>
        <v/>
      </c>
      <c r="H214" s="15" t="str">
        <f>IF(A214="","",COUNTIFS('MP내역(적극)'!$A:$A,A214)-COUNTIFS('MP내역(적극)'!$A:$A,A214,'MP내역(적극)'!$B:$B,"현금")-COUNTIFS('MP내역(적극)'!$A:$A,A214,'MP내역(적극)'!$B:$B,"예수금")-COUNTIFS('MP내역(적극)'!$A:$A,A214,'MP내역(적극)'!$B:$B,"예탁금")-COUNTIFS('MP내역(적극)'!$A:$A,A214,'MP내역(적극)'!$B:$B,"합계"))</f>
        <v/>
      </c>
      <c r="I214" s="15" t="str">
        <f>IF(A214="","",IF(COUNTIFS('MP내역(적극)'!A:A,A214,'MP내역(적극)'!G:G,"&gt;"&amp;#REF!,'MP내역(적극)'!D:D,"&lt;&gt;"&amp;#REF!,'MP내역(적극)'!D:D,"&lt;&gt;"&amp;#REF!,'MP내역(적극)'!B:B,"&lt;&gt;현금",'MP내역(적극)'!B:B,"&lt;&gt;합계")=0,"O","X"))</f>
        <v/>
      </c>
      <c r="J214" s="15" t="str">
        <f>IF(A214="","",IF(AND(ABS(#REF!-SUMIFS('MP내역(적극)'!G:G,'MP내역(적극)'!A:A,A214,'MP내역(적극)'!F:F,"Y"))&lt;0.001,ABS(#REF!-SUMIFS('MP내역(적극)'!G:G,'MP내역(적극)'!A:A,A214,'MP내역(적극)'!B:B,"&lt;&gt;합계"))&lt;0.001),"O","X"))</f>
        <v/>
      </c>
      <c r="K214" s="15" t="str">
        <f>IF(A214="","",IF(COUNTIFS('MP내역(적극)'!A:A,A214,'MP내역(적극)'!H:H,"X")=0,"O","X"))</f>
        <v/>
      </c>
      <c r="L214" s="14"/>
    </row>
    <row r="215" spans="4:12" x14ac:dyDescent="0.3">
      <c r="D215" s="14"/>
      <c r="E215" s="15"/>
      <c r="G215" s="15" t="str">
        <f>IF(A215="","",IFERROR(IF(#REF!&gt;VLOOKUP(A215,'포트변경내역(중립)'!A:C,10,0),"O","X"),""))</f>
        <v/>
      </c>
      <c r="H215" s="15" t="str">
        <f>IF(A215="","",COUNTIFS('MP내역(적극)'!$A:$A,A215)-COUNTIFS('MP내역(적극)'!$A:$A,A215,'MP내역(적극)'!$B:$B,"현금")-COUNTIFS('MP내역(적극)'!$A:$A,A215,'MP내역(적극)'!$B:$B,"예수금")-COUNTIFS('MP내역(적극)'!$A:$A,A215,'MP내역(적극)'!$B:$B,"예탁금")-COUNTIFS('MP내역(적극)'!$A:$A,A215,'MP내역(적극)'!$B:$B,"합계"))</f>
        <v/>
      </c>
      <c r="I215" s="15" t="str">
        <f>IF(A215="","",IF(COUNTIFS('MP내역(적극)'!A:A,A215,'MP내역(적극)'!G:G,"&gt;"&amp;#REF!,'MP내역(적극)'!D:D,"&lt;&gt;"&amp;#REF!,'MP내역(적극)'!D:D,"&lt;&gt;"&amp;#REF!,'MP내역(적극)'!B:B,"&lt;&gt;현금",'MP내역(적극)'!B:B,"&lt;&gt;합계")=0,"O","X"))</f>
        <v/>
      </c>
      <c r="J215" s="15" t="str">
        <f>IF(A215="","",IF(AND(ABS(#REF!-SUMIFS('MP내역(적극)'!G:G,'MP내역(적극)'!A:A,A215,'MP내역(적극)'!F:F,"Y"))&lt;0.001,ABS(#REF!-SUMIFS('MP내역(적극)'!G:G,'MP내역(적극)'!A:A,A215,'MP내역(적극)'!B:B,"&lt;&gt;합계"))&lt;0.001),"O","X"))</f>
        <v/>
      </c>
      <c r="K215" s="15" t="str">
        <f>IF(A215="","",IF(COUNTIFS('MP내역(적극)'!A:A,A215,'MP내역(적극)'!H:H,"X")=0,"O","X"))</f>
        <v/>
      </c>
      <c r="L215" s="14"/>
    </row>
    <row r="216" spans="4:12" x14ac:dyDescent="0.3">
      <c r="D216" s="14"/>
      <c r="E216" s="15"/>
      <c r="G216" s="15" t="str">
        <f>IF(A216="","",IFERROR(IF(#REF!&gt;VLOOKUP(A216,'포트변경내역(중립)'!A:C,10,0),"O","X"),""))</f>
        <v/>
      </c>
      <c r="H216" s="15" t="str">
        <f>IF(A216="","",COUNTIFS('MP내역(적극)'!$A:$A,A216)-COUNTIFS('MP내역(적극)'!$A:$A,A216,'MP내역(적극)'!$B:$B,"현금")-COUNTIFS('MP내역(적극)'!$A:$A,A216,'MP내역(적극)'!$B:$B,"예수금")-COUNTIFS('MP내역(적극)'!$A:$A,A216,'MP내역(적극)'!$B:$B,"예탁금")-COUNTIFS('MP내역(적극)'!$A:$A,A216,'MP내역(적극)'!$B:$B,"합계"))</f>
        <v/>
      </c>
      <c r="I216" s="15" t="str">
        <f>IF(A216="","",IF(COUNTIFS('MP내역(적극)'!A:A,A216,'MP내역(적극)'!G:G,"&gt;"&amp;#REF!,'MP내역(적극)'!D:D,"&lt;&gt;"&amp;#REF!,'MP내역(적극)'!D:D,"&lt;&gt;"&amp;#REF!,'MP내역(적극)'!B:B,"&lt;&gt;현금",'MP내역(적극)'!B:B,"&lt;&gt;합계")=0,"O","X"))</f>
        <v/>
      </c>
      <c r="J216" s="15" t="str">
        <f>IF(A216="","",IF(AND(ABS(#REF!-SUMIFS('MP내역(적극)'!G:G,'MP내역(적극)'!A:A,A216,'MP내역(적극)'!F:F,"Y"))&lt;0.001,ABS(#REF!-SUMIFS('MP내역(적극)'!G:G,'MP내역(적극)'!A:A,A216,'MP내역(적극)'!B:B,"&lt;&gt;합계"))&lt;0.001),"O","X"))</f>
        <v/>
      </c>
      <c r="K216" s="15" t="str">
        <f>IF(A216="","",IF(COUNTIFS('MP내역(적극)'!A:A,A216,'MP내역(적극)'!H:H,"X")=0,"O","X"))</f>
        <v/>
      </c>
      <c r="L216" s="14"/>
    </row>
    <row r="217" spans="4:12" x14ac:dyDescent="0.3">
      <c r="D217" s="14"/>
      <c r="E217" s="15"/>
      <c r="G217" s="15" t="str">
        <f>IF(A217="","",IFERROR(IF(#REF!&gt;VLOOKUP(A217,'포트변경내역(중립)'!A:C,10,0),"O","X"),""))</f>
        <v/>
      </c>
      <c r="H217" s="15" t="str">
        <f>IF(A217="","",COUNTIFS('MP내역(적극)'!$A:$A,A217)-COUNTIFS('MP내역(적극)'!$A:$A,A217,'MP내역(적극)'!$B:$B,"현금")-COUNTIFS('MP내역(적극)'!$A:$A,A217,'MP내역(적극)'!$B:$B,"예수금")-COUNTIFS('MP내역(적극)'!$A:$A,A217,'MP내역(적극)'!$B:$B,"예탁금")-COUNTIFS('MP내역(적극)'!$A:$A,A217,'MP내역(적극)'!$B:$B,"합계"))</f>
        <v/>
      </c>
      <c r="I217" s="15" t="str">
        <f>IF(A217="","",IF(COUNTIFS('MP내역(적극)'!A:A,A217,'MP내역(적극)'!G:G,"&gt;"&amp;#REF!,'MP내역(적극)'!D:D,"&lt;&gt;"&amp;#REF!,'MP내역(적극)'!D:D,"&lt;&gt;"&amp;#REF!,'MP내역(적극)'!B:B,"&lt;&gt;현금",'MP내역(적극)'!B:B,"&lt;&gt;합계")=0,"O","X"))</f>
        <v/>
      </c>
      <c r="J217" s="15" t="str">
        <f>IF(A217="","",IF(AND(ABS(#REF!-SUMIFS('MP내역(적극)'!G:G,'MP내역(적극)'!A:A,A217,'MP내역(적극)'!F:F,"Y"))&lt;0.001,ABS(#REF!-SUMIFS('MP내역(적극)'!G:G,'MP내역(적극)'!A:A,A217,'MP내역(적극)'!B:B,"&lt;&gt;합계"))&lt;0.001),"O","X"))</f>
        <v/>
      </c>
      <c r="K217" s="15" t="str">
        <f>IF(A217="","",IF(COUNTIFS('MP내역(적극)'!A:A,A217,'MP내역(적극)'!H:H,"X")=0,"O","X"))</f>
        <v/>
      </c>
      <c r="L217" s="14"/>
    </row>
    <row r="218" spans="4:12" x14ac:dyDescent="0.3">
      <c r="D218" s="14"/>
      <c r="E218" s="15"/>
      <c r="G218" s="15" t="str">
        <f>IF(A218="","",IFERROR(IF(#REF!&gt;VLOOKUP(A218,'포트변경내역(중립)'!A:C,10,0),"O","X"),""))</f>
        <v/>
      </c>
      <c r="H218" s="15" t="str">
        <f>IF(A218="","",COUNTIFS('MP내역(적극)'!$A:$A,A218)-COUNTIFS('MP내역(적극)'!$A:$A,A218,'MP내역(적극)'!$B:$B,"현금")-COUNTIFS('MP내역(적극)'!$A:$A,A218,'MP내역(적극)'!$B:$B,"예수금")-COUNTIFS('MP내역(적극)'!$A:$A,A218,'MP내역(적극)'!$B:$B,"예탁금")-COUNTIFS('MP내역(적극)'!$A:$A,A218,'MP내역(적극)'!$B:$B,"합계"))</f>
        <v/>
      </c>
      <c r="I218" s="15" t="str">
        <f>IF(A218="","",IF(COUNTIFS('MP내역(적극)'!A:A,A218,'MP내역(적극)'!G:G,"&gt;"&amp;#REF!,'MP내역(적극)'!D:D,"&lt;&gt;"&amp;#REF!,'MP내역(적극)'!D:D,"&lt;&gt;"&amp;#REF!,'MP내역(적극)'!B:B,"&lt;&gt;현금",'MP내역(적극)'!B:B,"&lt;&gt;합계")=0,"O","X"))</f>
        <v/>
      </c>
      <c r="J218" s="15" t="str">
        <f>IF(A218="","",IF(AND(ABS(#REF!-SUMIFS('MP내역(적극)'!G:G,'MP내역(적극)'!A:A,A218,'MP내역(적극)'!F:F,"Y"))&lt;0.001,ABS(#REF!-SUMIFS('MP내역(적극)'!G:G,'MP내역(적극)'!A:A,A218,'MP내역(적극)'!B:B,"&lt;&gt;합계"))&lt;0.001),"O","X"))</f>
        <v/>
      </c>
      <c r="K218" s="15" t="str">
        <f>IF(A218="","",IF(COUNTIFS('MP내역(적극)'!A:A,A218,'MP내역(적극)'!H:H,"X")=0,"O","X"))</f>
        <v/>
      </c>
      <c r="L218" s="14"/>
    </row>
    <row r="219" spans="4:12" x14ac:dyDescent="0.3">
      <c r="D219" s="14"/>
      <c r="E219" s="15"/>
      <c r="G219" s="15" t="str">
        <f>IF(A219="","",IFERROR(IF(#REF!&gt;VLOOKUP(A219,'포트변경내역(중립)'!A:C,10,0),"O","X"),""))</f>
        <v/>
      </c>
      <c r="H219" s="15" t="str">
        <f>IF(A219="","",COUNTIFS('MP내역(적극)'!$A:$A,A219)-COUNTIFS('MP내역(적극)'!$A:$A,A219,'MP내역(적극)'!$B:$B,"현금")-COUNTIFS('MP내역(적극)'!$A:$A,A219,'MP내역(적극)'!$B:$B,"예수금")-COUNTIFS('MP내역(적극)'!$A:$A,A219,'MP내역(적극)'!$B:$B,"예탁금")-COUNTIFS('MP내역(적극)'!$A:$A,A219,'MP내역(적극)'!$B:$B,"합계"))</f>
        <v/>
      </c>
      <c r="I219" s="15" t="str">
        <f>IF(A219="","",IF(COUNTIFS('MP내역(적극)'!A:A,A219,'MP내역(적극)'!G:G,"&gt;"&amp;#REF!,'MP내역(적극)'!D:D,"&lt;&gt;"&amp;#REF!,'MP내역(적극)'!D:D,"&lt;&gt;"&amp;#REF!,'MP내역(적극)'!B:B,"&lt;&gt;현금",'MP내역(적극)'!B:B,"&lt;&gt;합계")=0,"O","X"))</f>
        <v/>
      </c>
      <c r="J219" s="15" t="str">
        <f>IF(A219="","",IF(AND(ABS(#REF!-SUMIFS('MP내역(적극)'!G:G,'MP내역(적극)'!A:A,A219,'MP내역(적극)'!F:F,"Y"))&lt;0.001,ABS(#REF!-SUMIFS('MP내역(적극)'!G:G,'MP내역(적극)'!A:A,A219,'MP내역(적극)'!B:B,"&lt;&gt;합계"))&lt;0.001),"O","X"))</f>
        <v/>
      </c>
      <c r="K219" s="15" t="str">
        <f>IF(A219="","",IF(COUNTIFS('MP내역(적극)'!A:A,A219,'MP내역(적극)'!H:H,"X")=0,"O","X"))</f>
        <v/>
      </c>
      <c r="L219" s="14"/>
    </row>
    <row r="220" spans="4:12" x14ac:dyDescent="0.3">
      <c r="D220" s="14"/>
      <c r="E220" s="15"/>
      <c r="G220" s="15" t="str">
        <f>IF(A220="","",IFERROR(IF(#REF!&gt;VLOOKUP(A220,'포트변경내역(중립)'!A:C,10,0),"O","X"),""))</f>
        <v/>
      </c>
      <c r="H220" s="15" t="str">
        <f>IF(A220="","",COUNTIFS('MP내역(적극)'!$A:$A,A220)-COUNTIFS('MP내역(적극)'!$A:$A,A220,'MP내역(적극)'!$B:$B,"현금")-COUNTIFS('MP내역(적극)'!$A:$A,A220,'MP내역(적극)'!$B:$B,"예수금")-COUNTIFS('MP내역(적극)'!$A:$A,A220,'MP내역(적극)'!$B:$B,"예탁금")-COUNTIFS('MP내역(적극)'!$A:$A,A220,'MP내역(적극)'!$B:$B,"합계"))</f>
        <v/>
      </c>
      <c r="I220" s="15" t="str">
        <f>IF(A220="","",IF(COUNTIFS('MP내역(적극)'!A:A,A220,'MP내역(적극)'!G:G,"&gt;"&amp;#REF!,'MP내역(적극)'!D:D,"&lt;&gt;"&amp;#REF!,'MP내역(적극)'!D:D,"&lt;&gt;"&amp;#REF!,'MP내역(적극)'!B:B,"&lt;&gt;현금",'MP내역(적극)'!B:B,"&lt;&gt;합계")=0,"O","X"))</f>
        <v/>
      </c>
      <c r="J220" s="15" t="str">
        <f>IF(A220="","",IF(AND(ABS(#REF!-SUMIFS('MP내역(적극)'!G:G,'MP내역(적극)'!A:A,A220,'MP내역(적극)'!F:F,"Y"))&lt;0.001,ABS(#REF!-SUMIFS('MP내역(적극)'!G:G,'MP내역(적극)'!A:A,A220,'MP내역(적극)'!B:B,"&lt;&gt;합계"))&lt;0.001),"O","X"))</f>
        <v/>
      </c>
      <c r="K220" s="15" t="str">
        <f>IF(A220="","",IF(COUNTIFS('MP내역(적극)'!A:A,A220,'MP내역(적극)'!H:H,"X")=0,"O","X"))</f>
        <v/>
      </c>
      <c r="L220" s="14"/>
    </row>
    <row r="221" spans="4:12" x14ac:dyDescent="0.3">
      <c r="D221" s="14"/>
      <c r="E221" s="15"/>
      <c r="G221" s="15" t="str">
        <f>IF(A221="","",IFERROR(IF(#REF!&gt;VLOOKUP(A221,'포트변경내역(중립)'!A:C,10,0),"O","X"),""))</f>
        <v/>
      </c>
      <c r="H221" s="15" t="str">
        <f>IF(A221="","",COUNTIFS('MP내역(적극)'!$A:$A,A221)-COUNTIFS('MP내역(적극)'!$A:$A,A221,'MP내역(적극)'!$B:$B,"현금")-COUNTIFS('MP내역(적극)'!$A:$A,A221,'MP내역(적극)'!$B:$B,"예수금")-COUNTIFS('MP내역(적극)'!$A:$A,A221,'MP내역(적극)'!$B:$B,"예탁금")-COUNTIFS('MP내역(적극)'!$A:$A,A221,'MP내역(적극)'!$B:$B,"합계"))</f>
        <v/>
      </c>
      <c r="I221" s="15" t="str">
        <f>IF(A221="","",IF(COUNTIFS('MP내역(적극)'!A:A,A221,'MP내역(적극)'!G:G,"&gt;"&amp;#REF!,'MP내역(적극)'!D:D,"&lt;&gt;"&amp;#REF!,'MP내역(적극)'!D:D,"&lt;&gt;"&amp;#REF!,'MP내역(적극)'!B:B,"&lt;&gt;현금",'MP내역(적극)'!B:B,"&lt;&gt;합계")=0,"O","X"))</f>
        <v/>
      </c>
      <c r="J221" s="15" t="str">
        <f>IF(A221="","",IF(AND(ABS(#REF!-SUMIFS('MP내역(적극)'!G:G,'MP내역(적극)'!A:A,A221,'MP내역(적극)'!F:F,"Y"))&lt;0.001,ABS(#REF!-SUMIFS('MP내역(적극)'!G:G,'MP내역(적극)'!A:A,A221,'MP내역(적극)'!B:B,"&lt;&gt;합계"))&lt;0.001),"O","X"))</f>
        <v/>
      </c>
      <c r="K221" s="15" t="str">
        <f>IF(A221="","",IF(COUNTIFS('MP내역(적극)'!A:A,A221,'MP내역(적극)'!H:H,"X")=0,"O","X"))</f>
        <v/>
      </c>
      <c r="L221" s="14"/>
    </row>
    <row r="222" spans="4:12" x14ac:dyDescent="0.3">
      <c r="D222" s="14"/>
      <c r="E222" s="15"/>
      <c r="G222" s="15" t="str">
        <f>IF(A222="","",IFERROR(IF(#REF!&gt;VLOOKUP(A222,'포트변경내역(중립)'!A:C,10,0),"O","X"),""))</f>
        <v/>
      </c>
      <c r="H222" s="15" t="str">
        <f>IF(A222="","",COUNTIFS('MP내역(적극)'!$A:$A,A222)-COUNTIFS('MP내역(적극)'!$A:$A,A222,'MP내역(적극)'!$B:$B,"현금")-COUNTIFS('MP내역(적극)'!$A:$A,A222,'MP내역(적극)'!$B:$B,"예수금")-COUNTIFS('MP내역(적극)'!$A:$A,A222,'MP내역(적극)'!$B:$B,"예탁금")-COUNTIFS('MP내역(적극)'!$A:$A,A222,'MP내역(적극)'!$B:$B,"합계"))</f>
        <v/>
      </c>
      <c r="I222" s="15" t="str">
        <f>IF(A222="","",IF(COUNTIFS('MP내역(적극)'!A:A,A222,'MP내역(적극)'!G:G,"&gt;"&amp;#REF!,'MP내역(적극)'!D:D,"&lt;&gt;"&amp;#REF!,'MP내역(적극)'!D:D,"&lt;&gt;"&amp;#REF!,'MP내역(적극)'!B:B,"&lt;&gt;현금",'MP내역(적극)'!B:B,"&lt;&gt;합계")=0,"O","X"))</f>
        <v/>
      </c>
      <c r="J222" s="15" t="str">
        <f>IF(A222="","",IF(AND(ABS(#REF!-SUMIFS('MP내역(적극)'!G:G,'MP내역(적극)'!A:A,A222,'MP내역(적극)'!F:F,"Y"))&lt;0.001,ABS(#REF!-SUMIFS('MP내역(적극)'!G:G,'MP내역(적극)'!A:A,A222,'MP내역(적극)'!B:B,"&lt;&gt;합계"))&lt;0.001),"O","X"))</f>
        <v/>
      </c>
      <c r="K222" s="15" t="str">
        <f>IF(A222="","",IF(COUNTIFS('MP내역(적극)'!A:A,A222,'MP내역(적극)'!H:H,"X")=0,"O","X"))</f>
        <v/>
      </c>
      <c r="L222" s="14"/>
    </row>
    <row r="223" spans="4:12" x14ac:dyDescent="0.3">
      <c r="D223" s="14"/>
      <c r="E223" s="15"/>
      <c r="G223" s="15" t="str">
        <f>IF(A223="","",IFERROR(IF(#REF!&gt;VLOOKUP(A223,'포트변경내역(중립)'!A:C,10,0),"O","X"),""))</f>
        <v/>
      </c>
      <c r="H223" s="15" t="str">
        <f>IF(A223="","",COUNTIFS('MP내역(적극)'!$A:$A,A223)-COUNTIFS('MP내역(적극)'!$A:$A,A223,'MP내역(적극)'!$B:$B,"현금")-COUNTIFS('MP내역(적극)'!$A:$A,A223,'MP내역(적극)'!$B:$B,"예수금")-COUNTIFS('MP내역(적극)'!$A:$A,A223,'MP내역(적극)'!$B:$B,"예탁금")-COUNTIFS('MP내역(적극)'!$A:$A,A223,'MP내역(적극)'!$B:$B,"합계"))</f>
        <v/>
      </c>
      <c r="I223" s="15" t="str">
        <f>IF(A223="","",IF(COUNTIFS('MP내역(적극)'!A:A,A223,'MP내역(적극)'!G:G,"&gt;"&amp;#REF!,'MP내역(적극)'!D:D,"&lt;&gt;"&amp;#REF!,'MP내역(적극)'!D:D,"&lt;&gt;"&amp;#REF!,'MP내역(적극)'!B:B,"&lt;&gt;현금",'MP내역(적극)'!B:B,"&lt;&gt;합계")=0,"O","X"))</f>
        <v/>
      </c>
      <c r="J223" s="15" t="str">
        <f>IF(A223="","",IF(AND(ABS(#REF!-SUMIFS('MP내역(적극)'!G:G,'MP내역(적극)'!A:A,A223,'MP내역(적극)'!F:F,"Y"))&lt;0.001,ABS(#REF!-SUMIFS('MP내역(적극)'!G:G,'MP내역(적극)'!A:A,A223,'MP내역(적극)'!B:B,"&lt;&gt;합계"))&lt;0.001),"O","X"))</f>
        <v/>
      </c>
      <c r="K223" s="15" t="str">
        <f>IF(A223="","",IF(COUNTIFS('MP내역(적극)'!A:A,A223,'MP내역(적극)'!H:H,"X")=0,"O","X"))</f>
        <v/>
      </c>
      <c r="L223" s="14"/>
    </row>
    <row r="224" spans="4:12" x14ac:dyDescent="0.3">
      <c r="D224" s="14"/>
      <c r="E224" s="15"/>
      <c r="G224" s="15" t="str">
        <f>IF(A224="","",IFERROR(IF(#REF!&gt;VLOOKUP(A224,'포트변경내역(중립)'!A:C,10,0),"O","X"),""))</f>
        <v/>
      </c>
      <c r="H224" s="15" t="str">
        <f>IF(A224="","",COUNTIFS('MP내역(적극)'!$A:$A,A224)-COUNTIFS('MP내역(적극)'!$A:$A,A224,'MP내역(적극)'!$B:$B,"현금")-COUNTIFS('MP내역(적극)'!$A:$A,A224,'MP내역(적극)'!$B:$B,"예수금")-COUNTIFS('MP내역(적극)'!$A:$A,A224,'MP내역(적극)'!$B:$B,"예탁금")-COUNTIFS('MP내역(적극)'!$A:$A,A224,'MP내역(적극)'!$B:$B,"합계"))</f>
        <v/>
      </c>
      <c r="I224" s="15" t="str">
        <f>IF(A224="","",IF(COUNTIFS('MP내역(적극)'!A:A,A224,'MP내역(적극)'!G:G,"&gt;"&amp;#REF!,'MP내역(적극)'!D:D,"&lt;&gt;"&amp;#REF!,'MP내역(적극)'!D:D,"&lt;&gt;"&amp;#REF!,'MP내역(적극)'!B:B,"&lt;&gt;현금",'MP내역(적극)'!B:B,"&lt;&gt;합계")=0,"O","X"))</f>
        <v/>
      </c>
      <c r="J224" s="15" t="str">
        <f>IF(A224="","",IF(AND(ABS(#REF!-SUMIFS('MP내역(적극)'!G:G,'MP내역(적극)'!A:A,A224,'MP내역(적극)'!F:F,"Y"))&lt;0.001,ABS(#REF!-SUMIFS('MP내역(적극)'!G:G,'MP내역(적극)'!A:A,A224,'MP내역(적극)'!B:B,"&lt;&gt;합계"))&lt;0.001),"O","X"))</f>
        <v/>
      </c>
      <c r="K224" s="15" t="str">
        <f>IF(A224="","",IF(COUNTIFS('MP내역(적극)'!A:A,A224,'MP내역(적극)'!H:H,"X")=0,"O","X"))</f>
        <v/>
      </c>
      <c r="L224" s="14"/>
    </row>
    <row r="225" spans="4:12" x14ac:dyDescent="0.3">
      <c r="D225" s="14"/>
      <c r="E225" s="15"/>
      <c r="G225" s="15" t="str">
        <f>IF(A225="","",IFERROR(IF(#REF!&gt;VLOOKUP(A225,'포트변경내역(중립)'!A:C,10,0),"O","X"),""))</f>
        <v/>
      </c>
      <c r="H225" s="15" t="str">
        <f>IF(A225="","",COUNTIFS('MP내역(적극)'!$A:$A,A225)-COUNTIFS('MP내역(적극)'!$A:$A,A225,'MP내역(적극)'!$B:$B,"현금")-COUNTIFS('MP내역(적극)'!$A:$A,A225,'MP내역(적극)'!$B:$B,"예수금")-COUNTIFS('MP내역(적극)'!$A:$A,A225,'MP내역(적극)'!$B:$B,"예탁금")-COUNTIFS('MP내역(적극)'!$A:$A,A225,'MP내역(적극)'!$B:$B,"합계"))</f>
        <v/>
      </c>
      <c r="I225" s="15" t="str">
        <f>IF(A225="","",IF(COUNTIFS('MP내역(적극)'!A:A,A225,'MP내역(적극)'!G:G,"&gt;"&amp;#REF!,'MP내역(적극)'!D:D,"&lt;&gt;"&amp;#REF!,'MP내역(적극)'!D:D,"&lt;&gt;"&amp;#REF!,'MP내역(적극)'!B:B,"&lt;&gt;현금",'MP내역(적극)'!B:B,"&lt;&gt;합계")=0,"O","X"))</f>
        <v/>
      </c>
      <c r="J225" s="15" t="str">
        <f>IF(A225="","",IF(AND(ABS(#REF!-SUMIFS('MP내역(적극)'!G:G,'MP내역(적극)'!A:A,A225,'MP내역(적극)'!F:F,"Y"))&lt;0.001,ABS(#REF!-SUMIFS('MP내역(적극)'!G:G,'MP내역(적극)'!A:A,A225,'MP내역(적극)'!B:B,"&lt;&gt;합계"))&lt;0.001),"O","X"))</f>
        <v/>
      </c>
      <c r="K225" s="15" t="str">
        <f>IF(A225="","",IF(COUNTIFS('MP내역(적극)'!A:A,A225,'MP내역(적극)'!H:H,"X")=0,"O","X"))</f>
        <v/>
      </c>
      <c r="L225" s="14"/>
    </row>
    <row r="226" spans="4:12" x14ac:dyDescent="0.3">
      <c r="D226" s="14"/>
      <c r="E226" s="15"/>
      <c r="G226" s="15" t="str">
        <f>IF(A226="","",IFERROR(IF(#REF!&gt;VLOOKUP(A226,'포트변경내역(중립)'!A:C,10,0),"O","X"),""))</f>
        <v/>
      </c>
      <c r="H226" s="15" t="str">
        <f>IF(A226="","",COUNTIFS('MP내역(적극)'!$A:$A,A226)-COUNTIFS('MP내역(적극)'!$A:$A,A226,'MP내역(적극)'!$B:$B,"현금")-COUNTIFS('MP내역(적극)'!$A:$A,A226,'MP내역(적극)'!$B:$B,"예수금")-COUNTIFS('MP내역(적극)'!$A:$A,A226,'MP내역(적극)'!$B:$B,"예탁금")-COUNTIFS('MP내역(적극)'!$A:$A,A226,'MP내역(적극)'!$B:$B,"합계"))</f>
        <v/>
      </c>
      <c r="I226" s="15" t="str">
        <f>IF(A226="","",IF(COUNTIFS('MP내역(적극)'!A:A,A226,'MP내역(적극)'!G:G,"&gt;"&amp;#REF!,'MP내역(적극)'!D:D,"&lt;&gt;"&amp;#REF!,'MP내역(적극)'!D:D,"&lt;&gt;"&amp;#REF!,'MP내역(적극)'!B:B,"&lt;&gt;현금",'MP내역(적극)'!B:B,"&lt;&gt;합계")=0,"O","X"))</f>
        <v/>
      </c>
      <c r="J226" s="15" t="str">
        <f>IF(A226="","",IF(AND(ABS(#REF!-SUMIFS('MP내역(적극)'!G:G,'MP내역(적극)'!A:A,A226,'MP내역(적극)'!F:F,"Y"))&lt;0.001,ABS(#REF!-SUMIFS('MP내역(적극)'!G:G,'MP내역(적극)'!A:A,A226,'MP내역(적극)'!B:B,"&lt;&gt;합계"))&lt;0.001),"O","X"))</f>
        <v/>
      </c>
      <c r="K226" s="15" t="str">
        <f>IF(A226="","",IF(COUNTIFS('MP내역(적극)'!A:A,A226,'MP내역(적극)'!H:H,"X")=0,"O","X"))</f>
        <v/>
      </c>
      <c r="L226" s="14"/>
    </row>
    <row r="227" spans="4:12" x14ac:dyDescent="0.3">
      <c r="D227" s="14"/>
      <c r="E227" s="15"/>
      <c r="G227" s="15" t="str">
        <f>IF(A227="","",IFERROR(IF(#REF!&gt;VLOOKUP(A227,'포트변경내역(중립)'!A:C,10,0),"O","X"),""))</f>
        <v/>
      </c>
      <c r="H227" s="15" t="str">
        <f>IF(A227="","",COUNTIFS('MP내역(적극)'!$A:$A,A227)-COUNTIFS('MP내역(적극)'!$A:$A,A227,'MP내역(적극)'!$B:$B,"현금")-COUNTIFS('MP내역(적극)'!$A:$A,A227,'MP내역(적극)'!$B:$B,"예수금")-COUNTIFS('MP내역(적극)'!$A:$A,A227,'MP내역(적극)'!$B:$B,"예탁금")-COUNTIFS('MP내역(적극)'!$A:$A,A227,'MP내역(적극)'!$B:$B,"합계"))</f>
        <v/>
      </c>
      <c r="I227" s="15" t="str">
        <f>IF(A227="","",IF(COUNTIFS('MP내역(적극)'!A:A,A227,'MP내역(적극)'!G:G,"&gt;"&amp;#REF!,'MP내역(적극)'!D:D,"&lt;&gt;"&amp;#REF!,'MP내역(적극)'!D:D,"&lt;&gt;"&amp;#REF!,'MP내역(적극)'!B:B,"&lt;&gt;현금",'MP내역(적극)'!B:B,"&lt;&gt;합계")=0,"O","X"))</f>
        <v/>
      </c>
      <c r="J227" s="15" t="str">
        <f>IF(A227="","",IF(AND(ABS(#REF!-SUMIFS('MP내역(적극)'!G:G,'MP내역(적극)'!A:A,A227,'MP내역(적극)'!F:F,"Y"))&lt;0.001,ABS(#REF!-SUMIFS('MP내역(적극)'!G:G,'MP내역(적극)'!A:A,A227,'MP내역(적극)'!B:B,"&lt;&gt;합계"))&lt;0.001),"O","X"))</f>
        <v/>
      </c>
      <c r="K227" s="15" t="str">
        <f>IF(A227="","",IF(COUNTIFS('MP내역(적극)'!A:A,A227,'MP내역(적극)'!H:H,"X")=0,"O","X"))</f>
        <v/>
      </c>
      <c r="L227" s="14"/>
    </row>
    <row r="228" spans="4:12" x14ac:dyDescent="0.3">
      <c r="D228" s="14"/>
      <c r="E228" s="15"/>
      <c r="G228" s="15" t="str">
        <f>IF(A228="","",IFERROR(IF(#REF!&gt;VLOOKUP(A228,'포트변경내역(중립)'!A:C,10,0),"O","X"),""))</f>
        <v/>
      </c>
      <c r="H228" s="15" t="str">
        <f>IF(A228="","",COUNTIFS('MP내역(적극)'!$A:$A,A228)-COUNTIFS('MP내역(적극)'!$A:$A,A228,'MP내역(적극)'!$B:$B,"현금")-COUNTIFS('MP내역(적극)'!$A:$A,A228,'MP내역(적극)'!$B:$B,"예수금")-COUNTIFS('MP내역(적극)'!$A:$A,A228,'MP내역(적극)'!$B:$B,"예탁금")-COUNTIFS('MP내역(적극)'!$A:$A,A228,'MP내역(적극)'!$B:$B,"합계"))</f>
        <v/>
      </c>
      <c r="I228" s="15" t="str">
        <f>IF(A228="","",IF(COUNTIFS('MP내역(적극)'!A:A,A228,'MP내역(적극)'!G:G,"&gt;"&amp;#REF!,'MP내역(적극)'!D:D,"&lt;&gt;"&amp;#REF!,'MP내역(적극)'!D:D,"&lt;&gt;"&amp;#REF!,'MP내역(적극)'!B:B,"&lt;&gt;현금",'MP내역(적극)'!B:B,"&lt;&gt;합계")=0,"O","X"))</f>
        <v/>
      </c>
      <c r="J228" s="15" t="str">
        <f>IF(A228="","",IF(AND(ABS(#REF!-SUMIFS('MP내역(적극)'!G:G,'MP내역(적극)'!A:A,A228,'MP내역(적극)'!F:F,"Y"))&lt;0.001,ABS(#REF!-SUMIFS('MP내역(적극)'!G:G,'MP내역(적극)'!A:A,A228,'MP내역(적극)'!B:B,"&lt;&gt;합계"))&lt;0.001),"O","X"))</f>
        <v/>
      </c>
      <c r="K228" s="15" t="str">
        <f>IF(A228="","",IF(COUNTIFS('MP내역(적극)'!A:A,A228,'MP내역(적극)'!H:H,"X")=0,"O","X"))</f>
        <v/>
      </c>
      <c r="L228" s="14"/>
    </row>
    <row r="229" spans="4:12" x14ac:dyDescent="0.3">
      <c r="D229" s="14"/>
      <c r="E229" s="15"/>
      <c r="G229" s="15" t="str">
        <f>IF(A229="","",IFERROR(IF(#REF!&gt;VLOOKUP(A229,'포트변경내역(중립)'!A:C,10,0),"O","X"),""))</f>
        <v/>
      </c>
      <c r="H229" s="15" t="str">
        <f>IF(A229="","",COUNTIFS('MP내역(적극)'!$A:$A,A229)-COUNTIFS('MP내역(적극)'!$A:$A,A229,'MP내역(적극)'!$B:$B,"현금")-COUNTIFS('MP내역(적극)'!$A:$A,A229,'MP내역(적극)'!$B:$B,"예수금")-COUNTIFS('MP내역(적극)'!$A:$A,A229,'MP내역(적극)'!$B:$B,"예탁금")-COUNTIFS('MP내역(적극)'!$A:$A,A229,'MP내역(적극)'!$B:$B,"합계"))</f>
        <v/>
      </c>
      <c r="I229" s="15" t="str">
        <f>IF(A229="","",IF(COUNTIFS('MP내역(적극)'!A:A,A229,'MP내역(적극)'!G:G,"&gt;"&amp;#REF!,'MP내역(적극)'!D:D,"&lt;&gt;"&amp;#REF!,'MP내역(적극)'!D:D,"&lt;&gt;"&amp;#REF!,'MP내역(적극)'!B:B,"&lt;&gt;현금",'MP내역(적극)'!B:B,"&lt;&gt;합계")=0,"O","X"))</f>
        <v/>
      </c>
      <c r="J229" s="15" t="str">
        <f>IF(A229="","",IF(AND(ABS(#REF!-SUMIFS('MP내역(적극)'!G:G,'MP내역(적극)'!A:A,A229,'MP내역(적극)'!F:F,"Y"))&lt;0.001,ABS(#REF!-SUMIFS('MP내역(적극)'!G:G,'MP내역(적극)'!A:A,A229,'MP내역(적극)'!B:B,"&lt;&gt;합계"))&lt;0.001),"O","X"))</f>
        <v/>
      </c>
      <c r="K229" s="15" t="str">
        <f>IF(A229="","",IF(COUNTIFS('MP내역(적극)'!A:A,A229,'MP내역(적극)'!H:H,"X")=0,"O","X"))</f>
        <v/>
      </c>
      <c r="L229" s="14"/>
    </row>
    <row r="230" spans="4:12" x14ac:dyDescent="0.3">
      <c r="D230" s="14"/>
      <c r="E230" s="15"/>
      <c r="G230" s="15" t="str">
        <f>IF(A230="","",IFERROR(IF(#REF!&gt;VLOOKUP(A230,'포트변경내역(중립)'!A:C,10,0),"O","X"),""))</f>
        <v/>
      </c>
      <c r="H230" s="15" t="str">
        <f>IF(A230="","",COUNTIFS('MP내역(적극)'!$A:$A,A230)-COUNTIFS('MP내역(적극)'!$A:$A,A230,'MP내역(적극)'!$B:$B,"현금")-COUNTIFS('MP내역(적극)'!$A:$A,A230,'MP내역(적극)'!$B:$B,"예수금")-COUNTIFS('MP내역(적극)'!$A:$A,A230,'MP내역(적극)'!$B:$B,"예탁금")-COUNTIFS('MP내역(적극)'!$A:$A,A230,'MP내역(적극)'!$B:$B,"합계"))</f>
        <v/>
      </c>
      <c r="I230" s="15" t="str">
        <f>IF(A230="","",IF(COUNTIFS('MP내역(적극)'!A:A,A230,'MP내역(적극)'!G:G,"&gt;"&amp;#REF!,'MP내역(적극)'!D:D,"&lt;&gt;"&amp;#REF!,'MP내역(적극)'!D:D,"&lt;&gt;"&amp;#REF!,'MP내역(적극)'!B:B,"&lt;&gt;현금",'MP내역(적극)'!B:B,"&lt;&gt;합계")=0,"O","X"))</f>
        <v/>
      </c>
      <c r="J230" s="15" t="str">
        <f>IF(A230="","",IF(AND(ABS(#REF!-SUMIFS('MP내역(적극)'!G:G,'MP내역(적극)'!A:A,A230,'MP내역(적극)'!F:F,"Y"))&lt;0.001,ABS(#REF!-SUMIFS('MP내역(적극)'!G:G,'MP내역(적극)'!A:A,A230,'MP내역(적극)'!B:B,"&lt;&gt;합계"))&lt;0.001),"O","X"))</f>
        <v/>
      </c>
      <c r="K230" s="15" t="str">
        <f>IF(A230="","",IF(COUNTIFS('MP내역(적극)'!A:A,A230,'MP내역(적극)'!H:H,"X")=0,"O","X"))</f>
        <v/>
      </c>
      <c r="L230" s="14"/>
    </row>
    <row r="231" spans="4:12" x14ac:dyDescent="0.3">
      <c r="D231" s="14"/>
      <c r="E231" s="15"/>
      <c r="G231" s="15" t="str">
        <f>IF(A231="","",IFERROR(IF(#REF!&gt;VLOOKUP(A231,'포트변경내역(중립)'!A:C,10,0),"O","X"),""))</f>
        <v/>
      </c>
      <c r="H231" s="15" t="str">
        <f>IF(A231="","",COUNTIFS('MP내역(적극)'!$A:$A,A231)-COUNTIFS('MP내역(적극)'!$A:$A,A231,'MP내역(적극)'!$B:$B,"현금")-COUNTIFS('MP내역(적극)'!$A:$A,A231,'MP내역(적극)'!$B:$B,"예수금")-COUNTIFS('MP내역(적극)'!$A:$A,A231,'MP내역(적극)'!$B:$B,"예탁금")-COUNTIFS('MP내역(적극)'!$A:$A,A231,'MP내역(적극)'!$B:$B,"합계"))</f>
        <v/>
      </c>
      <c r="I231" s="15" t="str">
        <f>IF(A231="","",IF(COUNTIFS('MP내역(적극)'!A:A,A231,'MP내역(적극)'!G:G,"&gt;"&amp;#REF!,'MP내역(적극)'!D:D,"&lt;&gt;"&amp;#REF!,'MP내역(적극)'!D:D,"&lt;&gt;"&amp;#REF!,'MP내역(적극)'!B:B,"&lt;&gt;현금",'MP내역(적극)'!B:B,"&lt;&gt;합계")=0,"O","X"))</f>
        <v/>
      </c>
      <c r="J231" s="15" t="str">
        <f>IF(A231="","",IF(AND(ABS(#REF!-SUMIFS('MP내역(적극)'!G:G,'MP내역(적극)'!A:A,A231,'MP내역(적극)'!F:F,"Y"))&lt;0.001,ABS(#REF!-SUMIFS('MP내역(적극)'!G:G,'MP내역(적극)'!A:A,A231,'MP내역(적극)'!B:B,"&lt;&gt;합계"))&lt;0.001),"O","X"))</f>
        <v/>
      </c>
      <c r="K231" s="15" t="str">
        <f>IF(A231="","",IF(COUNTIFS('MP내역(적극)'!A:A,A231,'MP내역(적극)'!H:H,"X")=0,"O","X"))</f>
        <v/>
      </c>
      <c r="L231" s="14"/>
    </row>
    <row r="232" spans="4:12" x14ac:dyDescent="0.3">
      <c r="D232" s="14"/>
      <c r="E232" s="15"/>
      <c r="G232" s="15" t="str">
        <f>IF(A232="","",IFERROR(IF(#REF!&gt;VLOOKUP(A232,'포트변경내역(중립)'!A:C,10,0),"O","X"),""))</f>
        <v/>
      </c>
      <c r="H232" s="15" t="str">
        <f>IF(A232="","",COUNTIFS('MP내역(적극)'!$A:$A,A232)-COUNTIFS('MP내역(적극)'!$A:$A,A232,'MP내역(적극)'!$B:$B,"현금")-COUNTIFS('MP내역(적극)'!$A:$A,A232,'MP내역(적극)'!$B:$B,"예수금")-COUNTIFS('MP내역(적극)'!$A:$A,A232,'MP내역(적극)'!$B:$B,"예탁금")-COUNTIFS('MP내역(적극)'!$A:$A,A232,'MP내역(적극)'!$B:$B,"합계"))</f>
        <v/>
      </c>
      <c r="I232" s="15" t="str">
        <f>IF(A232="","",IF(COUNTIFS('MP내역(적극)'!A:A,A232,'MP내역(적극)'!G:G,"&gt;"&amp;#REF!,'MP내역(적극)'!D:D,"&lt;&gt;"&amp;#REF!,'MP내역(적극)'!D:D,"&lt;&gt;"&amp;#REF!,'MP내역(적극)'!B:B,"&lt;&gt;현금",'MP내역(적극)'!B:B,"&lt;&gt;합계")=0,"O","X"))</f>
        <v/>
      </c>
      <c r="J232" s="15" t="str">
        <f>IF(A232="","",IF(AND(ABS(#REF!-SUMIFS('MP내역(적극)'!G:G,'MP내역(적극)'!A:A,A232,'MP내역(적극)'!F:F,"Y"))&lt;0.001,ABS(#REF!-SUMIFS('MP내역(적극)'!G:G,'MP내역(적극)'!A:A,A232,'MP내역(적극)'!B:B,"&lt;&gt;합계"))&lt;0.001),"O","X"))</f>
        <v/>
      </c>
      <c r="K232" s="15" t="str">
        <f>IF(A232="","",IF(COUNTIFS('MP내역(적극)'!A:A,A232,'MP내역(적극)'!H:H,"X")=0,"O","X"))</f>
        <v/>
      </c>
      <c r="L232" s="14"/>
    </row>
    <row r="233" spans="4:12" x14ac:dyDescent="0.3">
      <c r="D233" s="14"/>
      <c r="E233" s="15"/>
      <c r="G233" s="15" t="str">
        <f>IF(A233="","",IFERROR(IF(#REF!&gt;VLOOKUP(A233,'포트변경내역(중립)'!A:C,10,0),"O","X"),""))</f>
        <v/>
      </c>
      <c r="H233" s="15" t="str">
        <f>IF(A233="","",COUNTIFS('MP내역(적극)'!$A:$A,A233)-COUNTIFS('MP내역(적극)'!$A:$A,A233,'MP내역(적극)'!$B:$B,"현금")-COUNTIFS('MP내역(적극)'!$A:$A,A233,'MP내역(적극)'!$B:$B,"예수금")-COUNTIFS('MP내역(적극)'!$A:$A,A233,'MP내역(적극)'!$B:$B,"예탁금")-COUNTIFS('MP내역(적극)'!$A:$A,A233,'MP내역(적극)'!$B:$B,"합계"))</f>
        <v/>
      </c>
      <c r="I233" s="15" t="str">
        <f>IF(A233="","",IF(COUNTIFS('MP내역(적극)'!A:A,A233,'MP내역(적극)'!G:G,"&gt;"&amp;#REF!,'MP내역(적극)'!D:D,"&lt;&gt;"&amp;#REF!,'MP내역(적극)'!D:D,"&lt;&gt;"&amp;#REF!,'MP내역(적극)'!B:B,"&lt;&gt;현금",'MP내역(적극)'!B:B,"&lt;&gt;합계")=0,"O","X"))</f>
        <v/>
      </c>
      <c r="J233" s="15" t="str">
        <f>IF(A233="","",IF(AND(ABS(#REF!-SUMIFS('MP내역(적극)'!G:G,'MP내역(적극)'!A:A,A233,'MP내역(적극)'!F:F,"Y"))&lt;0.001,ABS(#REF!-SUMIFS('MP내역(적극)'!G:G,'MP내역(적극)'!A:A,A233,'MP내역(적극)'!B:B,"&lt;&gt;합계"))&lt;0.001),"O","X"))</f>
        <v/>
      </c>
      <c r="K233" s="15" t="str">
        <f>IF(A233="","",IF(COUNTIFS('MP내역(적극)'!A:A,A233,'MP내역(적극)'!H:H,"X")=0,"O","X"))</f>
        <v/>
      </c>
      <c r="L233" s="14"/>
    </row>
    <row r="234" spans="4:12" x14ac:dyDescent="0.3">
      <c r="D234" s="14"/>
      <c r="E234" s="15"/>
      <c r="G234" s="15" t="str">
        <f>IF(A234="","",IFERROR(IF(#REF!&gt;VLOOKUP(A234,'포트변경내역(중립)'!A:C,10,0),"O","X"),""))</f>
        <v/>
      </c>
      <c r="H234" s="15" t="str">
        <f>IF(A234="","",COUNTIFS('MP내역(적극)'!$A:$A,A234)-COUNTIFS('MP내역(적극)'!$A:$A,A234,'MP내역(적극)'!$B:$B,"현금")-COUNTIFS('MP내역(적극)'!$A:$A,A234,'MP내역(적극)'!$B:$B,"예수금")-COUNTIFS('MP내역(적극)'!$A:$A,A234,'MP내역(적극)'!$B:$B,"예탁금")-COUNTIFS('MP내역(적극)'!$A:$A,A234,'MP내역(적극)'!$B:$B,"합계"))</f>
        <v/>
      </c>
      <c r="I234" s="15" t="str">
        <f>IF(A234="","",IF(COUNTIFS('MP내역(적극)'!A:A,A234,'MP내역(적극)'!G:G,"&gt;"&amp;#REF!,'MP내역(적극)'!D:D,"&lt;&gt;"&amp;#REF!,'MP내역(적극)'!D:D,"&lt;&gt;"&amp;#REF!,'MP내역(적극)'!B:B,"&lt;&gt;현금",'MP내역(적극)'!B:B,"&lt;&gt;합계")=0,"O","X"))</f>
        <v/>
      </c>
      <c r="J234" s="15" t="str">
        <f>IF(A234="","",IF(AND(ABS(#REF!-SUMIFS('MP내역(적극)'!G:G,'MP내역(적극)'!A:A,A234,'MP내역(적극)'!F:F,"Y"))&lt;0.001,ABS(#REF!-SUMIFS('MP내역(적극)'!G:G,'MP내역(적극)'!A:A,A234,'MP내역(적극)'!B:B,"&lt;&gt;합계"))&lt;0.001),"O","X"))</f>
        <v/>
      </c>
      <c r="K234" s="15" t="str">
        <f>IF(A234="","",IF(COUNTIFS('MP내역(적극)'!A:A,A234,'MP내역(적극)'!H:H,"X")=0,"O","X"))</f>
        <v/>
      </c>
      <c r="L234" s="14"/>
    </row>
    <row r="235" spans="4:12" x14ac:dyDescent="0.3">
      <c r="D235" s="14"/>
      <c r="E235" s="15"/>
      <c r="G235" s="15" t="str">
        <f>IF(A235="","",IFERROR(IF(#REF!&gt;VLOOKUP(A235,'포트변경내역(중립)'!A:C,10,0),"O","X"),""))</f>
        <v/>
      </c>
      <c r="H235" s="15" t="str">
        <f>IF(A235="","",COUNTIFS('MP내역(적극)'!$A:$A,A235)-COUNTIFS('MP내역(적극)'!$A:$A,A235,'MP내역(적극)'!$B:$B,"현금")-COUNTIFS('MP내역(적극)'!$A:$A,A235,'MP내역(적극)'!$B:$B,"예수금")-COUNTIFS('MP내역(적극)'!$A:$A,A235,'MP내역(적극)'!$B:$B,"예탁금")-COUNTIFS('MP내역(적극)'!$A:$A,A235,'MP내역(적극)'!$B:$B,"합계"))</f>
        <v/>
      </c>
      <c r="I235" s="15" t="str">
        <f>IF(A235="","",IF(COUNTIFS('MP내역(적극)'!A:A,A235,'MP내역(적극)'!G:G,"&gt;"&amp;#REF!,'MP내역(적극)'!D:D,"&lt;&gt;"&amp;#REF!,'MP내역(적극)'!D:D,"&lt;&gt;"&amp;#REF!,'MP내역(적극)'!B:B,"&lt;&gt;현금",'MP내역(적극)'!B:B,"&lt;&gt;합계")=0,"O","X"))</f>
        <v/>
      </c>
      <c r="J235" s="15" t="str">
        <f>IF(A235="","",IF(AND(ABS(#REF!-SUMIFS('MP내역(적극)'!G:G,'MP내역(적극)'!A:A,A235,'MP내역(적극)'!F:F,"Y"))&lt;0.001,ABS(#REF!-SUMIFS('MP내역(적극)'!G:G,'MP내역(적극)'!A:A,A235,'MP내역(적극)'!B:B,"&lt;&gt;합계"))&lt;0.001),"O","X"))</f>
        <v/>
      </c>
      <c r="K235" s="15" t="str">
        <f>IF(A235="","",IF(COUNTIFS('MP내역(적극)'!A:A,A235,'MP내역(적극)'!H:H,"X")=0,"O","X"))</f>
        <v/>
      </c>
      <c r="L235" s="14"/>
    </row>
    <row r="236" spans="4:12" x14ac:dyDescent="0.3">
      <c r="D236" s="14"/>
      <c r="E236" s="15"/>
      <c r="G236" s="15" t="str">
        <f>IF(A236="","",IFERROR(IF(#REF!&gt;VLOOKUP(A236,'포트변경내역(중립)'!A:C,10,0),"O","X"),""))</f>
        <v/>
      </c>
      <c r="H236" s="15" t="str">
        <f>IF(A236="","",COUNTIFS('MP내역(적극)'!$A:$A,A236)-COUNTIFS('MP내역(적극)'!$A:$A,A236,'MP내역(적극)'!$B:$B,"현금")-COUNTIFS('MP내역(적극)'!$A:$A,A236,'MP내역(적극)'!$B:$B,"예수금")-COUNTIFS('MP내역(적극)'!$A:$A,A236,'MP내역(적극)'!$B:$B,"예탁금")-COUNTIFS('MP내역(적극)'!$A:$A,A236,'MP내역(적극)'!$B:$B,"합계"))</f>
        <v/>
      </c>
      <c r="I236" s="15" t="str">
        <f>IF(A236="","",IF(COUNTIFS('MP내역(적극)'!A:A,A236,'MP내역(적극)'!G:G,"&gt;"&amp;#REF!,'MP내역(적극)'!D:D,"&lt;&gt;"&amp;#REF!,'MP내역(적극)'!D:D,"&lt;&gt;"&amp;#REF!,'MP내역(적극)'!B:B,"&lt;&gt;현금",'MP내역(적극)'!B:B,"&lt;&gt;합계")=0,"O","X"))</f>
        <v/>
      </c>
      <c r="J236" s="15" t="str">
        <f>IF(A236="","",IF(AND(ABS(#REF!-SUMIFS('MP내역(적극)'!G:G,'MP내역(적극)'!A:A,A236,'MP내역(적극)'!F:F,"Y"))&lt;0.001,ABS(#REF!-SUMIFS('MP내역(적극)'!G:G,'MP내역(적극)'!A:A,A236,'MP내역(적극)'!B:B,"&lt;&gt;합계"))&lt;0.001),"O","X"))</f>
        <v/>
      </c>
      <c r="K236" s="15" t="str">
        <f>IF(A236="","",IF(COUNTIFS('MP내역(적극)'!A:A,A236,'MP내역(적극)'!H:H,"X")=0,"O","X"))</f>
        <v/>
      </c>
      <c r="L236" s="14"/>
    </row>
    <row r="237" spans="4:12" x14ac:dyDescent="0.3">
      <c r="D237" s="14"/>
      <c r="E237" s="15"/>
      <c r="G237" s="15" t="str">
        <f>IF(A237="","",IFERROR(IF(#REF!&gt;VLOOKUP(A237,'포트변경내역(중립)'!A:C,10,0),"O","X"),""))</f>
        <v/>
      </c>
      <c r="H237" s="15" t="str">
        <f>IF(A237="","",COUNTIFS('MP내역(적극)'!$A:$A,A237)-COUNTIFS('MP내역(적극)'!$A:$A,A237,'MP내역(적극)'!$B:$B,"현금")-COUNTIFS('MP내역(적극)'!$A:$A,A237,'MP내역(적극)'!$B:$B,"예수금")-COUNTIFS('MP내역(적극)'!$A:$A,A237,'MP내역(적극)'!$B:$B,"예탁금")-COUNTIFS('MP내역(적극)'!$A:$A,A237,'MP내역(적극)'!$B:$B,"합계"))</f>
        <v/>
      </c>
      <c r="I237" s="15" t="str">
        <f>IF(A237="","",IF(COUNTIFS('MP내역(적극)'!A:A,A237,'MP내역(적극)'!G:G,"&gt;"&amp;#REF!,'MP내역(적극)'!D:D,"&lt;&gt;"&amp;#REF!,'MP내역(적극)'!D:D,"&lt;&gt;"&amp;#REF!,'MP내역(적극)'!B:B,"&lt;&gt;현금",'MP내역(적극)'!B:B,"&lt;&gt;합계")=0,"O","X"))</f>
        <v/>
      </c>
      <c r="J237" s="15" t="str">
        <f>IF(A237="","",IF(AND(ABS(#REF!-SUMIFS('MP내역(적극)'!G:G,'MP내역(적극)'!A:A,A237,'MP내역(적극)'!F:F,"Y"))&lt;0.001,ABS(#REF!-SUMIFS('MP내역(적극)'!G:G,'MP내역(적극)'!A:A,A237,'MP내역(적극)'!B:B,"&lt;&gt;합계"))&lt;0.001),"O","X"))</f>
        <v/>
      </c>
      <c r="K237" s="15" t="str">
        <f>IF(A237="","",IF(COUNTIFS('MP내역(적극)'!A:A,A237,'MP내역(적극)'!H:H,"X")=0,"O","X"))</f>
        <v/>
      </c>
      <c r="L237" s="14"/>
    </row>
    <row r="238" spans="4:12" x14ac:dyDescent="0.3">
      <c r="D238" s="14"/>
      <c r="E238" s="15"/>
      <c r="G238" s="15" t="str">
        <f>IF(A238="","",IFERROR(IF(#REF!&gt;VLOOKUP(A238,'포트변경내역(중립)'!A:C,10,0),"O","X"),""))</f>
        <v/>
      </c>
      <c r="H238" s="15" t="str">
        <f>IF(A238="","",COUNTIFS('MP내역(적극)'!$A:$A,A238)-COUNTIFS('MP내역(적극)'!$A:$A,A238,'MP내역(적극)'!$B:$B,"현금")-COUNTIFS('MP내역(적극)'!$A:$A,A238,'MP내역(적극)'!$B:$B,"예수금")-COUNTIFS('MP내역(적극)'!$A:$A,A238,'MP내역(적극)'!$B:$B,"예탁금")-COUNTIFS('MP내역(적극)'!$A:$A,A238,'MP내역(적극)'!$B:$B,"합계"))</f>
        <v/>
      </c>
      <c r="I238" s="15" t="str">
        <f>IF(A238="","",IF(COUNTIFS('MP내역(적극)'!A:A,A238,'MP내역(적극)'!G:G,"&gt;"&amp;#REF!,'MP내역(적극)'!D:D,"&lt;&gt;"&amp;#REF!,'MP내역(적극)'!D:D,"&lt;&gt;"&amp;#REF!,'MP내역(적극)'!B:B,"&lt;&gt;현금",'MP내역(적극)'!B:B,"&lt;&gt;합계")=0,"O","X"))</f>
        <v/>
      </c>
      <c r="J238" s="15" t="str">
        <f>IF(A238="","",IF(AND(ABS(#REF!-SUMIFS('MP내역(적극)'!G:G,'MP내역(적극)'!A:A,A238,'MP내역(적극)'!F:F,"Y"))&lt;0.001,ABS(#REF!-SUMIFS('MP내역(적극)'!G:G,'MP내역(적극)'!A:A,A238,'MP내역(적극)'!B:B,"&lt;&gt;합계"))&lt;0.001),"O","X"))</f>
        <v/>
      </c>
      <c r="K238" s="15" t="str">
        <f>IF(A238="","",IF(COUNTIFS('MP내역(적극)'!A:A,A238,'MP내역(적극)'!H:H,"X")=0,"O","X"))</f>
        <v/>
      </c>
      <c r="L238" s="14"/>
    </row>
    <row r="239" spans="4:12" x14ac:dyDescent="0.3">
      <c r="D239" s="14"/>
      <c r="E239" s="15"/>
      <c r="G239" s="15" t="str">
        <f>IF(A239="","",IFERROR(IF(#REF!&gt;VLOOKUP(A239,'포트변경내역(중립)'!A:C,10,0),"O","X"),""))</f>
        <v/>
      </c>
      <c r="H239" s="15" t="str">
        <f>IF(A239="","",COUNTIFS('MP내역(적극)'!$A:$A,A239)-COUNTIFS('MP내역(적극)'!$A:$A,A239,'MP내역(적극)'!$B:$B,"현금")-COUNTIFS('MP내역(적극)'!$A:$A,A239,'MP내역(적극)'!$B:$B,"예수금")-COUNTIFS('MP내역(적극)'!$A:$A,A239,'MP내역(적극)'!$B:$B,"예탁금")-COUNTIFS('MP내역(적극)'!$A:$A,A239,'MP내역(적극)'!$B:$B,"합계"))</f>
        <v/>
      </c>
      <c r="I239" s="15" t="str">
        <f>IF(A239="","",IF(COUNTIFS('MP내역(적극)'!A:A,A239,'MP내역(적극)'!G:G,"&gt;"&amp;#REF!,'MP내역(적극)'!D:D,"&lt;&gt;"&amp;#REF!,'MP내역(적극)'!D:D,"&lt;&gt;"&amp;#REF!,'MP내역(적극)'!B:B,"&lt;&gt;현금",'MP내역(적극)'!B:B,"&lt;&gt;합계")=0,"O","X"))</f>
        <v/>
      </c>
      <c r="J239" s="15" t="str">
        <f>IF(A239="","",IF(AND(ABS(#REF!-SUMIFS('MP내역(적극)'!G:G,'MP내역(적극)'!A:A,A239,'MP내역(적극)'!F:F,"Y"))&lt;0.001,ABS(#REF!-SUMIFS('MP내역(적극)'!G:G,'MP내역(적극)'!A:A,A239,'MP내역(적극)'!B:B,"&lt;&gt;합계"))&lt;0.001),"O","X"))</f>
        <v/>
      </c>
      <c r="K239" s="15" t="str">
        <f>IF(A239="","",IF(COUNTIFS('MP내역(적극)'!A:A,A239,'MP내역(적극)'!H:H,"X")=0,"O","X"))</f>
        <v/>
      </c>
      <c r="L239" s="14"/>
    </row>
    <row r="240" spans="4:12" x14ac:dyDescent="0.3">
      <c r="D240" s="14"/>
      <c r="E240" s="15"/>
      <c r="G240" s="15" t="str">
        <f>IF(A240="","",IFERROR(IF(#REF!&gt;VLOOKUP(A240,'포트변경내역(중립)'!A:C,10,0),"O","X"),""))</f>
        <v/>
      </c>
      <c r="H240" s="15" t="str">
        <f>IF(A240="","",COUNTIFS('MP내역(적극)'!$A:$A,A240)-COUNTIFS('MP내역(적극)'!$A:$A,A240,'MP내역(적극)'!$B:$B,"현금")-COUNTIFS('MP내역(적극)'!$A:$A,A240,'MP내역(적극)'!$B:$B,"예수금")-COUNTIFS('MP내역(적극)'!$A:$A,A240,'MP내역(적극)'!$B:$B,"예탁금")-COUNTIFS('MP내역(적극)'!$A:$A,A240,'MP내역(적극)'!$B:$B,"합계"))</f>
        <v/>
      </c>
      <c r="I240" s="15" t="str">
        <f>IF(A240="","",IF(COUNTIFS('MP내역(적극)'!A:A,A240,'MP내역(적극)'!G:G,"&gt;"&amp;#REF!,'MP내역(적극)'!D:D,"&lt;&gt;"&amp;#REF!,'MP내역(적극)'!D:D,"&lt;&gt;"&amp;#REF!,'MP내역(적극)'!B:B,"&lt;&gt;현금",'MP내역(적극)'!B:B,"&lt;&gt;합계")=0,"O","X"))</f>
        <v/>
      </c>
      <c r="J240" s="15" t="str">
        <f>IF(A240="","",IF(AND(ABS(#REF!-SUMIFS('MP내역(적극)'!G:G,'MP내역(적극)'!A:A,A240,'MP내역(적극)'!F:F,"Y"))&lt;0.001,ABS(#REF!-SUMIFS('MP내역(적극)'!G:G,'MP내역(적극)'!A:A,A240,'MP내역(적극)'!B:B,"&lt;&gt;합계"))&lt;0.001),"O","X"))</f>
        <v/>
      </c>
      <c r="K240" s="15" t="str">
        <f>IF(A240="","",IF(COUNTIFS('MP내역(적극)'!A:A,A240,'MP내역(적극)'!H:H,"X")=0,"O","X"))</f>
        <v/>
      </c>
      <c r="L240" s="14"/>
    </row>
    <row r="241" spans="4:12" x14ac:dyDescent="0.3">
      <c r="D241" s="14"/>
      <c r="E241" s="15"/>
      <c r="G241" s="15" t="str">
        <f>IF(A241="","",IFERROR(IF(#REF!&gt;VLOOKUP(A241,'포트변경내역(중립)'!A:C,10,0),"O","X"),""))</f>
        <v/>
      </c>
      <c r="H241" s="15" t="str">
        <f>IF(A241="","",COUNTIFS('MP내역(적극)'!$A:$A,A241)-COUNTIFS('MP내역(적극)'!$A:$A,A241,'MP내역(적극)'!$B:$B,"현금")-COUNTIFS('MP내역(적극)'!$A:$A,A241,'MP내역(적극)'!$B:$B,"예수금")-COUNTIFS('MP내역(적극)'!$A:$A,A241,'MP내역(적극)'!$B:$B,"예탁금")-COUNTIFS('MP내역(적극)'!$A:$A,A241,'MP내역(적극)'!$B:$B,"합계"))</f>
        <v/>
      </c>
      <c r="I241" s="15" t="str">
        <f>IF(A241="","",IF(COUNTIFS('MP내역(적극)'!A:A,A241,'MP내역(적극)'!G:G,"&gt;"&amp;#REF!,'MP내역(적극)'!D:D,"&lt;&gt;"&amp;#REF!,'MP내역(적극)'!D:D,"&lt;&gt;"&amp;#REF!,'MP내역(적극)'!B:B,"&lt;&gt;현금",'MP내역(적극)'!B:B,"&lt;&gt;합계")=0,"O","X"))</f>
        <v/>
      </c>
      <c r="J241" s="15" t="str">
        <f>IF(A241="","",IF(AND(ABS(#REF!-SUMIFS('MP내역(적극)'!G:G,'MP내역(적극)'!A:A,A241,'MP내역(적극)'!F:F,"Y"))&lt;0.001,ABS(#REF!-SUMIFS('MP내역(적극)'!G:G,'MP내역(적극)'!A:A,A241,'MP내역(적극)'!B:B,"&lt;&gt;합계"))&lt;0.001),"O","X"))</f>
        <v/>
      </c>
      <c r="K241" s="15" t="str">
        <f>IF(A241="","",IF(COUNTIFS('MP내역(적극)'!A:A,A241,'MP내역(적극)'!H:H,"X")=0,"O","X"))</f>
        <v/>
      </c>
      <c r="L241" s="14"/>
    </row>
    <row r="242" spans="4:12" x14ac:dyDescent="0.3">
      <c r="D242" s="14"/>
      <c r="E242" s="15"/>
      <c r="G242" s="15" t="str">
        <f>IF(A242="","",IFERROR(IF(#REF!&gt;VLOOKUP(A242,'포트변경내역(중립)'!A:C,10,0),"O","X"),""))</f>
        <v/>
      </c>
      <c r="H242" s="15" t="str">
        <f>IF(A242="","",COUNTIFS('MP내역(적극)'!$A:$A,A242)-COUNTIFS('MP내역(적극)'!$A:$A,A242,'MP내역(적극)'!$B:$B,"현금")-COUNTIFS('MP내역(적극)'!$A:$A,A242,'MP내역(적극)'!$B:$B,"예수금")-COUNTIFS('MP내역(적극)'!$A:$A,A242,'MP내역(적극)'!$B:$B,"예탁금")-COUNTIFS('MP내역(적극)'!$A:$A,A242,'MP내역(적극)'!$B:$B,"합계"))</f>
        <v/>
      </c>
      <c r="I242" s="15" t="str">
        <f>IF(A242="","",IF(COUNTIFS('MP내역(적극)'!A:A,A242,'MP내역(적극)'!G:G,"&gt;"&amp;#REF!,'MP내역(적극)'!D:D,"&lt;&gt;"&amp;#REF!,'MP내역(적극)'!D:D,"&lt;&gt;"&amp;#REF!,'MP내역(적극)'!B:B,"&lt;&gt;현금",'MP내역(적극)'!B:B,"&lt;&gt;합계")=0,"O","X"))</f>
        <v/>
      </c>
      <c r="J242" s="15" t="str">
        <f>IF(A242="","",IF(AND(ABS(#REF!-SUMIFS('MP내역(적극)'!G:G,'MP내역(적극)'!A:A,A242,'MP내역(적극)'!F:F,"Y"))&lt;0.001,ABS(#REF!-SUMIFS('MP내역(적극)'!G:G,'MP내역(적극)'!A:A,A242,'MP내역(적극)'!B:B,"&lt;&gt;합계"))&lt;0.001),"O","X"))</f>
        <v/>
      </c>
      <c r="K242" s="15" t="str">
        <f>IF(A242="","",IF(COUNTIFS('MP내역(적극)'!A:A,A242,'MP내역(적극)'!H:H,"X")=0,"O","X"))</f>
        <v/>
      </c>
      <c r="L242" s="14"/>
    </row>
    <row r="243" spans="4:12" x14ac:dyDescent="0.3">
      <c r="D243" s="14"/>
      <c r="E243" s="15"/>
      <c r="G243" s="15" t="str">
        <f>IF(A243="","",IFERROR(IF(#REF!&gt;VLOOKUP(A243,'포트변경내역(중립)'!A:C,10,0),"O","X"),""))</f>
        <v/>
      </c>
      <c r="H243" s="15" t="str">
        <f>IF(A243="","",COUNTIFS('MP내역(적극)'!$A:$A,A243)-COUNTIFS('MP내역(적극)'!$A:$A,A243,'MP내역(적극)'!$B:$B,"현금")-COUNTIFS('MP내역(적극)'!$A:$A,A243,'MP내역(적극)'!$B:$B,"예수금")-COUNTIFS('MP내역(적극)'!$A:$A,A243,'MP내역(적극)'!$B:$B,"예탁금")-COUNTIFS('MP내역(적극)'!$A:$A,A243,'MP내역(적극)'!$B:$B,"합계"))</f>
        <v/>
      </c>
      <c r="I243" s="15" t="str">
        <f>IF(A243="","",IF(COUNTIFS('MP내역(적극)'!A:A,A243,'MP내역(적극)'!G:G,"&gt;"&amp;#REF!,'MP내역(적극)'!D:D,"&lt;&gt;"&amp;#REF!,'MP내역(적극)'!D:D,"&lt;&gt;"&amp;#REF!,'MP내역(적극)'!B:B,"&lt;&gt;현금",'MP내역(적극)'!B:B,"&lt;&gt;합계")=0,"O","X"))</f>
        <v/>
      </c>
      <c r="J243" s="15" t="str">
        <f>IF(A243="","",IF(AND(ABS(#REF!-SUMIFS('MP내역(적극)'!G:G,'MP내역(적극)'!A:A,A243,'MP내역(적극)'!F:F,"Y"))&lt;0.001,ABS(#REF!-SUMIFS('MP내역(적극)'!G:G,'MP내역(적극)'!A:A,A243,'MP내역(적극)'!B:B,"&lt;&gt;합계"))&lt;0.001),"O","X"))</f>
        <v/>
      </c>
      <c r="K243" s="15" t="str">
        <f>IF(A243="","",IF(COUNTIFS('MP내역(적극)'!A:A,A243,'MP내역(적극)'!H:H,"X")=0,"O","X"))</f>
        <v/>
      </c>
      <c r="L243" s="14"/>
    </row>
    <row r="244" spans="4:12" x14ac:dyDescent="0.3">
      <c r="D244" s="14"/>
      <c r="E244" s="15"/>
      <c r="G244" s="15" t="str">
        <f>IF(A244="","",IFERROR(IF(#REF!&gt;VLOOKUP(A244,'포트변경내역(중립)'!A:C,10,0),"O","X"),""))</f>
        <v/>
      </c>
      <c r="H244" s="15" t="str">
        <f>IF(A244="","",COUNTIFS('MP내역(적극)'!$A:$A,A244)-COUNTIFS('MP내역(적극)'!$A:$A,A244,'MP내역(적극)'!$B:$B,"현금")-COUNTIFS('MP내역(적극)'!$A:$A,A244,'MP내역(적극)'!$B:$B,"예수금")-COUNTIFS('MP내역(적극)'!$A:$A,A244,'MP내역(적극)'!$B:$B,"예탁금")-COUNTIFS('MP내역(적극)'!$A:$A,A244,'MP내역(적극)'!$B:$B,"합계"))</f>
        <v/>
      </c>
      <c r="I244" s="15" t="str">
        <f>IF(A244="","",IF(COUNTIFS('MP내역(적극)'!A:A,A244,'MP내역(적극)'!G:G,"&gt;"&amp;#REF!,'MP내역(적극)'!D:D,"&lt;&gt;"&amp;#REF!,'MP내역(적극)'!D:D,"&lt;&gt;"&amp;#REF!,'MP내역(적극)'!B:B,"&lt;&gt;현금",'MP내역(적극)'!B:B,"&lt;&gt;합계")=0,"O","X"))</f>
        <v/>
      </c>
      <c r="J244" s="15" t="str">
        <f>IF(A244="","",IF(AND(ABS(#REF!-SUMIFS('MP내역(적극)'!G:G,'MP내역(적극)'!A:A,A244,'MP내역(적극)'!F:F,"Y"))&lt;0.001,ABS(#REF!-SUMIFS('MP내역(적극)'!G:G,'MP내역(적극)'!A:A,A244,'MP내역(적극)'!B:B,"&lt;&gt;합계"))&lt;0.001),"O","X"))</f>
        <v/>
      </c>
      <c r="K244" s="15" t="str">
        <f>IF(A244="","",IF(COUNTIFS('MP내역(적극)'!A:A,A244,'MP내역(적극)'!H:H,"X")=0,"O","X"))</f>
        <v/>
      </c>
      <c r="L244" s="14"/>
    </row>
    <row r="245" spans="4:12" x14ac:dyDescent="0.3">
      <c r="D245" s="14"/>
      <c r="E245" s="15"/>
      <c r="G245" s="15" t="str">
        <f>IF(A245="","",IFERROR(IF(#REF!&gt;VLOOKUP(A245,'포트변경내역(중립)'!A:C,10,0),"O","X"),""))</f>
        <v/>
      </c>
      <c r="H245" s="15" t="str">
        <f>IF(A245="","",COUNTIFS('MP내역(적극)'!$A:$A,A245)-COUNTIFS('MP내역(적극)'!$A:$A,A245,'MP내역(적극)'!$B:$B,"현금")-COUNTIFS('MP내역(적극)'!$A:$A,A245,'MP내역(적극)'!$B:$B,"예수금")-COUNTIFS('MP내역(적극)'!$A:$A,A245,'MP내역(적극)'!$B:$B,"예탁금")-COUNTIFS('MP내역(적극)'!$A:$A,A245,'MP내역(적극)'!$B:$B,"합계"))</f>
        <v/>
      </c>
      <c r="I245" s="15" t="str">
        <f>IF(A245="","",IF(COUNTIFS('MP내역(적극)'!A:A,A245,'MP내역(적극)'!G:G,"&gt;"&amp;#REF!,'MP내역(적극)'!D:D,"&lt;&gt;"&amp;#REF!,'MP내역(적극)'!D:D,"&lt;&gt;"&amp;#REF!,'MP내역(적극)'!B:B,"&lt;&gt;현금",'MP내역(적극)'!B:B,"&lt;&gt;합계")=0,"O","X"))</f>
        <v/>
      </c>
      <c r="J245" s="15" t="str">
        <f>IF(A245="","",IF(AND(ABS(#REF!-SUMIFS('MP내역(적극)'!G:G,'MP내역(적극)'!A:A,A245,'MP내역(적극)'!F:F,"Y"))&lt;0.001,ABS(#REF!-SUMIFS('MP내역(적극)'!G:G,'MP내역(적극)'!A:A,A245,'MP내역(적극)'!B:B,"&lt;&gt;합계"))&lt;0.001),"O","X"))</f>
        <v/>
      </c>
      <c r="K245" s="15" t="str">
        <f>IF(A245="","",IF(COUNTIFS('MP내역(적극)'!A:A,A245,'MP내역(적극)'!H:H,"X")=0,"O","X"))</f>
        <v/>
      </c>
      <c r="L245" s="14"/>
    </row>
    <row r="246" spans="4:12" x14ac:dyDescent="0.3">
      <c r="D246" s="14"/>
      <c r="E246" s="15"/>
      <c r="G246" s="15" t="str">
        <f>IF(A246="","",IFERROR(IF(#REF!&gt;VLOOKUP(A246,'포트변경내역(중립)'!A:C,10,0),"O","X"),""))</f>
        <v/>
      </c>
      <c r="H246" s="15" t="str">
        <f>IF(A246="","",COUNTIFS('MP내역(적극)'!$A:$A,A246)-COUNTIFS('MP내역(적극)'!$A:$A,A246,'MP내역(적극)'!$B:$B,"현금")-COUNTIFS('MP내역(적극)'!$A:$A,A246,'MP내역(적극)'!$B:$B,"예수금")-COUNTIFS('MP내역(적극)'!$A:$A,A246,'MP내역(적극)'!$B:$B,"예탁금")-COUNTIFS('MP내역(적극)'!$A:$A,A246,'MP내역(적극)'!$B:$B,"합계"))</f>
        <v/>
      </c>
      <c r="I246" s="15" t="str">
        <f>IF(A246="","",IF(COUNTIFS('MP내역(적극)'!A:A,A246,'MP내역(적극)'!G:G,"&gt;"&amp;#REF!,'MP내역(적극)'!D:D,"&lt;&gt;"&amp;#REF!,'MP내역(적극)'!D:D,"&lt;&gt;"&amp;#REF!,'MP내역(적극)'!B:B,"&lt;&gt;현금",'MP내역(적극)'!B:B,"&lt;&gt;합계")=0,"O","X"))</f>
        <v/>
      </c>
      <c r="J246" s="15" t="str">
        <f>IF(A246="","",IF(AND(ABS(#REF!-SUMIFS('MP내역(적극)'!G:G,'MP내역(적극)'!A:A,A246,'MP내역(적극)'!F:F,"Y"))&lt;0.001,ABS(#REF!-SUMIFS('MP내역(적극)'!G:G,'MP내역(적극)'!A:A,A246,'MP내역(적극)'!B:B,"&lt;&gt;합계"))&lt;0.001),"O","X"))</f>
        <v/>
      </c>
      <c r="K246" s="15" t="str">
        <f>IF(A246="","",IF(COUNTIFS('MP내역(적극)'!A:A,A246,'MP내역(적극)'!H:H,"X")=0,"O","X"))</f>
        <v/>
      </c>
      <c r="L246" s="14"/>
    </row>
    <row r="247" spans="4:12" x14ac:dyDescent="0.3">
      <c r="D247" s="14"/>
      <c r="E247" s="15"/>
      <c r="G247" s="15" t="str">
        <f>IF(A247="","",IFERROR(IF(#REF!&gt;VLOOKUP(A247,'포트변경내역(중립)'!A:C,10,0),"O","X"),""))</f>
        <v/>
      </c>
      <c r="H247" s="15" t="str">
        <f>IF(A247="","",COUNTIFS('MP내역(적극)'!$A:$A,A247)-COUNTIFS('MP내역(적극)'!$A:$A,A247,'MP내역(적극)'!$B:$B,"현금")-COUNTIFS('MP내역(적극)'!$A:$A,A247,'MP내역(적극)'!$B:$B,"예수금")-COUNTIFS('MP내역(적극)'!$A:$A,A247,'MP내역(적극)'!$B:$B,"예탁금")-COUNTIFS('MP내역(적극)'!$A:$A,A247,'MP내역(적극)'!$B:$B,"합계"))</f>
        <v/>
      </c>
      <c r="I247" s="15" t="str">
        <f>IF(A247="","",IF(COUNTIFS('MP내역(적극)'!A:A,A247,'MP내역(적극)'!G:G,"&gt;"&amp;#REF!,'MP내역(적극)'!D:D,"&lt;&gt;"&amp;#REF!,'MP내역(적극)'!D:D,"&lt;&gt;"&amp;#REF!,'MP내역(적극)'!B:B,"&lt;&gt;현금",'MP내역(적극)'!B:B,"&lt;&gt;합계")=0,"O","X"))</f>
        <v/>
      </c>
      <c r="J247" s="15" t="str">
        <f>IF(A247="","",IF(AND(ABS(#REF!-SUMIFS('MP내역(적극)'!G:G,'MP내역(적극)'!A:A,A247,'MP내역(적극)'!F:F,"Y"))&lt;0.001,ABS(#REF!-SUMIFS('MP내역(적극)'!G:G,'MP내역(적극)'!A:A,A247,'MP내역(적극)'!B:B,"&lt;&gt;합계"))&lt;0.001),"O","X"))</f>
        <v/>
      </c>
      <c r="K247" s="15" t="str">
        <f>IF(A247="","",IF(COUNTIFS('MP내역(적극)'!A:A,A247,'MP내역(적극)'!H:H,"X")=0,"O","X"))</f>
        <v/>
      </c>
      <c r="L247" s="14"/>
    </row>
    <row r="248" spans="4:12" x14ac:dyDescent="0.3">
      <c r="D248" s="14"/>
      <c r="E248" s="15"/>
      <c r="G248" s="15" t="str">
        <f>IF(A248="","",IFERROR(IF(#REF!&gt;VLOOKUP(A248,'포트변경내역(중립)'!A:C,10,0),"O","X"),""))</f>
        <v/>
      </c>
      <c r="H248" s="15" t="str">
        <f>IF(A248="","",COUNTIFS('MP내역(적극)'!$A:$A,A248)-COUNTIFS('MP내역(적극)'!$A:$A,A248,'MP내역(적극)'!$B:$B,"현금")-COUNTIFS('MP내역(적극)'!$A:$A,A248,'MP내역(적극)'!$B:$B,"예수금")-COUNTIFS('MP내역(적극)'!$A:$A,A248,'MP내역(적극)'!$B:$B,"예탁금")-COUNTIFS('MP내역(적극)'!$A:$A,A248,'MP내역(적극)'!$B:$B,"합계"))</f>
        <v/>
      </c>
      <c r="I248" s="15" t="str">
        <f>IF(A248="","",IF(COUNTIFS('MP내역(적극)'!A:A,A248,'MP내역(적극)'!G:G,"&gt;"&amp;#REF!,'MP내역(적극)'!D:D,"&lt;&gt;"&amp;#REF!,'MP내역(적극)'!D:D,"&lt;&gt;"&amp;#REF!,'MP내역(적극)'!B:B,"&lt;&gt;현금",'MP내역(적극)'!B:B,"&lt;&gt;합계")=0,"O","X"))</f>
        <v/>
      </c>
      <c r="J248" s="15" t="str">
        <f>IF(A248="","",IF(AND(ABS(#REF!-SUMIFS('MP내역(적극)'!G:G,'MP내역(적극)'!A:A,A248,'MP내역(적극)'!F:F,"Y"))&lt;0.001,ABS(#REF!-SUMIFS('MP내역(적극)'!G:G,'MP내역(적극)'!A:A,A248,'MP내역(적극)'!B:B,"&lt;&gt;합계"))&lt;0.001),"O","X"))</f>
        <v/>
      </c>
      <c r="K248" s="15" t="str">
        <f>IF(A248="","",IF(COUNTIFS('MP내역(적극)'!A:A,A248,'MP내역(적극)'!H:H,"X")=0,"O","X"))</f>
        <v/>
      </c>
      <c r="L248" s="14"/>
    </row>
    <row r="249" spans="4:12" x14ac:dyDescent="0.3">
      <c r="D249" s="14"/>
      <c r="E249" s="15"/>
      <c r="G249" s="15" t="str">
        <f>IF(A249="","",IFERROR(IF(#REF!&gt;VLOOKUP(A249,'포트변경내역(중립)'!A:C,10,0),"O","X"),""))</f>
        <v/>
      </c>
      <c r="H249" s="15" t="str">
        <f>IF(A249="","",COUNTIFS('MP내역(적극)'!$A:$A,A249)-COUNTIFS('MP내역(적극)'!$A:$A,A249,'MP내역(적극)'!$B:$B,"현금")-COUNTIFS('MP내역(적극)'!$A:$A,A249,'MP내역(적극)'!$B:$B,"예수금")-COUNTIFS('MP내역(적극)'!$A:$A,A249,'MP내역(적극)'!$B:$B,"예탁금")-COUNTIFS('MP내역(적극)'!$A:$A,A249,'MP내역(적극)'!$B:$B,"합계"))</f>
        <v/>
      </c>
      <c r="I249" s="15" t="str">
        <f>IF(A249="","",IF(COUNTIFS('MP내역(적극)'!A:A,A249,'MP내역(적극)'!G:G,"&gt;"&amp;#REF!,'MP내역(적극)'!D:D,"&lt;&gt;"&amp;#REF!,'MP내역(적극)'!D:D,"&lt;&gt;"&amp;#REF!,'MP내역(적극)'!B:B,"&lt;&gt;현금",'MP내역(적극)'!B:B,"&lt;&gt;합계")=0,"O","X"))</f>
        <v/>
      </c>
      <c r="J249" s="15" t="str">
        <f>IF(A249="","",IF(AND(ABS(#REF!-SUMIFS('MP내역(적극)'!G:G,'MP내역(적극)'!A:A,A249,'MP내역(적극)'!F:F,"Y"))&lt;0.001,ABS(#REF!-SUMIFS('MP내역(적극)'!G:G,'MP내역(적극)'!A:A,A249,'MP내역(적극)'!B:B,"&lt;&gt;합계"))&lt;0.001),"O","X"))</f>
        <v/>
      </c>
      <c r="K249" s="15" t="str">
        <f>IF(A249="","",IF(COUNTIFS('MP내역(적극)'!A:A,A249,'MP내역(적극)'!H:H,"X")=0,"O","X"))</f>
        <v/>
      </c>
      <c r="L249" s="14"/>
    </row>
    <row r="250" spans="4:12" x14ac:dyDescent="0.3">
      <c r="D250" s="14"/>
      <c r="E250" s="15"/>
      <c r="G250" s="15" t="str">
        <f>IF(A250="","",IFERROR(IF(#REF!&gt;VLOOKUP(A250,'포트변경내역(중립)'!A:C,10,0),"O","X"),""))</f>
        <v/>
      </c>
      <c r="H250" s="15" t="str">
        <f>IF(A250="","",COUNTIFS('MP내역(적극)'!$A:$A,A250)-COUNTIFS('MP내역(적극)'!$A:$A,A250,'MP내역(적극)'!$B:$B,"현금")-COUNTIFS('MP내역(적극)'!$A:$A,A250,'MP내역(적극)'!$B:$B,"예수금")-COUNTIFS('MP내역(적극)'!$A:$A,A250,'MP내역(적극)'!$B:$B,"예탁금")-COUNTIFS('MP내역(적극)'!$A:$A,A250,'MP내역(적극)'!$B:$B,"합계"))</f>
        <v/>
      </c>
      <c r="I250" s="15" t="str">
        <f>IF(A250="","",IF(COUNTIFS('MP내역(적극)'!A:A,A250,'MP내역(적극)'!G:G,"&gt;"&amp;#REF!,'MP내역(적극)'!D:D,"&lt;&gt;"&amp;#REF!,'MP내역(적극)'!D:D,"&lt;&gt;"&amp;#REF!,'MP내역(적극)'!B:B,"&lt;&gt;현금",'MP내역(적극)'!B:B,"&lt;&gt;합계")=0,"O","X"))</f>
        <v/>
      </c>
      <c r="J250" s="15" t="str">
        <f>IF(A250="","",IF(AND(ABS(#REF!-SUMIFS('MP내역(적극)'!G:G,'MP내역(적극)'!A:A,A250,'MP내역(적극)'!F:F,"Y"))&lt;0.001,ABS(#REF!-SUMIFS('MP내역(적극)'!G:G,'MP내역(적극)'!A:A,A250,'MP내역(적극)'!B:B,"&lt;&gt;합계"))&lt;0.001),"O","X"))</f>
        <v/>
      </c>
      <c r="K250" s="15" t="str">
        <f>IF(A250="","",IF(COUNTIFS('MP내역(적극)'!A:A,A250,'MP내역(적극)'!H:H,"X")=0,"O","X"))</f>
        <v/>
      </c>
      <c r="L250" s="14"/>
    </row>
    <row r="251" spans="4:12" x14ac:dyDescent="0.3">
      <c r="D251" s="14"/>
      <c r="E251" s="15"/>
      <c r="G251" s="15" t="str">
        <f>IF(A251="","",IFERROR(IF(#REF!&gt;VLOOKUP(A251,'포트변경내역(중립)'!A:C,10,0),"O","X"),""))</f>
        <v/>
      </c>
      <c r="H251" s="15" t="str">
        <f>IF(A251="","",COUNTIFS('MP내역(적극)'!$A:$A,A251)-COUNTIFS('MP내역(적극)'!$A:$A,A251,'MP내역(적극)'!$B:$B,"현금")-COUNTIFS('MP내역(적극)'!$A:$A,A251,'MP내역(적극)'!$B:$B,"예수금")-COUNTIFS('MP내역(적극)'!$A:$A,A251,'MP내역(적극)'!$B:$B,"예탁금")-COUNTIFS('MP내역(적극)'!$A:$A,A251,'MP내역(적극)'!$B:$B,"합계"))</f>
        <v/>
      </c>
      <c r="I251" s="15" t="str">
        <f>IF(A251="","",IF(COUNTIFS('MP내역(적극)'!A:A,A251,'MP내역(적극)'!G:G,"&gt;"&amp;#REF!,'MP내역(적극)'!D:D,"&lt;&gt;"&amp;#REF!,'MP내역(적극)'!D:D,"&lt;&gt;"&amp;#REF!,'MP내역(적극)'!B:B,"&lt;&gt;현금",'MP내역(적극)'!B:B,"&lt;&gt;합계")=0,"O","X"))</f>
        <v/>
      </c>
      <c r="J251" s="15" t="str">
        <f>IF(A251="","",IF(AND(ABS(#REF!-SUMIFS('MP내역(적극)'!G:G,'MP내역(적극)'!A:A,A251,'MP내역(적극)'!F:F,"Y"))&lt;0.001,ABS(#REF!-SUMIFS('MP내역(적극)'!G:G,'MP내역(적극)'!A:A,A251,'MP내역(적극)'!B:B,"&lt;&gt;합계"))&lt;0.001),"O","X"))</f>
        <v/>
      </c>
      <c r="K251" s="15" t="str">
        <f>IF(A251="","",IF(COUNTIFS('MP내역(적극)'!A:A,A251,'MP내역(적극)'!H:H,"X")=0,"O","X"))</f>
        <v/>
      </c>
      <c r="L251" s="14"/>
    </row>
    <row r="252" spans="4:12" x14ac:dyDescent="0.3">
      <c r="D252" s="14"/>
      <c r="E252" s="15"/>
      <c r="G252" s="15" t="str">
        <f>IF(A252="","",IFERROR(IF(#REF!&gt;VLOOKUP(A252,'포트변경내역(중립)'!A:C,10,0),"O","X"),""))</f>
        <v/>
      </c>
      <c r="H252" s="15" t="str">
        <f>IF(A252="","",COUNTIFS('MP내역(적극)'!$A:$A,A252)-COUNTIFS('MP내역(적극)'!$A:$A,A252,'MP내역(적극)'!$B:$B,"현금")-COUNTIFS('MP내역(적극)'!$A:$A,A252,'MP내역(적극)'!$B:$B,"예수금")-COUNTIFS('MP내역(적극)'!$A:$A,A252,'MP내역(적극)'!$B:$B,"예탁금")-COUNTIFS('MP내역(적극)'!$A:$A,A252,'MP내역(적극)'!$B:$B,"합계"))</f>
        <v/>
      </c>
      <c r="I252" s="15" t="str">
        <f>IF(A252="","",IF(COUNTIFS('MP내역(적극)'!A:A,A252,'MP내역(적극)'!G:G,"&gt;"&amp;#REF!,'MP내역(적극)'!D:D,"&lt;&gt;"&amp;#REF!,'MP내역(적극)'!D:D,"&lt;&gt;"&amp;#REF!,'MP내역(적극)'!B:B,"&lt;&gt;현금",'MP내역(적극)'!B:B,"&lt;&gt;합계")=0,"O","X"))</f>
        <v/>
      </c>
      <c r="J252" s="15" t="str">
        <f>IF(A252="","",IF(AND(ABS(#REF!-SUMIFS('MP내역(적극)'!G:G,'MP내역(적극)'!A:A,A252,'MP내역(적극)'!F:F,"Y"))&lt;0.001,ABS(#REF!-SUMIFS('MP내역(적극)'!G:G,'MP내역(적극)'!A:A,A252,'MP내역(적극)'!B:B,"&lt;&gt;합계"))&lt;0.001),"O","X"))</f>
        <v/>
      </c>
      <c r="K252" s="15" t="str">
        <f>IF(A252="","",IF(COUNTIFS('MP내역(적극)'!A:A,A252,'MP내역(적극)'!H:H,"X")=0,"O","X"))</f>
        <v/>
      </c>
      <c r="L252" s="14"/>
    </row>
    <row r="253" spans="4:12" x14ac:dyDescent="0.3">
      <c r="D253" s="14"/>
      <c r="E253" s="15"/>
      <c r="G253" s="15" t="str">
        <f>IF(A253="","",IFERROR(IF(#REF!&gt;VLOOKUP(A253,'포트변경내역(중립)'!A:C,10,0),"O","X"),""))</f>
        <v/>
      </c>
      <c r="H253" s="15" t="str">
        <f>IF(A253="","",COUNTIFS('MP내역(적극)'!$A:$A,A253)-COUNTIFS('MP내역(적극)'!$A:$A,A253,'MP내역(적극)'!$B:$B,"현금")-COUNTIFS('MP내역(적극)'!$A:$A,A253,'MP내역(적극)'!$B:$B,"예수금")-COUNTIFS('MP내역(적극)'!$A:$A,A253,'MP내역(적극)'!$B:$B,"예탁금")-COUNTIFS('MP내역(적극)'!$A:$A,A253,'MP내역(적극)'!$B:$B,"합계"))</f>
        <v/>
      </c>
      <c r="I253" s="15" t="str">
        <f>IF(A253="","",IF(COUNTIFS('MP내역(적극)'!A:A,A253,'MP내역(적극)'!G:G,"&gt;"&amp;#REF!,'MP내역(적극)'!D:D,"&lt;&gt;"&amp;#REF!,'MP내역(적극)'!D:D,"&lt;&gt;"&amp;#REF!,'MP내역(적극)'!B:B,"&lt;&gt;현금",'MP내역(적극)'!B:B,"&lt;&gt;합계")=0,"O","X"))</f>
        <v/>
      </c>
      <c r="J253" s="15" t="str">
        <f>IF(A253="","",IF(AND(ABS(#REF!-SUMIFS('MP내역(적극)'!G:G,'MP내역(적극)'!A:A,A253,'MP내역(적극)'!F:F,"Y"))&lt;0.001,ABS(#REF!-SUMIFS('MP내역(적극)'!G:G,'MP내역(적극)'!A:A,A253,'MP내역(적극)'!B:B,"&lt;&gt;합계"))&lt;0.001),"O","X"))</f>
        <v/>
      </c>
      <c r="K253" s="15" t="str">
        <f>IF(A253="","",IF(COUNTIFS('MP내역(적극)'!A:A,A253,'MP내역(적극)'!H:H,"X")=0,"O","X"))</f>
        <v/>
      </c>
      <c r="L253" s="14"/>
    </row>
    <row r="254" spans="4:12" x14ac:dyDescent="0.3">
      <c r="D254" s="14"/>
      <c r="E254" s="15"/>
      <c r="G254" s="15" t="str">
        <f>IF(A254="","",IFERROR(IF(#REF!&gt;VLOOKUP(A254,'포트변경내역(중립)'!A:C,10,0),"O","X"),""))</f>
        <v/>
      </c>
      <c r="H254" s="15" t="str">
        <f>IF(A254="","",COUNTIFS('MP내역(적극)'!$A:$A,A254)-COUNTIFS('MP내역(적극)'!$A:$A,A254,'MP내역(적극)'!$B:$B,"현금")-COUNTIFS('MP내역(적극)'!$A:$A,A254,'MP내역(적극)'!$B:$B,"예수금")-COUNTIFS('MP내역(적극)'!$A:$A,A254,'MP내역(적극)'!$B:$B,"예탁금")-COUNTIFS('MP내역(적극)'!$A:$A,A254,'MP내역(적극)'!$B:$B,"합계"))</f>
        <v/>
      </c>
      <c r="I254" s="15" t="str">
        <f>IF(A254="","",IF(COUNTIFS('MP내역(적극)'!A:A,A254,'MP내역(적극)'!G:G,"&gt;"&amp;#REF!,'MP내역(적극)'!D:D,"&lt;&gt;"&amp;#REF!,'MP내역(적극)'!D:D,"&lt;&gt;"&amp;#REF!,'MP내역(적극)'!B:B,"&lt;&gt;현금",'MP내역(적극)'!B:B,"&lt;&gt;합계")=0,"O","X"))</f>
        <v/>
      </c>
      <c r="J254" s="15" t="str">
        <f>IF(A254="","",IF(AND(ABS(#REF!-SUMIFS('MP내역(적극)'!G:G,'MP내역(적극)'!A:A,A254,'MP내역(적극)'!F:F,"Y"))&lt;0.001,ABS(#REF!-SUMIFS('MP내역(적극)'!G:G,'MP내역(적극)'!A:A,A254,'MP내역(적극)'!B:B,"&lt;&gt;합계"))&lt;0.001),"O","X"))</f>
        <v/>
      </c>
      <c r="K254" s="15" t="str">
        <f>IF(A254="","",IF(COUNTIFS('MP내역(적극)'!A:A,A254,'MP내역(적극)'!H:H,"X")=0,"O","X"))</f>
        <v/>
      </c>
      <c r="L254" s="14"/>
    </row>
    <row r="255" spans="4:12" x14ac:dyDescent="0.3">
      <c r="D255" s="14"/>
      <c r="E255" s="15"/>
      <c r="G255" s="15" t="str">
        <f>IF(A255="","",IFERROR(IF(#REF!&gt;VLOOKUP(A255,'포트변경내역(중립)'!A:C,10,0),"O","X"),""))</f>
        <v/>
      </c>
      <c r="H255" s="15" t="str">
        <f>IF(A255="","",COUNTIFS('MP내역(적극)'!$A:$A,A255)-COUNTIFS('MP내역(적극)'!$A:$A,A255,'MP내역(적극)'!$B:$B,"현금")-COUNTIFS('MP내역(적극)'!$A:$A,A255,'MP내역(적극)'!$B:$B,"예수금")-COUNTIFS('MP내역(적극)'!$A:$A,A255,'MP내역(적극)'!$B:$B,"예탁금")-COUNTIFS('MP내역(적극)'!$A:$A,A255,'MP내역(적극)'!$B:$B,"합계"))</f>
        <v/>
      </c>
      <c r="I255" s="15" t="str">
        <f>IF(A255="","",IF(COUNTIFS('MP내역(적극)'!A:A,A255,'MP내역(적극)'!G:G,"&gt;"&amp;#REF!,'MP내역(적극)'!D:D,"&lt;&gt;"&amp;#REF!,'MP내역(적극)'!D:D,"&lt;&gt;"&amp;#REF!,'MP내역(적극)'!B:B,"&lt;&gt;현금",'MP내역(적극)'!B:B,"&lt;&gt;합계")=0,"O","X"))</f>
        <v/>
      </c>
      <c r="J255" s="15" t="str">
        <f>IF(A255="","",IF(AND(ABS(#REF!-SUMIFS('MP내역(적극)'!G:G,'MP내역(적극)'!A:A,A255,'MP내역(적극)'!F:F,"Y"))&lt;0.001,ABS(#REF!-SUMIFS('MP내역(적극)'!G:G,'MP내역(적극)'!A:A,A255,'MP내역(적극)'!B:B,"&lt;&gt;합계"))&lt;0.001),"O","X"))</f>
        <v/>
      </c>
      <c r="K255" s="15" t="str">
        <f>IF(A255="","",IF(COUNTIFS('MP내역(적극)'!A:A,A255,'MP내역(적극)'!H:H,"X")=0,"O","X"))</f>
        <v/>
      </c>
      <c r="L255" s="14"/>
    </row>
    <row r="256" spans="4:12" x14ac:dyDescent="0.3">
      <c r="D256" s="14"/>
      <c r="E256" s="15"/>
      <c r="G256" s="15" t="str">
        <f>IF(A256="","",IFERROR(IF(#REF!&gt;VLOOKUP(A256,'포트변경내역(중립)'!A:C,10,0),"O","X"),""))</f>
        <v/>
      </c>
      <c r="H256" s="15" t="str">
        <f>IF(A256="","",COUNTIFS('MP내역(적극)'!$A:$A,A256)-COUNTIFS('MP내역(적극)'!$A:$A,A256,'MP내역(적극)'!$B:$B,"현금")-COUNTIFS('MP내역(적극)'!$A:$A,A256,'MP내역(적극)'!$B:$B,"예수금")-COUNTIFS('MP내역(적극)'!$A:$A,A256,'MP내역(적극)'!$B:$B,"예탁금")-COUNTIFS('MP내역(적극)'!$A:$A,A256,'MP내역(적극)'!$B:$B,"합계"))</f>
        <v/>
      </c>
      <c r="I256" s="15" t="str">
        <f>IF(A256="","",IF(COUNTIFS('MP내역(적극)'!A:A,A256,'MP내역(적극)'!G:G,"&gt;"&amp;#REF!,'MP내역(적극)'!D:D,"&lt;&gt;"&amp;#REF!,'MP내역(적극)'!D:D,"&lt;&gt;"&amp;#REF!,'MP내역(적극)'!B:B,"&lt;&gt;현금",'MP내역(적극)'!B:B,"&lt;&gt;합계")=0,"O","X"))</f>
        <v/>
      </c>
      <c r="J256" s="15" t="str">
        <f>IF(A256="","",IF(AND(ABS(#REF!-SUMIFS('MP내역(적극)'!G:G,'MP내역(적극)'!A:A,A256,'MP내역(적극)'!F:F,"Y"))&lt;0.001,ABS(#REF!-SUMIFS('MP내역(적극)'!G:G,'MP내역(적극)'!A:A,A256,'MP내역(적극)'!B:B,"&lt;&gt;합계"))&lt;0.001),"O","X"))</f>
        <v/>
      </c>
      <c r="K256" s="15" t="str">
        <f>IF(A256="","",IF(COUNTIFS('MP내역(적극)'!A:A,A256,'MP내역(적극)'!H:H,"X")=0,"O","X"))</f>
        <v/>
      </c>
      <c r="L256" s="14"/>
    </row>
    <row r="257" spans="4:12" x14ac:dyDescent="0.3">
      <c r="D257" s="14"/>
      <c r="E257" s="15"/>
      <c r="G257" s="15" t="str">
        <f>IF(A257="","",IFERROR(IF(#REF!&gt;VLOOKUP(A257,'포트변경내역(중립)'!A:C,10,0),"O","X"),""))</f>
        <v/>
      </c>
      <c r="H257" s="15" t="str">
        <f>IF(A257="","",COUNTIFS('MP내역(적극)'!$A:$A,A257)-COUNTIFS('MP내역(적극)'!$A:$A,A257,'MP내역(적극)'!$B:$B,"현금")-COUNTIFS('MP내역(적극)'!$A:$A,A257,'MP내역(적극)'!$B:$B,"예수금")-COUNTIFS('MP내역(적극)'!$A:$A,A257,'MP내역(적극)'!$B:$B,"예탁금")-COUNTIFS('MP내역(적극)'!$A:$A,A257,'MP내역(적극)'!$B:$B,"합계"))</f>
        <v/>
      </c>
      <c r="I257" s="15" t="str">
        <f>IF(A257="","",IF(COUNTIFS('MP내역(적극)'!A:A,A257,'MP내역(적극)'!G:G,"&gt;"&amp;#REF!,'MP내역(적극)'!D:D,"&lt;&gt;"&amp;#REF!,'MP내역(적극)'!D:D,"&lt;&gt;"&amp;#REF!,'MP내역(적극)'!B:B,"&lt;&gt;현금",'MP내역(적극)'!B:B,"&lt;&gt;합계")=0,"O","X"))</f>
        <v/>
      </c>
      <c r="J257" s="15" t="str">
        <f>IF(A257="","",IF(AND(ABS(#REF!-SUMIFS('MP내역(적극)'!G:G,'MP내역(적극)'!A:A,A257,'MP내역(적극)'!F:F,"Y"))&lt;0.001,ABS(#REF!-SUMIFS('MP내역(적극)'!G:G,'MP내역(적극)'!A:A,A257,'MP내역(적극)'!B:B,"&lt;&gt;합계"))&lt;0.001),"O","X"))</f>
        <v/>
      </c>
      <c r="K257" s="15" t="str">
        <f>IF(A257="","",IF(COUNTIFS('MP내역(적극)'!A:A,A257,'MP내역(적극)'!H:H,"X")=0,"O","X"))</f>
        <v/>
      </c>
      <c r="L257" s="14"/>
    </row>
    <row r="258" spans="4:12" x14ac:dyDescent="0.3">
      <c r="D258" s="14"/>
      <c r="E258" s="15"/>
      <c r="G258" s="15" t="str">
        <f>IF(A258="","",IFERROR(IF(#REF!&gt;VLOOKUP(A258,'포트변경내역(중립)'!A:C,10,0),"O","X"),""))</f>
        <v/>
      </c>
      <c r="H258" s="15" t="str">
        <f>IF(A258="","",COUNTIFS('MP내역(적극)'!$A:$A,A258)-COUNTIFS('MP내역(적극)'!$A:$A,A258,'MP내역(적극)'!$B:$B,"현금")-COUNTIFS('MP내역(적극)'!$A:$A,A258,'MP내역(적극)'!$B:$B,"예수금")-COUNTIFS('MP내역(적극)'!$A:$A,A258,'MP내역(적극)'!$B:$B,"예탁금")-COUNTIFS('MP내역(적극)'!$A:$A,A258,'MP내역(적극)'!$B:$B,"합계"))</f>
        <v/>
      </c>
      <c r="I258" s="15" t="str">
        <f>IF(A258="","",IF(COUNTIFS('MP내역(적극)'!A:A,A258,'MP내역(적극)'!G:G,"&gt;"&amp;#REF!,'MP내역(적극)'!D:D,"&lt;&gt;"&amp;#REF!,'MP내역(적극)'!D:D,"&lt;&gt;"&amp;#REF!,'MP내역(적극)'!B:B,"&lt;&gt;현금",'MP내역(적극)'!B:B,"&lt;&gt;합계")=0,"O","X"))</f>
        <v/>
      </c>
      <c r="J258" s="15" t="str">
        <f>IF(A258="","",IF(AND(ABS(#REF!-SUMIFS('MP내역(적극)'!G:G,'MP내역(적극)'!A:A,A258,'MP내역(적극)'!F:F,"Y"))&lt;0.001,ABS(#REF!-SUMIFS('MP내역(적극)'!G:G,'MP내역(적극)'!A:A,A258,'MP내역(적극)'!B:B,"&lt;&gt;합계"))&lt;0.001),"O","X"))</f>
        <v/>
      </c>
      <c r="K258" s="15" t="str">
        <f>IF(A258="","",IF(COUNTIFS('MP내역(적극)'!A:A,A258,'MP내역(적극)'!H:H,"X")=0,"O","X"))</f>
        <v/>
      </c>
      <c r="L258" s="14"/>
    </row>
    <row r="259" spans="4:12" x14ac:dyDescent="0.3">
      <c r="D259" s="14"/>
      <c r="E259" s="15"/>
      <c r="G259" s="15" t="str">
        <f>IF(A259="","",IFERROR(IF(#REF!&gt;VLOOKUP(A259,'포트변경내역(중립)'!A:C,10,0),"O","X"),""))</f>
        <v/>
      </c>
      <c r="H259" s="15" t="str">
        <f>IF(A259="","",COUNTIFS('MP내역(적극)'!$A:$A,A259)-COUNTIFS('MP내역(적극)'!$A:$A,A259,'MP내역(적극)'!$B:$B,"현금")-COUNTIFS('MP내역(적극)'!$A:$A,A259,'MP내역(적극)'!$B:$B,"예수금")-COUNTIFS('MP내역(적극)'!$A:$A,A259,'MP내역(적극)'!$B:$B,"예탁금")-COUNTIFS('MP내역(적극)'!$A:$A,A259,'MP내역(적극)'!$B:$B,"합계"))</f>
        <v/>
      </c>
      <c r="I259" s="15" t="str">
        <f>IF(A259="","",IF(COUNTIFS('MP내역(적극)'!A:A,A259,'MP내역(적극)'!G:G,"&gt;"&amp;#REF!,'MP내역(적극)'!D:D,"&lt;&gt;"&amp;#REF!,'MP내역(적극)'!D:D,"&lt;&gt;"&amp;#REF!,'MP내역(적극)'!B:B,"&lt;&gt;현금",'MP내역(적극)'!B:B,"&lt;&gt;합계")=0,"O","X"))</f>
        <v/>
      </c>
      <c r="J259" s="15" t="str">
        <f>IF(A259="","",IF(AND(ABS(#REF!-SUMIFS('MP내역(적극)'!G:G,'MP내역(적극)'!A:A,A259,'MP내역(적극)'!F:F,"Y"))&lt;0.001,ABS(#REF!-SUMIFS('MP내역(적극)'!G:G,'MP내역(적극)'!A:A,A259,'MP내역(적극)'!B:B,"&lt;&gt;합계"))&lt;0.001),"O","X"))</f>
        <v/>
      </c>
      <c r="K259" s="15" t="str">
        <f>IF(A259="","",IF(COUNTIFS('MP내역(적극)'!A:A,A259,'MP내역(적극)'!H:H,"X")=0,"O","X"))</f>
        <v/>
      </c>
      <c r="L259" s="14"/>
    </row>
    <row r="260" spans="4:12" x14ac:dyDescent="0.3">
      <c r="D260" s="14"/>
      <c r="E260" s="15"/>
      <c r="G260" s="15" t="str">
        <f>IF(A260="","",IFERROR(IF(#REF!&gt;VLOOKUP(A260,'포트변경내역(중립)'!A:C,10,0),"O","X"),""))</f>
        <v/>
      </c>
      <c r="H260" s="15" t="str">
        <f>IF(A260="","",COUNTIFS('MP내역(적극)'!$A:$A,A260)-COUNTIFS('MP내역(적극)'!$A:$A,A260,'MP내역(적극)'!$B:$B,"현금")-COUNTIFS('MP내역(적극)'!$A:$A,A260,'MP내역(적극)'!$B:$B,"예수금")-COUNTIFS('MP내역(적극)'!$A:$A,A260,'MP내역(적극)'!$B:$B,"예탁금")-COUNTIFS('MP내역(적극)'!$A:$A,A260,'MP내역(적극)'!$B:$B,"합계"))</f>
        <v/>
      </c>
      <c r="I260" s="15" t="str">
        <f>IF(A260="","",IF(COUNTIFS('MP내역(적극)'!A:A,A260,'MP내역(적극)'!G:G,"&gt;"&amp;#REF!,'MP내역(적극)'!D:D,"&lt;&gt;"&amp;#REF!,'MP내역(적극)'!D:D,"&lt;&gt;"&amp;#REF!,'MP내역(적극)'!B:B,"&lt;&gt;현금",'MP내역(적극)'!B:B,"&lt;&gt;합계")=0,"O","X"))</f>
        <v/>
      </c>
      <c r="J260" s="15" t="str">
        <f>IF(A260="","",IF(AND(ABS(#REF!-SUMIFS('MP내역(적극)'!G:G,'MP내역(적극)'!A:A,A260,'MP내역(적극)'!F:F,"Y"))&lt;0.001,ABS(#REF!-SUMIFS('MP내역(적극)'!G:G,'MP내역(적극)'!A:A,A260,'MP내역(적극)'!B:B,"&lt;&gt;합계"))&lt;0.001),"O","X"))</f>
        <v/>
      </c>
      <c r="K260" s="15" t="str">
        <f>IF(A260="","",IF(COUNTIFS('MP내역(적극)'!A:A,A260,'MP내역(적극)'!H:H,"X")=0,"O","X"))</f>
        <v/>
      </c>
      <c r="L260" s="14"/>
    </row>
    <row r="261" spans="4:12" x14ac:dyDescent="0.3">
      <c r="D261" s="14"/>
      <c r="E261" s="15"/>
      <c r="G261" s="15" t="str">
        <f>IF(A261="","",IFERROR(IF(#REF!&gt;VLOOKUP(A261,'포트변경내역(중립)'!A:C,10,0),"O","X"),""))</f>
        <v/>
      </c>
      <c r="H261" s="15" t="str">
        <f>IF(A261="","",COUNTIFS('MP내역(적극)'!$A:$A,A261)-COUNTIFS('MP내역(적극)'!$A:$A,A261,'MP내역(적극)'!$B:$B,"현금")-COUNTIFS('MP내역(적극)'!$A:$A,A261,'MP내역(적극)'!$B:$B,"예수금")-COUNTIFS('MP내역(적극)'!$A:$A,A261,'MP내역(적극)'!$B:$B,"예탁금")-COUNTIFS('MP내역(적극)'!$A:$A,A261,'MP내역(적극)'!$B:$B,"합계"))</f>
        <v/>
      </c>
      <c r="I261" s="15" t="str">
        <f>IF(A261="","",IF(COUNTIFS('MP내역(적극)'!A:A,A261,'MP내역(적극)'!G:G,"&gt;"&amp;#REF!,'MP내역(적극)'!D:D,"&lt;&gt;"&amp;#REF!,'MP내역(적극)'!D:D,"&lt;&gt;"&amp;#REF!,'MP내역(적극)'!B:B,"&lt;&gt;현금",'MP내역(적극)'!B:B,"&lt;&gt;합계")=0,"O","X"))</f>
        <v/>
      </c>
      <c r="J261" s="15" t="str">
        <f>IF(A261="","",IF(AND(ABS(#REF!-SUMIFS('MP내역(적극)'!G:G,'MP내역(적극)'!A:A,A261,'MP내역(적극)'!F:F,"Y"))&lt;0.001,ABS(#REF!-SUMIFS('MP내역(적극)'!G:G,'MP내역(적극)'!A:A,A261,'MP내역(적극)'!B:B,"&lt;&gt;합계"))&lt;0.001),"O","X"))</f>
        <v/>
      </c>
      <c r="K261" s="15" t="str">
        <f>IF(A261="","",IF(COUNTIFS('MP내역(적극)'!A:A,A261,'MP내역(적극)'!H:H,"X")=0,"O","X"))</f>
        <v/>
      </c>
      <c r="L261" s="14"/>
    </row>
    <row r="262" spans="4:12" x14ac:dyDescent="0.3">
      <c r="D262" s="14"/>
      <c r="E262" s="15"/>
      <c r="G262" s="15" t="str">
        <f>IF(A262="","",IFERROR(IF(#REF!&gt;VLOOKUP(A262,'포트변경내역(중립)'!A:C,10,0),"O","X"),""))</f>
        <v/>
      </c>
      <c r="H262" s="15" t="str">
        <f>IF(A262="","",COUNTIFS('MP내역(적극)'!$A:$A,A262)-COUNTIFS('MP내역(적극)'!$A:$A,A262,'MP내역(적극)'!$B:$B,"현금")-COUNTIFS('MP내역(적극)'!$A:$A,A262,'MP내역(적극)'!$B:$B,"예수금")-COUNTIFS('MP내역(적극)'!$A:$A,A262,'MP내역(적극)'!$B:$B,"예탁금")-COUNTIFS('MP내역(적극)'!$A:$A,A262,'MP내역(적극)'!$B:$B,"합계"))</f>
        <v/>
      </c>
      <c r="I262" s="15" t="str">
        <f>IF(A262="","",IF(COUNTIFS('MP내역(적극)'!A:A,A262,'MP내역(적극)'!G:G,"&gt;"&amp;#REF!,'MP내역(적극)'!D:D,"&lt;&gt;"&amp;#REF!,'MP내역(적극)'!D:D,"&lt;&gt;"&amp;#REF!,'MP내역(적극)'!B:B,"&lt;&gt;현금",'MP내역(적극)'!B:B,"&lt;&gt;합계")=0,"O","X"))</f>
        <v/>
      </c>
      <c r="J262" s="15" t="str">
        <f>IF(A262="","",IF(AND(ABS(#REF!-SUMIFS('MP내역(적극)'!G:G,'MP내역(적극)'!A:A,A262,'MP내역(적극)'!F:F,"Y"))&lt;0.001,ABS(#REF!-SUMIFS('MP내역(적극)'!G:G,'MP내역(적극)'!A:A,A262,'MP내역(적극)'!B:B,"&lt;&gt;합계"))&lt;0.001),"O","X"))</f>
        <v/>
      </c>
      <c r="K262" s="15" t="str">
        <f>IF(A262="","",IF(COUNTIFS('MP내역(적극)'!A:A,A262,'MP내역(적극)'!H:H,"X")=0,"O","X"))</f>
        <v/>
      </c>
      <c r="L262" s="14"/>
    </row>
    <row r="263" spans="4:12" x14ac:dyDescent="0.3">
      <c r="D263" s="14"/>
      <c r="E263" s="15"/>
      <c r="G263" s="15" t="str">
        <f>IF(A263="","",IFERROR(IF(#REF!&gt;VLOOKUP(A263,'포트변경내역(중립)'!A:C,10,0),"O","X"),""))</f>
        <v/>
      </c>
      <c r="H263" s="15" t="str">
        <f>IF(A263="","",COUNTIFS('MP내역(적극)'!$A:$A,A263)-COUNTIFS('MP내역(적극)'!$A:$A,A263,'MP내역(적극)'!$B:$B,"현금")-COUNTIFS('MP내역(적극)'!$A:$A,A263,'MP내역(적극)'!$B:$B,"예수금")-COUNTIFS('MP내역(적극)'!$A:$A,A263,'MP내역(적극)'!$B:$B,"예탁금")-COUNTIFS('MP내역(적극)'!$A:$A,A263,'MP내역(적극)'!$B:$B,"합계"))</f>
        <v/>
      </c>
      <c r="I263" s="15" t="str">
        <f>IF(A263="","",IF(COUNTIFS('MP내역(적극)'!A:A,A263,'MP내역(적극)'!G:G,"&gt;"&amp;#REF!,'MP내역(적극)'!D:D,"&lt;&gt;"&amp;#REF!,'MP내역(적극)'!D:D,"&lt;&gt;"&amp;#REF!,'MP내역(적극)'!B:B,"&lt;&gt;현금",'MP내역(적극)'!B:B,"&lt;&gt;합계")=0,"O","X"))</f>
        <v/>
      </c>
      <c r="J263" s="15" t="str">
        <f>IF(A263="","",IF(AND(ABS(#REF!-SUMIFS('MP내역(적극)'!G:G,'MP내역(적극)'!A:A,A263,'MP내역(적극)'!F:F,"Y"))&lt;0.001,ABS(#REF!-SUMIFS('MP내역(적극)'!G:G,'MP내역(적극)'!A:A,A263,'MP내역(적극)'!B:B,"&lt;&gt;합계"))&lt;0.001),"O","X"))</f>
        <v/>
      </c>
      <c r="K263" s="15" t="str">
        <f>IF(A263="","",IF(COUNTIFS('MP내역(적극)'!A:A,A263,'MP내역(적극)'!H:H,"X")=0,"O","X"))</f>
        <v/>
      </c>
      <c r="L263" s="14"/>
    </row>
    <row r="264" spans="4:12" x14ac:dyDescent="0.3">
      <c r="D264" s="14"/>
      <c r="E264" s="15"/>
      <c r="G264" s="15" t="str">
        <f>IF(A264="","",IFERROR(IF(#REF!&gt;VLOOKUP(A264,'포트변경내역(중립)'!A:C,10,0),"O","X"),""))</f>
        <v/>
      </c>
      <c r="H264" s="15" t="str">
        <f>IF(A264="","",COUNTIFS('MP내역(적극)'!$A:$A,A264)-COUNTIFS('MP내역(적극)'!$A:$A,A264,'MP내역(적극)'!$B:$B,"현금")-COUNTIFS('MP내역(적극)'!$A:$A,A264,'MP내역(적극)'!$B:$B,"예수금")-COUNTIFS('MP내역(적극)'!$A:$A,A264,'MP내역(적극)'!$B:$B,"예탁금")-COUNTIFS('MP내역(적극)'!$A:$A,A264,'MP내역(적극)'!$B:$B,"합계"))</f>
        <v/>
      </c>
      <c r="I264" s="15" t="str">
        <f>IF(A264="","",IF(COUNTIFS('MP내역(적극)'!A:A,A264,'MP내역(적극)'!G:G,"&gt;"&amp;#REF!,'MP내역(적극)'!D:D,"&lt;&gt;"&amp;#REF!,'MP내역(적극)'!D:D,"&lt;&gt;"&amp;#REF!,'MP내역(적극)'!B:B,"&lt;&gt;현금",'MP내역(적극)'!B:B,"&lt;&gt;합계")=0,"O","X"))</f>
        <v/>
      </c>
      <c r="J264" s="15" t="str">
        <f>IF(A264="","",IF(AND(ABS(#REF!-SUMIFS('MP내역(적극)'!G:G,'MP내역(적극)'!A:A,A264,'MP내역(적극)'!F:F,"Y"))&lt;0.001,ABS(#REF!-SUMIFS('MP내역(적극)'!G:G,'MP내역(적극)'!A:A,A264,'MP내역(적극)'!B:B,"&lt;&gt;합계"))&lt;0.001),"O","X"))</f>
        <v/>
      </c>
      <c r="K264" s="15" t="str">
        <f>IF(A264="","",IF(COUNTIFS('MP내역(적극)'!A:A,A264,'MP내역(적극)'!H:H,"X")=0,"O","X"))</f>
        <v/>
      </c>
      <c r="L264" s="14"/>
    </row>
    <row r="265" spans="4:12" x14ac:dyDescent="0.3">
      <c r="D265" s="14"/>
      <c r="E265" s="15"/>
      <c r="G265" s="15" t="str">
        <f>IF(A265="","",IFERROR(IF(#REF!&gt;VLOOKUP(A265,'포트변경내역(중립)'!A:C,10,0),"O","X"),""))</f>
        <v/>
      </c>
      <c r="H265" s="15" t="str">
        <f>IF(A265="","",COUNTIFS('MP내역(적극)'!$A:$A,A265)-COUNTIFS('MP내역(적극)'!$A:$A,A265,'MP내역(적극)'!$B:$B,"현금")-COUNTIFS('MP내역(적극)'!$A:$A,A265,'MP내역(적극)'!$B:$B,"예수금")-COUNTIFS('MP내역(적극)'!$A:$A,A265,'MP내역(적극)'!$B:$B,"예탁금")-COUNTIFS('MP내역(적극)'!$A:$A,A265,'MP내역(적극)'!$B:$B,"합계"))</f>
        <v/>
      </c>
      <c r="I265" s="15" t="str">
        <f>IF(A265="","",IF(COUNTIFS('MP내역(적극)'!A:A,A265,'MP내역(적극)'!G:G,"&gt;"&amp;#REF!,'MP내역(적극)'!D:D,"&lt;&gt;"&amp;#REF!,'MP내역(적극)'!D:D,"&lt;&gt;"&amp;#REF!,'MP내역(적극)'!B:B,"&lt;&gt;현금",'MP내역(적극)'!B:B,"&lt;&gt;합계")=0,"O","X"))</f>
        <v/>
      </c>
      <c r="J265" s="15" t="str">
        <f>IF(A265="","",IF(AND(ABS(#REF!-SUMIFS('MP내역(적극)'!G:G,'MP내역(적극)'!A:A,A265,'MP내역(적극)'!F:F,"Y"))&lt;0.001,ABS(#REF!-SUMIFS('MP내역(적극)'!G:G,'MP내역(적극)'!A:A,A265,'MP내역(적극)'!B:B,"&lt;&gt;합계"))&lt;0.001),"O","X"))</f>
        <v/>
      </c>
      <c r="K265" s="15" t="str">
        <f>IF(A265="","",IF(COUNTIFS('MP내역(적극)'!A:A,A265,'MP내역(적극)'!H:H,"X")=0,"O","X"))</f>
        <v/>
      </c>
      <c r="L265" s="14"/>
    </row>
    <row r="266" spans="4:12" x14ac:dyDescent="0.3">
      <c r="D266" s="14"/>
      <c r="E266" s="15"/>
      <c r="G266" s="15" t="str">
        <f>IF(A266="","",IFERROR(IF(#REF!&gt;VLOOKUP(A266,'포트변경내역(중립)'!A:C,10,0),"O","X"),""))</f>
        <v/>
      </c>
      <c r="H266" s="15" t="str">
        <f>IF(A266="","",COUNTIFS('MP내역(적극)'!$A:$A,A266)-COUNTIFS('MP내역(적극)'!$A:$A,A266,'MP내역(적극)'!$B:$B,"현금")-COUNTIFS('MP내역(적극)'!$A:$A,A266,'MP내역(적극)'!$B:$B,"예수금")-COUNTIFS('MP내역(적극)'!$A:$A,A266,'MP내역(적극)'!$B:$B,"예탁금")-COUNTIFS('MP내역(적극)'!$A:$A,A266,'MP내역(적극)'!$B:$B,"합계"))</f>
        <v/>
      </c>
      <c r="I266" s="15" t="str">
        <f>IF(A266="","",IF(COUNTIFS('MP내역(적극)'!A:A,A266,'MP내역(적극)'!G:G,"&gt;"&amp;#REF!,'MP내역(적극)'!D:D,"&lt;&gt;"&amp;#REF!,'MP내역(적극)'!D:D,"&lt;&gt;"&amp;#REF!,'MP내역(적극)'!B:B,"&lt;&gt;현금",'MP내역(적극)'!B:B,"&lt;&gt;합계")=0,"O","X"))</f>
        <v/>
      </c>
      <c r="J266" s="15" t="str">
        <f>IF(A266="","",IF(AND(ABS(#REF!-SUMIFS('MP내역(적극)'!G:G,'MP내역(적극)'!A:A,A266,'MP내역(적극)'!F:F,"Y"))&lt;0.001,ABS(#REF!-SUMIFS('MP내역(적극)'!G:G,'MP내역(적극)'!A:A,A266,'MP내역(적극)'!B:B,"&lt;&gt;합계"))&lt;0.001),"O","X"))</f>
        <v/>
      </c>
      <c r="K266" s="15" t="str">
        <f>IF(A266="","",IF(COUNTIFS('MP내역(적극)'!A:A,A266,'MP내역(적극)'!H:H,"X")=0,"O","X"))</f>
        <v/>
      </c>
      <c r="L266" s="14"/>
    </row>
    <row r="267" spans="4:12" x14ac:dyDescent="0.3">
      <c r="D267" s="14"/>
      <c r="E267" s="15"/>
      <c r="G267" s="15" t="str">
        <f>IF(A267="","",IFERROR(IF(#REF!&gt;VLOOKUP(A267,'포트변경내역(중립)'!A:C,10,0),"O","X"),""))</f>
        <v/>
      </c>
      <c r="H267" s="15" t="str">
        <f>IF(A267="","",COUNTIFS('MP내역(적극)'!$A:$A,A267)-COUNTIFS('MP내역(적극)'!$A:$A,A267,'MP내역(적극)'!$B:$B,"현금")-COUNTIFS('MP내역(적극)'!$A:$A,A267,'MP내역(적극)'!$B:$B,"예수금")-COUNTIFS('MP내역(적극)'!$A:$A,A267,'MP내역(적극)'!$B:$B,"예탁금")-COUNTIFS('MP내역(적극)'!$A:$A,A267,'MP내역(적극)'!$B:$B,"합계"))</f>
        <v/>
      </c>
      <c r="I267" s="15" t="str">
        <f>IF(A267="","",IF(COUNTIFS('MP내역(적극)'!A:A,A267,'MP내역(적극)'!G:G,"&gt;"&amp;#REF!,'MP내역(적극)'!D:D,"&lt;&gt;"&amp;#REF!,'MP내역(적극)'!D:D,"&lt;&gt;"&amp;#REF!,'MP내역(적극)'!B:B,"&lt;&gt;현금",'MP내역(적극)'!B:B,"&lt;&gt;합계")=0,"O","X"))</f>
        <v/>
      </c>
      <c r="J267" s="15" t="str">
        <f>IF(A267="","",IF(AND(ABS(#REF!-SUMIFS('MP내역(적극)'!G:G,'MP내역(적극)'!A:A,A267,'MP내역(적극)'!F:F,"Y"))&lt;0.001,ABS(#REF!-SUMIFS('MP내역(적극)'!G:G,'MP내역(적극)'!A:A,A267,'MP내역(적극)'!B:B,"&lt;&gt;합계"))&lt;0.001),"O","X"))</f>
        <v/>
      </c>
      <c r="K267" s="15" t="str">
        <f>IF(A267="","",IF(COUNTIFS('MP내역(적극)'!A:A,A267,'MP내역(적극)'!H:H,"X")=0,"O","X"))</f>
        <v/>
      </c>
      <c r="L267" s="14"/>
    </row>
    <row r="268" spans="4:12" x14ac:dyDescent="0.3">
      <c r="D268" s="14"/>
      <c r="E268" s="15"/>
      <c r="G268" s="15" t="str">
        <f>IF(A268="","",IFERROR(IF(#REF!&gt;VLOOKUP(A268,'포트변경내역(중립)'!A:C,10,0),"O","X"),""))</f>
        <v/>
      </c>
      <c r="H268" s="15" t="str">
        <f>IF(A268="","",COUNTIFS('MP내역(적극)'!$A:$A,A268)-COUNTIFS('MP내역(적극)'!$A:$A,A268,'MP내역(적극)'!$B:$B,"현금")-COUNTIFS('MP내역(적극)'!$A:$A,A268,'MP내역(적극)'!$B:$B,"예수금")-COUNTIFS('MP내역(적극)'!$A:$A,A268,'MP내역(적극)'!$B:$B,"예탁금")-COUNTIFS('MP내역(적극)'!$A:$A,A268,'MP내역(적극)'!$B:$B,"합계"))</f>
        <v/>
      </c>
      <c r="I268" s="15" t="str">
        <f>IF(A268="","",IF(COUNTIFS('MP내역(적극)'!A:A,A268,'MP내역(적극)'!G:G,"&gt;"&amp;#REF!,'MP내역(적극)'!D:D,"&lt;&gt;"&amp;#REF!,'MP내역(적극)'!D:D,"&lt;&gt;"&amp;#REF!,'MP내역(적극)'!B:B,"&lt;&gt;현금",'MP내역(적극)'!B:B,"&lt;&gt;합계")=0,"O","X"))</f>
        <v/>
      </c>
      <c r="J268" s="15" t="str">
        <f>IF(A268="","",IF(AND(ABS(#REF!-SUMIFS('MP내역(적극)'!G:G,'MP내역(적극)'!A:A,A268,'MP내역(적극)'!F:F,"Y"))&lt;0.001,ABS(#REF!-SUMIFS('MP내역(적극)'!G:G,'MP내역(적극)'!A:A,A268,'MP내역(적극)'!B:B,"&lt;&gt;합계"))&lt;0.001),"O","X"))</f>
        <v/>
      </c>
      <c r="K268" s="15" t="str">
        <f>IF(A268="","",IF(COUNTIFS('MP내역(적극)'!A:A,A268,'MP내역(적극)'!H:H,"X")=0,"O","X"))</f>
        <v/>
      </c>
      <c r="L268" s="14"/>
    </row>
    <row r="269" spans="4:12" x14ac:dyDescent="0.3">
      <c r="D269" s="14"/>
      <c r="E269" s="15"/>
      <c r="G269" s="15" t="str">
        <f>IF(A269="","",IFERROR(IF(#REF!&gt;VLOOKUP(A269,'포트변경내역(중립)'!A:C,10,0),"O","X"),""))</f>
        <v/>
      </c>
      <c r="H269" s="15" t="str">
        <f>IF(A269="","",COUNTIFS('MP내역(적극)'!$A:$A,A269)-COUNTIFS('MP내역(적극)'!$A:$A,A269,'MP내역(적극)'!$B:$B,"현금")-COUNTIFS('MP내역(적극)'!$A:$A,A269,'MP내역(적극)'!$B:$B,"예수금")-COUNTIFS('MP내역(적극)'!$A:$A,A269,'MP내역(적극)'!$B:$B,"예탁금")-COUNTIFS('MP내역(적극)'!$A:$A,A269,'MP내역(적극)'!$B:$B,"합계"))</f>
        <v/>
      </c>
      <c r="I269" s="15" t="str">
        <f>IF(A269="","",IF(COUNTIFS('MP내역(적극)'!A:A,A269,'MP내역(적극)'!G:G,"&gt;"&amp;#REF!,'MP내역(적극)'!D:D,"&lt;&gt;"&amp;#REF!,'MP내역(적극)'!D:D,"&lt;&gt;"&amp;#REF!,'MP내역(적극)'!B:B,"&lt;&gt;현금",'MP내역(적극)'!B:B,"&lt;&gt;합계")=0,"O","X"))</f>
        <v/>
      </c>
      <c r="J269" s="15" t="str">
        <f>IF(A269="","",IF(AND(ABS(#REF!-SUMIFS('MP내역(적극)'!G:G,'MP내역(적극)'!A:A,A269,'MP내역(적극)'!F:F,"Y"))&lt;0.001,ABS(#REF!-SUMIFS('MP내역(적극)'!G:G,'MP내역(적극)'!A:A,A269,'MP내역(적극)'!B:B,"&lt;&gt;합계"))&lt;0.001),"O","X"))</f>
        <v/>
      </c>
      <c r="K269" s="15" t="str">
        <f>IF(A269="","",IF(COUNTIFS('MP내역(적극)'!A:A,A269,'MP내역(적극)'!H:H,"X")=0,"O","X"))</f>
        <v/>
      </c>
      <c r="L269" s="14"/>
    </row>
    <row r="270" spans="4:12" x14ac:dyDescent="0.3">
      <c r="D270" s="14"/>
      <c r="E270" s="15"/>
      <c r="G270" s="15" t="str">
        <f>IF(A270="","",IFERROR(IF(#REF!&gt;VLOOKUP(A270,'포트변경내역(중립)'!A:C,10,0),"O","X"),""))</f>
        <v/>
      </c>
      <c r="H270" s="15" t="str">
        <f>IF(A270="","",COUNTIFS('MP내역(적극)'!$A:$A,A270)-COUNTIFS('MP내역(적극)'!$A:$A,A270,'MP내역(적극)'!$B:$B,"현금")-COUNTIFS('MP내역(적극)'!$A:$A,A270,'MP내역(적극)'!$B:$B,"예수금")-COUNTIFS('MP내역(적극)'!$A:$A,A270,'MP내역(적극)'!$B:$B,"예탁금")-COUNTIFS('MP내역(적극)'!$A:$A,A270,'MP내역(적극)'!$B:$B,"합계"))</f>
        <v/>
      </c>
      <c r="I270" s="15" t="str">
        <f>IF(A270="","",IF(COUNTIFS('MP내역(적극)'!A:A,A270,'MP내역(적극)'!G:G,"&gt;"&amp;#REF!,'MP내역(적극)'!D:D,"&lt;&gt;"&amp;#REF!,'MP내역(적극)'!D:D,"&lt;&gt;"&amp;#REF!,'MP내역(적극)'!B:B,"&lt;&gt;현금",'MP내역(적극)'!B:B,"&lt;&gt;합계")=0,"O","X"))</f>
        <v/>
      </c>
      <c r="J270" s="15" t="str">
        <f>IF(A270="","",IF(AND(ABS(#REF!-SUMIFS('MP내역(적극)'!G:G,'MP내역(적극)'!A:A,A270,'MP내역(적극)'!F:F,"Y"))&lt;0.001,ABS(#REF!-SUMIFS('MP내역(적극)'!G:G,'MP내역(적극)'!A:A,A270,'MP내역(적극)'!B:B,"&lt;&gt;합계"))&lt;0.001),"O","X"))</f>
        <v/>
      </c>
      <c r="K270" s="15" t="str">
        <f>IF(A270="","",IF(COUNTIFS('MP내역(적극)'!A:A,A270,'MP내역(적극)'!H:H,"X")=0,"O","X"))</f>
        <v/>
      </c>
      <c r="L270" s="14"/>
    </row>
    <row r="271" spans="4:12" x14ac:dyDescent="0.3">
      <c r="D271" s="14"/>
      <c r="E271" s="15"/>
      <c r="G271" s="15" t="str">
        <f>IF(A271="","",IFERROR(IF(#REF!&gt;VLOOKUP(A271,'포트변경내역(중립)'!A:C,10,0),"O","X"),""))</f>
        <v/>
      </c>
      <c r="H271" s="15" t="str">
        <f>IF(A271="","",COUNTIFS('MP내역(적극)'!$A:$A,A271)-COUNTIFS('MP내역(적극)'!$A:$A,A271,'MP내역(적극)'!$B:$B,"현금")-COUNTIFS('MP내역(적극)'!$A:$A,A271,'MP내역(적극)'!$B:$B,"예수금")-COUNTIFS('MP내역(적극)'!$A:$A,A271,'MP내역(적극)'!$B:$B,"예탁금")-COUNTIFS('MP내역(적극)'!$A:$A,A271,'MP내역(적극)'!$B:$B,"합계"))</f>
        <v/>
      </c>
      <c r="I271" s="15" t="str">
        <f>IF(A271="","",IF(COUNTIFS('MP내역(적극)'!A:A,A271,'MP내역(적극)'!G:G,"&gt;"&amp;#REF!,'MP내역(적극)'!D:D,"&lt;&gt;"&amp;#REF!,'MP내역(적극)'!D:D,"&lt;&gt;"&amp;#REF!,'MP내역(적극)'!B:B,"&lt;&gt;현금",'MP내역(적극)'!B:B,"&lt;&gt;합계")=0,"O","X"))</f>
        <v/>
      </c>
      <c r="J271" s="15" t="str">
        <f>IF(A271="","",IF(AND(ABS(#REF!-SUMIFS('MP내역(적극)'!G:G,'MP내역(적극)'!A:A,A271,'MP내역(적극)'!F:F,"Y"))&lt;0.001,ABS(#REF!-SUMIFS('MP내역(적극)'!G:G,'MP내역(적극)'!A:A,A271,'MP내역(적극)'!B:B,"&lt;&gt;합계"))&lt;0.001),"O","X"))</f>
        <v/>
      </c>
      <c r="K271" s="15" t="str">
        <f>IF(A271="","",IF(COUNTIFS('MP내역(적극)'!A:A,A271,'MP내역(적극)'!H:H,"X")=0,"O","X"))</f>
        <v/>
      </c>
      <c r="L271" s="14"/>
    </row>
    <row r="272" spans="4:12" x14ac:dyDescent="0.3">
      <c r="D272" s="14"/>
      <c r="E272" s="15"/>
      <c r="G272" s="15" t="str">
        <f>IF(A272="","",IFERROR(IF(#REF!&gt;VLOOKUP(A272,'포트변경내역(중립)'!A:C,10,0),"O","X"),""))</f>
        <v/>
      </c>
      <c r="H272" s="15" t="str">
        <f>IF(A272="","",COUNTIFS('MP내역(적극)'!$A:$A,A272)-COUNTIFS('MP내역(적극)'!$A:$A,A272,'MP내역(적극)'!$B:$B,"현금")-COUNTIFS('MP내역(적극)'!$A:$A,A272,'MP내역(적극)'!$B:$B,"예수금")-COUNTIFS('MP내역(적극)'!$A:$A,A272,'MP내역(적극)'!$B:$B,"예탁금")-COUNTIFS('MP내역(적극)'!$A:$A,A272,'MP내역(적극)'!$B:$B,"합계"))</f>
        <v/>
      </c>
      <c r="I272" s="15" t="str">
        <f>IF(A272="","",IF(COUNTIFS('MP내역(적극)'!A:A,A272,'MP내역(적극)'!G:G,"&gt;"&amp;#REF!,'MP내역(적극)'!D:D,"&lt;&gt;"&amp;#REF!,'MP내역(적극)'!D:D,"&lt;&gt;"&amp;#REF!,'MP내역(적극)'!B:B,"&lt;&gt;현금",'MP내역(적극)'!B:B,"&lt;&gt;합계")=0,"O","X"))</f>
        <v/>
      </c>
      <c r="J272" s="15" t="str">
        <f>IF(A272="","",IF(AND(ABS(#REF!-SUMIFS('MP내역(적극)'!G:G,'MP내역(적극)'!A:A,A272,'MP내역(적극)'!F:F,"Y"))&lt;0.001,ABS(#REF!-SUMIFS('MP내역(적극)'!G:G,'MP내역(적극)'!A:A,A272,'MP내역(적극)'!B:B,"&lt;&gt;합계"))&lt;0.001),"O","X"))</f>
        <v/>
      </c>
      <c r="K272" s="15" t="str">
        <f>IF(A272="","",IF(COUNTIFS('MP내역(적극)'!A:A,A272,'MP내역(적극)'!H:H,"X")=0,"O","X"))</f>
        <v/>
      </c>
      <c r="L272" s="14"/>
    </row>
    <row r="273" spans="4:12" x14ac:dyDescent="0.3">
      <c r="D273" s="14"/>
      <c r="E273" s="15"/>
      <c r="G273" s="15" t="str">
        <f>IF(A273="","",IFERROR(IF(#REF!&gt;VLOOKUP(A273,'포트변경내역(중립)'!A:C,10,0),"O","X"),""))</f>
        <v/>
      </c>
      <c r="H273" s="15" t="str">
        <f>IF(A273="","",COUNTIFS('MP내역(적극)'!$A:$A,A273)-COUNTIFS('MP내역(적극)'!$A:$A,A273,'MP내역(적극)'!$B:$B,"현금")-COUNTIFS('MP내역(적극)'!$A:$A,A273,'MP내역(적극)'!$B:$B,"예수금")-COUNTIFS('MP내역(적극)'!$A:$A,A273,'MP내역(적극)'!$B:$B,"예탁금")-COUNTIFS('MP내역(적극)'!$A:$A,A273,'MP내역(적극)'!$B:$B,"합계"))</f>
        <v/>
      </c>
      <c r="I273" s="15" t="str">
        <f>IF(A273="","",IF(COUNTIFS('MP내역(적극)'!A:A,A273,'MP내역(적극)'!G:G,"&gt;"&amp;#REF!,'MP내역(적극)'!D:D,"&lt;&gt;"&amp;#REF!,'MP내역(적극)'!D:D,"&lt;&gt;"&amp;#REF!,'MP내역(적극)'!B:B,"&lt;&gt;현금",'MP내역(적극)'!B:B,"&lt;&gt;합계")=0,"O","X"))</f>
        <v/>
      </c>
      <c r="J273" s="15" t="str">
        <f>IF(A273="","",IF(AND(ABS(#REF!-SUMIFS('MP내역(적극)'!G:G,'MP내역(적극)'!A:A,A273,'MP내역(적극)'!F:F,"Y"))&lt;0.001,ABS(#REF!-SUMIFS('MP내역(적극)'!G:G,'MP내역(적극)'!A:A,A273,'MP내역(적극)'!B:B,"&lt;&gt;합계"))&lt;0.001),"O","X"))</f>
        <v/>
      </c>
      <c r="K273" s="15" t="str">
        <f>IF(A273="","",IF(COUNTIFS('MP내역(적극)'!A:A,A273,'MP내역(적극)'!H:H,"X")=0,"O","X"))</f>
        <v/>
      </c>
      <c r="L273" s="14"/>
    </row>
    <row r="274" spans="4:12" x14ac:dyDescent="0.3">
      <c r="D274" s="14"/>
      <c r="E274" s="15"/>
      <c r="G274" s="15" t="str">
        <f>IF(A274="","",IFERROR(IF(#REF!&gt;VLOOKUP(A274,'포트변경내역(중립)'!A:C,10,0),"O","X"),""))</f>
        <v/>
      </c>
      <c r="H274" s="15" t="str">
        <f>IF(A274="","",COUNTIFS('MP내역(적극)'!$A:$A,A274)-COUNTIFS('MP내역(적극)'!$A:$A,A274,'MP내역(적극)'!$B:$B,"현금")-COUNTIFS('MP내역(적극)'!$A:$A,A274,'MP내역(적극)'!$B:$B,"예수금")-COUNTIFS('MP내역(적극)'!$A:$A,A274,'MP내역(적극)'!$B:$B,"예탁금")-COUNTIFS('MP내역(적극)'!$A:$A,A274,'MP내역(적극)'!$B:$B,"합계"))</f>
        <v/>
      </c>
      <c r="I274" s="15" t="str">
        <f>IF(A274="","",IF(COUNTIFS('MP내역(적극)'!A:A,A274,'MP내역(적극)'!G:G,"&gt;"&amp;#REF!,'MP내역(적극)'!D:D,"&lt;&gt;"&amp;#REF!,'MP내역(적극)'!D:D,"&lt;&gt;"&amp;#REF!,'MP내역(적극)'!B:B,"&lt;&gt;현금",'MP내역(적극)'!B:B,"&lt;&gt;합계")=0,"O","X"))</f>
        <v/>
      </c>
      <c r="J274" s="15" t="str">
        <f>IF(A274="","",IF(AND(ABS(#REF!-SUMIFS('MP내역(적극)'!G:G,'MP내역(적극)'!A:A,A274,'MP내역(적극)'!F:F,"Y"))&lt;0.001,ABS(#REF!-SUMIFS('MP내역(적극)'!G:G,'MP내역(적극)'!A:A,A274,'MP내역(적극)'!B:B,"&lt;&gt;합계"))&lt;0.001),"O","X"))</f>
        <v/>
      </c>
      <c r="K274" s="15" t="str">
        <f>IF(A274="","",IF(COUNTIFS('MP내역(적극)'!A:A,A274,'MP내역(적극)'!H:H,"X")=0,"O","X"))</f>
        <v/>
      </c>
      <c r="L274" s="14"/>
    </row>
    <row r="275" spans="4:12" x14ac:dyDescent="0.3">
      <c r="D275" s="14"/>
      <c r="E275" s="15"/>
      <c r="G275" s="15" t="str">
        <f>IF(A275="","",IFERROR(IF(#REF!&gt;VLOOKUP(A275,'포트변경내역(중립)'!A:C,10,0),"O","X"),""))</f>
        <v/>
      </c>
      <c r="H275" s="15" t="str">
        <f>IF(A275="","",COUNTIFS('MP내역(적극)'!$A:$A,A275)-COUNTIFS('MP내역(적극)'!$A:$A,A275,'MP내역(적극)'!$B:$B,"현금")-COUNTIFS('MP내역(적극)'!$A:$A,A275,'MP내역(적극)'!$B:$B,"예수금")-COUNTIFS('MP내역(적극)'!$A:$A,A275,'MP내역(적극)'!$B:$B,"예탁금")-COUNTIFS('MP내역(적극)'!$A:$A,A275,'MP내역(적극)'!$B:$B,"합계"))</f>
        <v/>
      </c>
      <c r="I275" s="15" t="str">
        <f>IF(A275="","",IF(COUNTIFS('MP내역(적극)'!A:A,A275,'MP내역(적극)'!G:G,"&gt;"&amp;#REF!,'MP내역(적극)'!D:D,"&lt;&gt;"&amp;#REF!,'MP내역(적극)'!D:D,"&lt;&gt;"&amp;#REF!,'MP내역(적극)'!B:B,"&lt;&gt;현금",'MP내역(적극)'!B:B,"&lt;&gt;합계")=0,"O","X"))</f>
        <v/>
      </c>
      <c r="J275" s="15" t="str">
        <f>IF(A275="","",IF(AND(ABS(#REF!-SUMIFS('MP내역(적극)'!G:G,'MP내역(적극)'!A:A,A275,'MP내역(적극)'!F:F,"Y"))&lt;0.001,ABS(#REF!-SUMIFS('MP내역(적극)'!G:G,'MP내역(적극)'!A:A,A275,'MP내역(적극)'!B:B,"&lt;&gt;합계"))&lt;0.001),"O","X"))</f>
        <v/>
      </c>
      <c r="K275" s="15" t="str">
        <f>IF(A275="","",IF(COUNTIFS('MP내역(적극)'!A:A,A275,'MP내역(적극)'!H:H,"X")=0,"O","X"))</f>
        <v/>
      </c>
      <c r="L275" s="14"/>
    </row>
    <row r="276" spans="4:12" x14ac:dyDescent="0.3">
      <c r="D276" s="14"/>
      <c r="E276" s="15"/>
      <c r="G276" s="15" t="str">
        <f>IF(A276="","",IFERROR(IF(#REF!&gt;VLOOKUP(A276,'포트변경내역(중립)'!A:C,10,0),"O","X"),""))</f>
        <v/>
      </c>
      <c r="H276" s="15" t="str">
        <f>IF(A276="","",COUNTIFS('MP내역(적극)'!$A:$A,A276)-COUNTIFS('MP내역(적극)'!$A:$A,A276,'MP내역(적극)'!$B:$B,"현금")-COUNTIFS('MP내역(적극)'!$A:$A,A276,'MP내역(적극)'!$B:$B,"예수금")-COUNTIFS('MP내역(적극)'!$A:$A,A276,'MP내역(적극)'!$B:$B,"예탁금")-COUNTIFS('MP내역(적극)'!$A:$A,A276,'MP내역(적극)'!$B:$B,"합계"))</f>
        <v/>
      </c>
      <c r="I276" s="15" t="str">
        <f>IF(A276="","",IF(COUNTIFS('MP내역(적극)'!A:A,A276,'MP내역(적극)'!G:G,"&gt;"&amp;#REF!,'MP내역(적극)'!D:D,"&lt;&gt;"&amp;#REF!,'MP내역(적극)'!D:D,"&lt;&gt;"&amp;#REF!,'MP내역(적극)'!B:B,"&lt;&gt;현금",'MP내역(적극)'!B:B,"&lt;&gt;합계")=0,"O","X"))</f>
        <v/>
      </c>
      <c r="J276" s="15" t="str">
        <f>IF(A276="","",IF(AND(ABS(#REF!-SUMIFS('MP내역(적극)'!G:G,'MP내역(적극)'!A:A,A276,'MP내역(적극)'!F:F,"Y"))&lt;0.001,ABS(#REF!-SUMIFS('MP내역(적극)'!G:G,'MP내역(적극)'!A:A,A276,'MP내역(적극)'!B:B,"&lt;&gt;합계"))&lt;0.001),"O","X"))</f>
        <v/>
      </c>
      <c r="K276" s="15" t="str">
        <f>IF(A276="","",IF(COUNTIFS('MP내역(적극)'!A:A,A276,'MP내역(적극)'!H:H,"X")=0,"O","X"))</f>
        <v/>
      </c>
      <c r="L276" s="14"/>
    </row>
    <row r="277" spans="4:12" x14ac:dyDescent="0.3">
      <c r="D277" s="14"/>
      <c r="E277" s="15"/>
      <c r="G277" s="15" t="str">
        <f>IF(A277="","",IFERROR(IF(#REF!&gt;VLOOKUP(A277,'포트변경내역(중립)'!A:C,10,0),"O","X"),""))</f>
        <v/>
      </c>
      <c r="H277" s="15" t="str">
        <f>IF(A277="","",COUNTIFS('MP내역(적극)'!$A:$A,A277)-COUNTIFS('MP내역(적극)'!$A:$A,A277,'MP내역(적극)'!$B:$B,"현금")-COUNTIFS('MP내역(적극)'!$A:$A,A277,'MP내역(적극)'!$B:$B,"예수금")-COUNTIFS('MP내역(적극)'!$A:$A,A277,'MP내역(적극)'!$B:$B,"예탁금")-COUNTIFS('MP내역(적극)'!$A:$A,A277,'MP내역(적극)'!$B:$B,"합계"))</f>
        <v/>
      </c>
      <c r="I277" s="15" t="str">
        <f>IF(A277="","",IF(COUNTIFS('MP내역(적극)'!A:A,A277,'MP내역(적극)'!G:G,"&gt;"&amp;#REF!,'MP내역(적극)'!D:D,"&lt;&gt;"&amp;#REF!,'MP내역(적극)'!D:D,"&lt;&gt;"&amp;#REF!,'MP내역(적극)'!B:B,"&lt;&gt;현금",'MP내역(적극)'!B:B,"&lt;&gt;합계")=0,"O","X"))</f>
        <v/>
      </c>
      <c r="J277" s="15" t="str">
        <f>IF(A277="","",IF(AND(ABS(#REF!-SUMIFS('MP내역(적극)'!G:G,'MP내역(적극)'!A:A,A277,'MP내역(적극)'!F:F,"Y"))&lt;0.001,ABS(#REF!-SUMIFS('MP내역(적극)'!G:G,'MP내역(적극)'!A:A,A277,'MP내역(적극)'!B:B,"&lt;&gt;합계"))&lt;0.001),"O","X"))</f>
        <v/>
      </c>
      <c r="K277" s="15" t="str">
        <f>IF(A277="","",IF(COUNTIFS('MP내역(적극)'!A:A,A277,'MP내역(적극)'!H:H,"X")=0,"O","X"))</f>
        <v/>
      </c>
      <c r="L277" s="14"/>
    </row>
    <row r="278" spans="4:12" x14ac:dyDescent="0.3">
      <c r="D278" s="14"/>
      <c r="E278" s="15"/>
      <c r="G278" s="15" t="str">
        <f>IF(A278="","",IFERROR(IF(#REF!&gt;VLOOKUP(A278,'포트변경내역(중립)'!A:C,10,0),"O","X"),""))</f>
        <v/>
      </c>
      <c r="H278" s="15" t="str">
        <f>IF(A278="","",COUNTIFS('MP내역(적극)'!$A:$A,A278)-COUNTIFS('MP내역(적극)'!$A:$A,A278,'MP내역(적극)'!$B:$B,"현금")-COUNTIFS('MP내역(적극)'!$A:$A,A278,'MP내역(적극)'!$B:$B,"예수금")-COUNTIFS('MP내역(적극)'!$A:$A,A278,'MP내역(적극)'!$B:$B,"예탁금")-COUNTIFS('MP내역(적극)'!$A:$A,A278,'MP내역(적극)'!$B:$B,"합계"))</f>
        <v/>
      </c>
      <c r="I278" s="15" t="str">
        <f>IF(A278="","",IF(COUNTIFS('MP내역(적극)'!A:A,A278,'MP내역(적극)'!G:G,"&gt;"&amp;#REF!,'MP내역(적극)'!D:D,"&lt;&gt;"&amp;#REF!,'MP내역(적극)'!D:D,"&lt;&gt;"&amp;#REF!,'MP내역(적극)'!B:B,"&lt;&gt;현금",'MP내역(적극)'!B:B,"&lt;&gt;합계")=0,"O","X"))</f>
        <v/>
      </c>
      <c r="J278" s="15" t="str">
        <f>IF(A278="","",IF(AND(ABS(#REF!-SUMIFS('MP내역(적극)'!G:G,'MP내역(적극)'!A:A,A278,'MP내역(적극)'!F:F,"Y"))&lt;0.001,ABS(#REF!-SUMIFS('MP내역(적극)'!G:G,'MP내역(적극)'!A:A,A278,'MP내역(적극)'!B:B,"&lt;&gt;합계"))&lt;0.001),"O","X"))</f>
        <v/>
      </c>
      <c r="K278" s="15" t="str">
        <f>IF(A278="","",IF(COUNTIFS('MP내역(적극)'!A:A,A278,'MP내역(적극)'!H:H,"X")=0,"O","X"))</f>
        <v/>
      </c>
      <c r="L278" s="14"/>
    </row>
    <row r="279" spans="4:12" x14ac:dyDescent="0.3">
      <c r="D279" s="14"/>
      <c r="E279" s="15"/>
      <c r="G279" s="15" t="str">
        <f>IF(A279="","",IFERROR(IF(#REF!&gt;VLOOKUP(A279,'포트변경내역(중립)'!A:C,10,0),"O","X"),""))</f>
        <v/>
      </c>
      <c r="H279" s="15" t="str">
        <f>IF(A279="","",COUNTIFS('MP내역(적극)'!$A:$A,A279)-COUNTIFS('MP내역(적극)'!$A:$A,A279,'MP내역(적극)'!$B:$B,"현금")-COUNTIFS('MP내역(적극)'!$A:$A,A279,'MP내역(적극)'!$B:$B,"예수금")-COUNTIFS('MP내역(적극)'!$A:$A,A279,'MP내역(적극)'!$B:$B,"예탁금")-COUNTIFS('MP내역(적극)'!$A:$A,A279,'MP내역(적극)'!$B:$B,"합계"))</f>
        <v/>
      </c>
      <c r="I279" s="15" t="str">
        <f>IF(A279="","",IF(COUNTIFS('MP내역(적극)'!A:A,A279,'MP내역(적극)'!G:G,"&gt;"&amp;#REF!,'MP내역(적극)'!D:D,"&lt;&gt;"&amp;#REF!,'MP내역(적극)'!D:D,"&lt;&gt;"&amp;#REF!,'MP내역(적극)'!B:B,"&lt;&gt;현금",'MP내역(적극)'!B:B,"&lt;&gt;합계")=0,"O","X"))</f>
        <v/>
      </c>
      <c r="J279" s="15" t="str">
        <f>IF(A279="","",IF(AND(ABS(#REF!-SUMIFS('MP내역(적극)'!G:G,'MP내역(적극)'!A:A,A279,'MP내역(적극)'!F:F,"Y"))&lt;0.001,ABS(#REF!-SUMIFS('MP내역(적극)'!G:G,'MP내역(적극)'!A:A,A279,'MP내역(적극)'!B:B,"&lt;&gt;합계"))&lt;0.001),"O","X"))</f>
        <v/>
      </c>
      <c r="K279" s="15" t="str">
        <f>IF(A279="","",IF(COUNTIFS('MP내역(적극)'!A:A,A279,'MP내역(적극)'!H:H,"X")=0,"O","X"))</f>
        <v/>
      </c>
      <c r="L279" s="14"/>
    </row>
    <row r="280" spans="4:12" x14ac:dyDescent="0.3">
      <c r="D280" s="14"/>
      <c r="E280" s="15"/>
      <c r="G280" s="15" t="str">
        <f>IF(A280="","",IFERROR(IF(#REF!&gt;VLOOKUP(A280,'포트변경내역(중립)'!A:C,10,0),"O","X"),""))</f>
        <v/>
      </c>
      <c r="H280" s="15" t="str">
        <f>IF(A280="","",COUNTIFS('MP내역(적극)'!$A:$A,A280)-COUNTIFS('MP내역(적극)'!$A:$A,A280,'MP내역(적극)'!$B:$B,"현금")-COUNTIFS('MP내역(적극)'!$A:$A,A280,'MP내역(적극)'!$B:$B,"예수금")-COUNTIFS('MP내역(적극)'!$A:$A,A280,'MP내역(적극)'!$B:$B,"예탁금")-COUNTIFS('MP내역(적극)'!$A:$A,A280,'MP내역(적극)'!$B:$B,"합계"))</f>
        <v/>
      </c>
      <c r="I280" s="15" t="str">
        <f>IF(A280="","",IF(COUNTIFS('MP내역(적극)'!A:A,A280,'MP내역(적극)'!G:G,"&gt;"&amp;#REF!,'MP내역(적극)'!D:D,"&lt;&gt;"&amp;#REF!,'MP내역(적극)'!D:D,"&lt;&gt;"&amp;#REF!,'MP내역(적극)'!B:B,"&lt;&gt;현금",'MP내역(적극)'!B:B,"&lt;&gt;합계")=0,"O","X"))</f>
        <v/>
      </c>
      <c r="J280" s="15" t="str">
        <f>IF(A280="","",IF(AND(ABS(#REF!-SUMIFS('MP내역(적극)'!G:G,'MP내역(적극)'!A:A,A280,'MP내역(적극)'!F:F,"Y"))&lt;0.001,ABS(#REF!-SUMIFS('MP내역(적극)'!G:G,'MP내역(적극)'!A:A,A280,'MP내역(적극)'!B:B,"&lt;&gt;합계"))&lt;0.001),"O","X"))</f>
        <v/>
      </c>
      <c r="K280" s="15" t="str">
        <f>IF(A280="","",IF(COUNTIFS('MP내역(적극)'!A:A,A280,'MP내역(적극)'!H:H,"X")=0,"O","X"))</f>
        <v/>
      </c>
      <c r="L280" s="14"/>
    </row>
    <row r="281" spans="4:12" x14ac:dyDescent="0.3">
      <c r="D281" s="14"/>
      <c r="E281" s="15"/>
      <c r="G281" s="15" t="str">
        <f>IF(A281="","",IFERROR(IF(#REF!&gt;VLOOKUP(A281,'포트변경내역(중립)'!A:C,10,0),"O","X"),""))</f>
        <v/>
      </c>
      <c r="H281" s="15" t="str">
        <f>IF(A281="","",COUNTIFS('MP내역(적극)'!$A:$A,A281)-COUNTIFS('MP내역(적극)'!$A:$A,A281,'MP내역(적극)'!$B:$B,"현금")-COUNTIFS('MP내역(적극)'!$A:$A,A281,'MP내역(적극)'!$B:$B,"예수금")-COUNTIFS('MP내역(적극)'!$A:$A,A281,'MP내역(적극)'!$B:$B,"예탁금")-COUNTIFS('MP내역(적극)'!$A:$A,A281,'MP내역(적극)'!$B:$B,"합계"))</f>
        <v/>
      </c>
      <c r="I281" s="15" t="str">
        <f>IF(A281="","",IF(COUNTIFS('MP내역(적극)'!A:A,A281,'MP내역(적극)'!G:G,"&gt;"&amp;#REF!,'MP내역(적극)'!D:D,"&lt;&gt;"&amp;#REF!,'MP내역(적극)'!D:D,"&lt;&gt;"&amp;#REF!,'MP내역(적극)'!B:B,"&lt;&gt;현금",'MP내역(적극)'!B:B,"&lt;&gt;합계")=0,"O","X"))</f>
        <v/>
      </c>
      <c r="J281" s="15" t="str">
        <f>IF(A281="","",IF(AND(ABS(#REF!-SUMIFS('MP내역(적극)'!G:G,'MP내역(적극)'!A:A,A281,'MP내역(적극)'!F:F,"Y"))&lt;0.001,ABS(#REF!-SUMIFS('MP내역(적극)'!G:G,'MP내역(적극)'!A:A,A281,'MP내역(적극)'!B:B,"&lt;&gt;합계"))&lt;0.001),"O","X"))</f>
        <v/>
      </c>
      <c r="K281" s="15" t="str">
        <f>IF(A281="","",IF(COUNTIFS('MP내역(적극)'!A:A,A281,'MP내역(적극)'!H:H,"X")=0,"O","X"))</f>
        <v/>
      </c>
      <c r="L281" s="14"/>
    </row>
    <row r="282" spans="4:12" x14ac:dyDescent="0.3">
      <c r="D282" s="14"/>
      <c r="E282" s="15"/>
      <c r="G282" s="15" t="str">
        <f>IF(A282="","",IFERROR(IF(#REF!&gt;VLOOKUP(A282,'포트변경내역(중립)'!A:C,10,0),"O","X"),""))</f>
        <v/>
      </c>
      <c r="H282" s="15" t="str">
        <f>IF(A282="","",COUNTIFS('MP내역(적극)'!$A:$A,A282)-COUNTIFS('MP내역(적극)'!$A:$A,A282,'MP내역(적극)'!$B:$B,"현금")-COUNTIFS('MP내역(적극)'!$A:$A,A282,'MP내역(적극)'!$B:$B,"예수금")-COUNTIFS('MP내역(적극)'!$A:$A,A282,'MP내역(적극)'!$B:$B,"예탁금")-COUNTIFS('MP내역(적극)'!$A:$A,A282,'MP내역(적극)'!$B:$B,"합계"))</f>
        <v/>
      </c>
      <c r="I282" s="15" t="str">
        <f>IF(A282="","",IF(COUNTIFS('MP내역(적극)'!A:A,A282,'MP내역(적극)'!G:G,"&gt;"&amp;#REF!,'MP내역(적극)'!D:D,"&lt;&gt;"&amp;#REF!,'MP내역(적극)'!D:D,"&lt;&gt;"&amp;#REF!,'MP내역(적극)'!B:B,"&lt;&gt;현금",'MP내역(적극)'!B:B,"&lt;&gt;합계")=0,"O","X"))</f>
        <v/>
      </c>
      <c r="J282" s="15" t="str">
        <f>IF(A282="","",IF(AND(ABS(#REF!-SUMIFS('MP내역(적극)'!G:G,'MP내역(적극)'!A:A,A282,'MP내역(적극)'!F:F,"Y"))&lt;0.001,ABS(#REF!-SUMIFS('MP내역(적극)'!G:G,'MP내역(적극)'!A:A,A282,'MP내역(적극)'!B:B,"&lt;&gt;합계"))&lt;0.001),"O","X"))</f>
        <v/>
      </c>
      <c r="K282" s="15" t="str">
        <f>IF(A282="","",IF(COUNTIFS('MP내역(적극)'!A:A,A282,'MP내역(적극)'!H:H,"X")=0,"O","X"))</f>
        <v/>
      </c>
      <c r="L282" s="14"/>
    </row>
    <row r="283" spans="4:12" x14ac:dyDescent="0.3">
      <c r="D283" s="14"/>
      <c r="E283" s="15"/>
      <c r="G283" s="15" t="str">
        <f>IF(A283="","",IFERROR(IF(#REF!&gt;VLOOKUP(A283,'포트변경내역(중립)'!A:C,10,0),"O","X"),""))</f>
        <v/>
      </c>
      <c r="H283" s="15" t="str">
        <f>IF(A283="","",COUNTIFS('MP내역(적극)'!$A:$A,A283)-COUNTIFS('MP내역(적극)'!$A:$A,A283,'MP내역(적극)'!$B:$B,"현금")-COUNTIFS('MP내역(적극)'!$A:$A,A283,'MP내역(적극)'!$B:$B,"예수금")-COUNTIFS('MP내역(적극)'!$A:$A,A283,'MP내역(적극)'!$B:$B,"예탁금")-COUNTIFS('MP내역(적극)'!$A:$A,A283,'MP내역(적극)'!$B:$B,"합계"))</f>
        <v/>
      </c>
      <c r="I283" s="15" t="str">
        <f>IF(A283="","",IF(COUNTIFS('MP내역(적극)'!A:A,A283,'MP내역(적극)'!G:G,"&gt;"&amp;#REF!,'MP내역(적극)'!D:D,"&lt;&gt;"&amp;#REF!,'MP내역(적극)'!D:D,"&lt;&gt;"&amp;#REF!,'MP내역(적극)'!B:B,"&lt;&gt;현금",'MP내역(적극)'!B:B,"&lt;&gt;합계")=0,"O","X"))</f>
        <v/>
      </c>
      <c r="J283" s="15" t="str">
        <f>IF(A283="","",IF(AND(ABS(#REF!-SUMIFS('MP내역(적극)'!G:G,'MP내역(적극)'!A:A,A283,'MP내역(적극)'!F:F,"Y"))&lt;0.001,ABS(#REF!-SUMIFS('MP내역(적극)'!G:G,'MP내역(적극)'!A:A,A283,'MP내역(적극)'!B:B,"&lt;&gt;합계"))&lt;0.001),"O","X"))</f>
        <v/>
      </c>
      <c r="K283" s="15" t="str">
        <f>IF(A283="","",IF(COUNTIFS('MP내역(적극)'!A:A,A283,'MP내역(적극)'!H:H,"X")=0,"O","X"))</f>
        <v/>
      </c>
      <c r="L283" s="14"/>
    </row>
    <row r="284" spans="4:12" x14ac:dyDescent="0.3">
      <c r="D284" s="14"/>
      <c r="E284" s="15"/>
      <c r="G284" s="15" t="str">
        <f>IF(A284="","",IFERROR(IF(#REF!&gt;VLOOKUP(A284,'포트변경내역(중립)'!A:C,10,0),"O","X"),""))</f>
        <v/>
      </c>
      <c r="H284" s="15" t="str">
        <f>IF(A284="","",COUNTIFS('MP내역(적극)'!$A:$A,A284)-COUNTIFS('MP내역(적극)'!$A:$A,A284,'MP내역(적극)'!$B:$B,"현금")-COUNTIFS('MP내역(적극)'!$A:$A,A284,'MP내역(적극)'!$B:$B,"예수금")-COUNTIFS('MP내역(적극)'!$A:$A,A284,'MP내역(적극)'!$B:$B,"예탁금")-COUNTIFS('MP내역(적극)'!$A:$A,A284,'MP내역(적극)'!$B:$B,"합계"))</f>
        <v/>
      </c>
      <c r="I284" s="15" t="str">
        <f>IF(A284="","",IF(COUNTIFS('MP내역(적극)'!A:A,A284,'MP내역(적극)'!G:G,"&gt;"&amp;#REF!,'MP내역(적극)'!D:D,"&lt;&gt;"&amp;#REF!,'MP내역(적극)'!D:D,"&lt;&gt;"&amp;#REF!,'MP내역(적극)'!B:B,"&lt;&gt;현금",'MP내역(적극)'!B:B,"&lt;&gt;합계")=0,"O","X"))</f>
        <v/>
      </c>
      <c r="J284" s="15" t="str">
        <f>IF(A284="","",IF(AND(ABS(#REF!-SUMIFS('MP내역(적극)'!G:G,'MP내역(적극)'!A:A,A284,'MP내역(적극)'!F:F,"Y"))&lt;0.001,ABS(#REF!-SUMIFS('MP내역(적극)'!G:G,'MP내역(적극)'!A:A,A284,'MP내역(적극)'!B:B,"&lt;&gt;합계"))&lt;0.001),"O","X"))</f>
        <v/>
      </c>
      <c r="K284" s="15" t="str">
        <f>IF(A284="","",IF(COUNTIFS('MP내역(적극)'!A:A,A284,'MP내역(적극)'!H:H,"X")=0,"O","X"))</f>
        <v/>
      </c>
      <c r="L284" s="14"/>
    </row>
    <row r="285" spans="4:12" x14ac:dyDescent="0.3">
      <c r="D285" s="14"/>
      <c r="E285" s="15"/>
      <c r="G285" s="15" t="str">
        <f>IF(A285="","",IFERROR(IF(#REF!&gt;VLOOKUP(A285,'포트변경내역(중립)'!A:C,10,0),"O","X"),""))</f>
        <v/>
      </c>
      <c r="H285" s="15" t="str">
        <f>IF(A285="","",COUNTIFS('MP내역(적극)'!$A:$A,A285)-COUNTIFS('MP내역(적극)'!$A:$A,A285,'MP내역(적극)'!$B:$B,"현금")-COUNTIFS('MP내역(적극)'!$A:$A,A285,'MP내역(적극)'!$B:$B,"예수금")-COUNTIFS('MP내역(적극)'!$A:$A,A285,'MP내역(적극)'!$B:$B,"예탁금")-COUNTIFS('MP내역(적극)'!$A:$A,A285,'MP내역(적극)'!$B:$B,"합계"))</f>
        <v/>
      </c>
      <c r="I285" s="15" t="str">
        <f>IF(A285="","",IF(COUNTIFS('MP내역(적극)'!A:A,A285,'MP내역(적극)'!G:G,"&gt;"&amp;#REF!,'MP내역(적극)'!D:D,"&lt;&gt;"&amp;#REF!,'MP내역(적극)'!D:D,"&lt;&gt;"&amp;#REF!,'MP내역(적극)'!B:B,"&lt;&gt;현금",'MP내역(적극)'!B:B,"&lt;&gt;합계")=0,"O","X"))</f>
        <v/>
      </c>
      <c r="J285" s="15" t="str">
        <f>IF(A285="","",IF(AND(ABS(#REF!-SUMIFS('MP내역(적극)'!G:G,'MP내역(적극)'!A:A,A285,'MP내역(적극)'!F:F,"Y"))&lt;0.001,ABS(#REF!-SUMIFS('MP내역(적극)'!G:G,'MP내역(적극)'!A:A,A285,'MP내역(적극)'!B:B,"&lt;&gt;합계"))&lt;0.001),"O","X"))</f>
        <v/>
      </c>
      <c r="K285" s="15" t="str">
        <f>IF(A285="","",IF(COUNTIFS('MP내역(적극)'!A:A,A285,'MP내역(적극)'!H:H,"X")=0,"O","X"))</f>
        <v/>
      </c>
      <c r="L285" s="14"/>
    </row>
    <row r="286" spans="4:12" x14ac:dyDescent="0.3">
      <c r="D286" s="14"/>
      <c r="E286" s="15"/>
      <c r="G286" s="15" t="str">
        <f>IF(A286="","",IFERROR(IF(#REF!&gt;VLOOKUP(A286,'포트변경내역(중립)'!A:C,10,0),"O","X"),""))</f>
        <v/>
      </c>
      <c r="H286" s="15" t="str">
        <f>IF(A286="","",COUNTIFS('MP내역(적극)'!$A:$A,A286)-COUNTIFS('MP내역(적극)'!$A:$A,A286,'MP내역(적극)'!$B:$B,"현금")-COUNTIFS('MP내역(적극)'!$A:$A,A286,'MP내역(적극)'!$B:$B,"예수금")-COUNTIFS('MP내역(적극)'!$A:$A,A286,'MP내역(적극)'!$B:$B,"예탁금")-COUNTIFS('MP내역(적극)'!$A:$A,A286,'MP내역(적극)'!$B:$B,"합계"))</f>
        <v/>
      </c>
      <c r="I286" s="15" t="str">
        <f>IF(A286="","",IF(COUNTIFS('MP내역(적극)'!A:A,A286,'MP내역(적극)'!G:G,"&gt;"&amp;#REF!,'MP내역(적극)'!D:D,"&lt;&gt;"&amp;#REF!,'MP내역(적극)'!D:D,"&lt;&gt;"&amp;#REF!,'MP내역(적극)'!B:B,"&lt;&gt;현금",'MP내역(적극)'!B:B,"&lt;&gt;합계")=0,"O","X"))</f>
        <v/>
      </c>
      <c r="J286" s="15" t="str">
        <f>IF(A286="","",IF(AND(ABS(#REF!-SUMIFS('MP내역(적극)'!G:G,'MP내역(적극)'!A:A,A286,'MP내역(적극)'!F:F,"Y"))&lt;0.001,ABS(#REF!-SUMIFS('MP내역(적극)'!G:G,'MP내역(적극)'!A:A,A286,'MP내역(적극)'!B:B,"&lt;&gt;합계"))&lt;0.001),"O","X"))</f>
        <v/>
      </c>
      <c r="K286" s="15" t="str">
        <f>IF(A286="","",IF(COUNTIFS('MP내역(적극)'!A:A,A286,'MP내역(적극)'!H:H,"X")=0,"O","X"))</f>
        <v/>
      </c>
      <c r="L286" s="14"/>
    </row>
    <row r="287" spans="4:12" x14ac:dyDescent="0.3">
      <c r="D287" s="14"/>
      <c r="E287" s="15"/>
      <c r="G287" s="15" t="str">
        <f>IF(A287="","",IFERROR(IF(#REF!&gt;VLOOKUP(A287,'포트변경내역(중립)'!A:C,10,0),"O","X"),""))</f>
        <v/>
      </c>
      <c r="H287" s="15" t="str">
        <f>IF(A287="","",COUNTIFS('MP내역(적극)'!$A:$A,A287)-COUNTIFS('MP내역(적극)'!$A:$A,A287,'MP내역(적극)'!$B:$B,"현금")-COUNTIFS('MP내역(적극)'!$A:$A,A287,'MP내역(적극)'!$B:$B,"예수금")-COUNTIFS('MP내역(적극)'!$A:$A,A287,'MP내역(적극)'!$B:$B,"예탁금")-COUNTIFS('MP내역(적극)'!$A:$A,A287,'MP내역(적극)'!$B:$B,"합계"))</f>
        <v/>
      </c>
      <c r="I287" s="15" t="str">
        <f>IF(A287="","",IF(COUNTIFS('MP내역(적극)'!A:A,A287,'MP내역(적극)'!G:G,"&gt;"&amp;#REF!,'MP내역(적극)'!D:D,"&lt;&gt;"&amp;#REF!,'MP내역(적극)'!D:D,"&lt;&gt;"&amp;#REF!,'MP내역(적극)'!B:B,"&lt;&gt;현금",'MP내역(적극)'!B:B,"&lt;&gt;합계")=0,"O","X"))</f>
        <v/>
      </c>
      <c r="J287" s="15" t="str">
        <f>IF(A287="","",IF(AND(ABS(#REF!-SUMIFS('MP내역(적극)'!G:G,'MP내역(적극)'!A:A,A287,'MP내역(적극)'!F:F,"Y"))&lt;0.001,ABS(#REF!-SUMIFS('MP내역(적극)'!G:G,'MP내역(적극)'!A:A,A287,'MP내역(적극)'!B:B,"&lt;&gt;합계"))&lt;0.001),"O","X"))</f>
        <v/>
      </c>
      <c r="K287" s="15" t="str">
        <f>IF(A287="","",IF(COUNTIFS('MP내역(적극)'!A:A,A287,'MP내역(적극)'!H:H,"X")=0,"O","X"))</f>
        <v/>
      </c>
      <c r="L287" s="14"/>
    </row>
    <row r="288" spans="4:12" x14ac:dyDescent="0.3">
      <c r="D288" s="14"/>
      <c r="E288" s="15"/>
      <c r="G288" s="15" t="str">
        <f>IF(A288="","",IFERROR(IF(#REF!&gt;VLOOKUP(A288,'포트변경내역(중립)'!A:C,10,0),"O","X"),""))</f>
        <v/>
      </c>
      <c r="H288" s="15" t="str">
        <f>IF(A288="","",COUNTIFS('MP내역(적극)'!$A:$A,A288)-COUNTIFS('MP내역(적극)'!$A:$A,A288,'MP내역(적극)'!$B:$B,"현금")-COUNTIFS('MP내역(적극)'!$A:$A,A288,'MP내역(적극)'!$B:$B,"예수금")-COUNTIFS('MP내역(적극)'!$A:$A,A288,'MP내역(적극)'!$B:$B,"예탁금")-COUNTIFS('MP내역(적극)'!$A:$A,A288,'MP내역(적극)'!$B:$B,"합계"))</f>
        <v/>
      </c>
      <c r="I288" s="15" t="str">
        <f>IF(A288="","",IF(COUNTIFS('MP내역(적극)'!A:A,A288,'MP내역(적극)'!G:G,"&gt;"&amp;#REF!,'MP내역(적극)'!D:D,"&lt;&gt;"&amp;#REF!,'MP내역(적극)'!D:D,"&lt;&gt;"&amp;#REF!,'MP내역(적극)'!B:B,"&lt;&gt;현금",'MP내역(적극)'!B:B,"&lt;&gt;합계")=0,"O","X"))</f>
        <v/>
      </c>
      <c r="J288" s="15" t="str">
        <f>IF(A288="","",IF(AND(ABS(#REF!-SUMIFS('MP내역(적극)'!G:G,'MP내역(적극)'!A:A,A288,'MP내역(적극)'!F:F,"Y"))&lt;0.001,ABS(#REF!-SUMIFS('MP내역(적극)'!G:G,'MP내역(적극)'!A:A,A288,'MP내역(적극)'!B:B,"&lt;&gt;합계"))&lt;0.001),"O","X"))</f>
        <v/>
      </c>
      <c r="K288" s="15" t="str">
        <f>IF(A288="","",IF(COUNTIFS('MP내역(적극)'!A:A,A288,'MP내역(적극)'!H:H,"X")=0,"O","X"))</f>
        <v/>
      </c>
      <c r="L288" s="14"/>
    </row>
    <row r="289" spans="4:12" x14ac:dyDescent="0.3">
      <c r="D289" s="14"/>
      <c r="E289" s="15"/>
      <c r="G289" s="15" t="str">
        <f>IF(A289="","",IFERROR(IF(#REF!&gt;VLOOKUP(A289,'포트변경내역(중립)'!A:C,10,0),"O","X"),""))</f>
        <v/>
      </c>
      <c r="H289" s="15" t="str">
        <f>IF(A289="","",COUNTIFS('MP내역(적극)'!$A:$A,A289)-COUNTIFS('MP내역(적극)'!$A:$A,A289,'MP내역(적극)'!$B:$B,"현금")-COUNTIFS('MP내역(적극)'!$A:$A,A289,'MP내역(적극)'!$B:$B,"예수금")-COUNTIFS('MP내역(적극)'!$A:$A,A289,'MP내역(적극)'!$B:$B,"예탁금")-COUNTIFS('MP내역(적극)'!$A:$A,A289,'MP내역(적극)'!$B:$B,"합계"))</f>
        <v/>
      </c>
      <c r="I289" s="15" t="str">
        <f>IF(A289="","",IF(COUNTIFS('MP내역(적극)'!A:A,A289,'MP내역(적극)'!G:G,"&gt;"&amp;#REF!,'MP내역(적극)'!D:D,"&lt;&gt;"&amp;#REF!,'MP내역(적극)'!D:D,"&lt;&gt;"&amp;#REF!,'MP내역(적극)'!B:B,"&lt;&gt;현금",'MP내역(적극)'!B:B,"&lt;&gt;합계")=0,"O","X"))</f>
        <v/>
      </c>
      <c r="J289" s="15" t="str">
        <f>IF(A289="","",IF(AND(ABS(#REF!-SUMIFS('MP내역(적극)'!G:G,'MP내역(적극)'!A:A,A289,'MP내역(적극)'!F:F,"Y"))&lt;0.001,ABS(#REF!-SUMIFS('MP내역(적극)'!G:G,'MP내역(적극)'!A:A,A289,'MP내역(적극)'!B:B,"&lt;&gt;합계"))&lt;0.001),"O","X"))</f>
        <v/>
      </c>
      <c r="K289" s="15" t="str">
        <f>IF(A289="","",IF(COUNTIFS('MP내역(적극)'!A:A,A289,'MP내역(적극)'!H:H,"X")=0,"O","X"))</f>
        <v/>
      </c>
      <c r="L289" s="14"/>
    </row>
    <row r="290" spans="4:12" x14ac:dyDescent="0.3">
      <c r="D290" s="14"/>
      <c r="E290" s="15"/>
      <c r="G290" s="15" t="str">
        <f>IF(A290="","",IFERROR(IF(#REF!&gt;VLOOKUP(A290,'포트변경내역(중립)'!A:C,10,0),"O","X"),""))</f>
        <v/>
      </c>
      <c r="H290" s="15" t="str">
        <f>IF(A290="","",COUNTIFS('MP내역(적극)'!$A:$A,A290)-COUNTIFS('MP내역(적극)'!$A:$A,A290,'MP내역(적극)'!$B:$B,"현금")-COUNTIFS('MP내역(적극)'!$A:$A,A290,'MP내역(적극)'!$B:$B,"예수금")-COUNTIFS('MP내역(적극)'!$A:$A,A290,'MP내역(적극)'!$B:$B,"예탁금")-COUNTIFS('MP내역(적극)'!$A:$A,A290,'MP내역(적극)'!$B:$B,"합계"))</f>
        <v/>
      </c>
      <c r="I290" s="15" t="str">
        <f>IF(A290="","",IF(COUNTIFS('MP내역(적극)'!A:A,A290,'MP내역(적극)'!G:G,"&gt;"&amp;#REF!,'MP내역(적극)'!D:D,"&lt;&gt;"&amp;#REF!,'MP내역(적극)'!D:D,"&lt;&gt;"&amp;#REF!,'MP내역(적극)'!B:B,"&lt;&gt;현금",'MP내역(적극)'!B:B,"&lt;&gt;합계")=0,"O","X"))</f>
        <v/>
      </c>
      <c r="J290" s="15" t="str">
        <f>IF(A290="","",IF(AND(ABS(#REF!-SUMIFS('MP내역(적극)'!G:G,'MP내역(적극)'!A:A,A290,'MP내역(적극)'!F:F,"Y"))&lt;0.001,ABS(#REF!-SUMIFS('MP내역(적극)'!G:G,'MP내역(적극)'!A:A,A290,'MP내역(적극)'!B:B,"&lt;&gt;합계"))&lt;0.001),"O","X"))</f>
        <v/>
      </c>
      <c r="K290" s="15" t="str">
        <f>IF(A290="","",IF(COUNTIFS('MP내역(적극)'!A:A,A290,'MP내역(적극)'!H:H,"X")=0,"O","X"))</f>
        <v/>
      </c>
      <c r="L290" s="14"/>
    </row>
    <row r="291" spans="4:12" x14ac:dyDescent="0.3">
      <c r="D291" s="14"/>
      <c r="E291" s="15"/>
      <c r="G291" s="15" t="str">
        <f>IF(A291="","",IFERROR(IF(#REF!&gt;VLOOKUP(A291,'포트변경내역(중립)'!A:C,10,0),"O","X"),""))</f>
        <v/>
      </c>
      <c r="H291" s="15" t="str">
        <f>IF(A291="","",COUNTIFS('MP내역(적극)'!$A:$A,A291)-COUNTIFS('MP내역(적극)'!$A:$A,A291,'MP내역(적극)'!$B:$B,"현금")-COUNTIFS('MP내역(적극)'!$A:$A,A291,'MP내역(적극)'!$B:$B,"예수금")-COUNTIFS('MP내역(적극)'!$A:$A,A291,'MP내역(적극)'!$B:$B,"예탁금")-COUNTIFS('MP내역(적극)'!$A:$A,A291,'MP내역(적극)'!$B:$B,"합계"))</f>
        <v/>
      </c>
      <c r="I291" s="15" t="str">
        <f>IF(A291="","",IF(COUNTIFS('MP내역(적극)'!A:A,A291,'MP내역(적극)'!G:G,"&gt;"&amp;#REF!,'MP내역(적극)'!D:D,"&lt;&gt;"&amp;#REF!,'MP내역(적극)'!D:D,"&lt;&gt;"&amp;#REF!,'MP내역(적극)'!B:B,"&lt;&gt;현금",'MP내역(적극)'!B:B,"&lt;&gt;합계")=0,"O","X"))</f>
        <v/>
      </c>
      <c r="J291" s="15" t="str">
        <f>IF(A291="","",IF(AND(ABS(#REF!-SUMIFS('MP내역(적극)'!G:G,'MP내역(적극)'!A:A,A291,'MP내역(적극)'!F:F,"Y"))&lt;0.001,ABS(#REF!-SUMIFS('MP내역(적극)'!G:G,'MP내역(적극)'!A:A,A291,'MP내역(적극)'!B:B,"&lt;&gt;합계"))&lt;0.001),"O","X"))</f>
        <v/>
      </c>
      <c r="K291" s="15" t="str">
        <f>IF(A291="","",IF(COUNTIFS('MP내역(적극)'!A:A,A291,'MP내역(적극)'!H:H,"X")=0,"O","X"))</f>
        <v/>
      </c>
      <c r="L291" s="14"/>
    </row>
    <row r="292" spans="4:12" x14ac:dyDescent="0.3">
      <c r="D292" s="14"/>
      <c r="E292" s="15"/>
      <c r="G292" s="15" t="str">
        <f>IF(A292="","",IFERROR(IF(#REF!&gt;VLOOKUP(A292,'포트변경내역(중립)'!A:C,10,0),"O","X"),""))</f>
        <v/>
      </c>
      <c r="H292" s="15" t="str">
        <f>IF(A292="","",COUNTIFS('MP내역(적극)'!$A:$A,A292)-COUNTIFS('MP내역(적극)'!$A:$A,A292,'MP내역(적극)'!$B:$B,"현금")-COUNTIFS('MP내역(적극)'!$A:$A,A292,'MP내역(적극)'!$B:$B,"예수금")-COUNTIFS('MP내역(적극)'!$A:$A,A292,'MP내역(적극)'!$B:$B,"예탁금")-COUNTIFS('MP내역(적극)'!$A:$A,A292,'MP내역(적극)'!$B:$B,"합계"))</f>
        <v/>
      </c>
      <c r="I292" s="15" t="str">
        <f>IF(A292="","",IF(COUNTIFS('MP내역(적극)'!A:A,A292,'MP내역(적극)'!G:G,"&gt;"&amp;#REF!,'MP내역(적극)'!D:D,"&lt;&gt;"&amp;#REF!,'MP내역(적극)'!D:D,"&lt;&gt;"&amp;#REF!,'MP내역(적극)'!B:B,"&lt;&gt;현금",'MP내역(적극)'!B:B,"&lt;&gt;합계")=0,"O","X"))</f>
        <v/>
      </c>
      <c r="J292" s="15" t="str">
        <f>IF(A292="","",IF(AND(ABS(#REF!-SUMIFS('MP내역(적극)'!G:G,'MP내역(적극)'!A:A,A292,'MP내역(적극)'!F:F,"Y"))&lt;0.001,ABS(#REF!-SUMIFS('MP내역(적극)'!G:G,'MP내역(적극)'!A:A,A292,'MP내역(적극)'!B:B,"&lt;&gt;합계"))&lt;0.001),"O","X"))</f>
        <v/>
      </c>
      <c r="K292" s="15" t="str">
        <f>IF(A292="","",IF(COUNTIFS('MP내역(적극)'!A:A,A292,'MP내역(적극)'!H:H,"X")=0,"O","X"))</f>
        <v/>
      </c>
      <c r="L292" s="14"/>
    </row>
    <row r="293" spans="4:12" x14ac:dyDescent="0.3">
      <c r="D293" s="14"/>
      <c r="E293" s="15"/>
      <c r="G293" s="15" t="str">
        <f>IF(A293="","",IFERROR(IF(#REF!&gt;VLOOKUP(A293,'포트변경내역(중립)'!A:C,10,0),"O","X"),""))</f>
        <v/>
      </c>
      <c r="H293" s="15" t="str">
        <f>IF(A293="","",COUNTIFS('MP내역(적극)'!$A:$A,A293)-COUNTIFS('MP내역(적극)'!$A:$A,A293,'MP내역(적극)'!$B:$B,"현금")-COUNTIFS('MP내역(적극)'!$A:$A,A293,'MP내역(적극)'!$B:$B,"예수금")-COUNTIFS('MP내역(적극)'!$A:$A,A293,'MP내역(적극)'!$B:$B,"예탁금")-COUNTIFS('MP내역(적극)'!$A:$A,A293,'MP내역(적극)'!$B:$B,"합계"))</f>
        <v/>
      </c>
      <c r="I293" s="15" t="str">
        <f>IF(A293="","",IF(COUNTIFS('MP내역(적극)'!A:A,A293,'MP내역(적극)'!G:G,"&gt;"&amp;#REF!,'MP내역(적극)'!D:D,"&lt;&gt;"&amp;#REF!,'MP내역(적극)'!D:D,"&lt;&gt;"&amp;#REF!,'MP내역(적극)'!B:B,"&lt;&gt;현금",'MP내역(적극)'!B:B,"&lt;&gt;합계")=0,"O","X"))</f>
        <v/>
      </c>
      <c r="J293" s="15" t="str">
        <f>IF(A293="","",IF(AND(ABS(#REF!-SUMIFS('MP내역(적극)'!G:G,'MP내역(적극)'!A:A,A293,'MP내역(적극)'!F:F,"Y"))&lt;0.001,ABS(#REF!-SUMIFS('MP내역(적극)'!G:G,'MP내역(적극)'!A:A,A293,'MP내역(적극)'!B:B,"&lt;&gt;합계"))&lt;0.001),"O","X"))</f>
        <v/>
      </c>
      <c r="K293" s="15" t="str">
        <f>IF(A293="","",IF(COUNTIFS('MP내역(적극)'!A:A,A293,'MP내역(적극)'!H:H,"X")=0,"O","X"))</f>
        <v/>
      </c>
      <c r="L293" s="14"/>
    </row>
    <row r="294" spans="4:12" x14ac:dyDescent="0.3">
      <c r="D294" s="14"/>
      <c r="E294" s="15"/>
      <c r="G294" s="15" t="str">
        <f>IF(A294="","",IFERROR(IF(#REF!&gt;VLOOKUP(A294,'포트변경내역(중립)'!A:C,10,0),"O","X"),""))</f>
        <v/>
      </c>
      <c r="H294" s="15" t="str">
        <f>IF(A294="","",COUNTIFS('MP내역(적극)'!$A:$A,A294)-COUNTIFS('MP내역(적극)'!$A:$A,A294,'MP내역(적극)'!$B:$B,"현금")-COUNTIFS('MP내역(적극)'!$A:$A,A294,'MP내역(적극)'!$B:$B,"예수금")-COUNTIFS('MP내역(적극)'!$A:$A,A294,'MP내역(적극)'!$B:$B,"예탁금")-COUNTIFS('MP내역(적극)'!$A:$A,A294,'MP내역(적극)'!$B:$B,"합계"))</f>
        <v/>
      </c>
      <c r="I294" s="15" t="str">
        <f>IF(A294="","",IF(COUNTIFS('MP내역(적극)'!A:A,A294,'MP내역(적극)'!G:G,"&gt;"&amp;#REF!,'MP내역(적극)'!D:D,"&lt;&gt;"&amp;#REF!,'MP내역(적극)'!D:D,"&lt;&gt;"&amp;#REF!,'MP내역(적극)'!B:B,"&lt;&gt;현금",'MP내역(적극)'!B:B,"&lt;&gt;합계")=0,"O","X"))</f>
        <v/>
      </c>
      <c r="J294" s="15" t="str">
        <f>IF(A294="","",IF(AND(ABS(#REF!-SUMIFS('MP내역(적극)'!G:G,'MP내역(적극)'!A:A,A294,'MP내역(적극)'!F:F,"Y"))&lt;0.001,ABS(#REF!-SUMIFS('MP내역(적극)'!G:G,'MP내역(적극)'!A:A,A294,'MP내역(적극)'!B:B,"&lt;&gt;합계"))&lt;0.001),"O","X"))</f>
        <v/>
      </c>
      <c r="K294" s="15" t="str">
        <f>IF(A294="","",IF(COUNTIFS('MP내역(적극)'!A:A,A294,'MP내역(적극)'!H:H,"X")=0,"O","X"))</f>
        <v/>
      </c>
      <c r="L294" s="14"/>
    </row>
    <row r="295" spans="4:12" x14ac:dyDescent="0.3">
      <c r="D295" s="14"/>
      <c r="E295" s="15"/>
      <c r="G295" s="15" t="str">
        <f>IF(A295="","",IFERROR(IF(#REF!&gt;VLOOKUP(A295,'포트변경내역(중립)'!A:C,10,0),"O","X"),""))</f>
        <v/>
      </c>
      <c r="H295" s="15" t="str">
        <f>IF(A295="","",COUNTIFS('MP내역(적극)'!$A:$A,A295)-COUNTIFS('MP내역(적극)'!$A:$A,A295,'MP내역(적극)'!$B:$B,"현금")-COUNTIFS('MP내역(적극)'!$A:$A,A295,'MP내역(적극)'!$B:$B,"예수금")-COUNTIFS('MP내역(적극)'!$A:$A,A295,'MP내역(적극)'!$B:$B,"예탁금")-COUNTIFS('MP내역(적극)'!$A:$A,A295,'MP내역(적극)'!$B:$B,"합계"))</f>
        <v/>
      </c>
      <c r="I295" s="15" t="str">
        <f>IF(A295="","",IF(COUNTIFS('MP내역(적극)'!A:A,A295,'MP내역(적극)'!G:G,"&gt;"&amp;#REF!,'MP내역(적극)'!D:D,"&lt;&gt;"&amp;#REF!,'MP내역(적극)'!D:D,"&lt;&gt;"&amp;#REF!,'MP내역(적극)'!B:B,"&lt;&gt;현금",'MP내역(적극)'!B:B,"&lt;&gt;합계")=0,"O","X"))</f>
        <v/>
      </c>
      <c r="J295" s="15" t="str">
        <f>IF(A295="","",IF(AND(ABS(#REF!-SUMIFS('MP내역(적극)'!G:G,'MP내역(적극)'!A:A,A295,'MP내역(적극)'!F:F,"Y"))&lt;0.001,ABS(#REF!-SUMIFS('MP내역(적극)'!G:G,'MP내역(적극)'!A:A,A295,'MP내역(적극)'!B:B,"&lt;&gt;합계"))&lt;0.001),"O","X"))</f>
        <v/>
      </c>
      <c r="K295" s="15" t="str">
        <f>IF(A295="","",IF(COUNTIFS('MP내역(적극)'!A:A,A295,'MP내역(적극)'!H:H,"X")=0,"O","X"))</f>
        <v/>
      </c>
      <c r="L295" s="14"/>
    </row>
    <row r="296" spans="4:12" x14ac:dyDescent="0.3">
      <c r="D296" s="14"/>
      <c r="E296" s="15"/>
      <c r="G296" s="15" t="str">
        <f>IF(A296="","",IFERROR(IF(#REF!&gt;VLOOKUP(A296,'포트변경내역(중립)'!A:C,10,0),"O","X"),""))</f>
        <v/>
      </c>
      <c r="H296" s="15" t="str">
        <f>IF(A296="","",COUNTIFS('MP내역(적극)'!$A:$A,A296)-COUNTIFS('MP내역(적극)'!$A:$A,A296,'MP내역(적극)'!$B:$B,"현금")-COUNTIFS('MP내역(적극)'!$A:$A,A296,'MP내역(적극)'!$B:$B,"예수금")-COUNTIFS('MP내역(적극)'!$A:$A,A296,'MP내역(적극)'!$B:$B,"예탁금")-COUNTIFS('MP내역(적극)'!$A:$A,A296,'MP내역(적극)'!$B:$B,"합계"))</f>
        <v/>
      </c>
      <c r="I296" s="15" t="str">
        <f>IF(A296="","",IF(COUNTIFS('MP내역(적극)'!A:A,A296,'MP내역(적극)'!G:G,"&gt;"&amp;#REF!,'MP내역(적극)'!D:D,"&lt;&gt;"&amp;#REF!,'MP내역(적극)'!D:D,"&lt;&gt;"&amp;#REF!,'MP내역(적극)'!B:B,"&lt;&gt;현금",'MP내역(적극)'!B:B,"&lt;&gt;합계")=0,"O","X"))</f>
        <v/>
      </c>
      <c r="J296" s="15" t="str">
        <f>IF(A296="","",IF(AND(ABS(#REF!-SUMIFS('MP내역(적극)'!G:G,'MP내역(적극)'!A:A,A296,'MP내역(적극)'!F:F,"Y"))&lt;0.001,ABS(#REF!-SUMIFS('MP내역(적극)'!G:G,'MP내역(적극)'!A:A,A296,'MP내역(적극)'!B:B,"&lt;&gt;합계"))&lt;0.001),"O","X"))</f>
        <v/>
      </c>
      <c r="K296" s="15" t="str">
        <f>IF(A296="","",IF(COUNTIFS('MP내역(적극)'!A:A,A296,'MP내역(적극)'!H:H,"X")=0,"O","X"))</f>
        <v/>
      </c>
      <c r="L296" s="14"/>
    </row>
    <row r="297" spans="4:12" x14ac:dyDescent="0.3">
      <c r="D297" s="14"/>
      <c r="E297" s="15"/>
      <c r="G297" s="15" t="str">
        <f>IF(A297="","",IFERROR(IF(#REF!&gt;VLOOKUP(A297,'포트변경내역(중립)'!A:C,10,0),"O","X"),""))</f>
        <v/>
      </c>
      <c r="H297" s="15" t="str">
        <f>IF(A297="","",COUNTIFS('MP내역(적극)'!$A:$A,A297)-COUNTIFS('MP내역(적극)'!$A:$A,A297,'MP내역(적극)'!$B:$B,"현금")-COUNTIFS('MP내역(적극)'!$A:$A,A297,'MP내역(적극)'!$B:$B,"예수금")-COUNTIFS('MP내역(적극)'!$A:$A,A297,'MP내역(적극)'!$B:$B,"예탁금")-COUNTIFS('MP내역(적극)'!$A:$A,A297,'MP내역(적극)'!$B:$B,"합계"))</f>
        <v/>
      </c>
      <c r="I297" s="15" t="str">
        <f>IF(A297="","",IF(COUNTIFS('MP내역(적극)'!A:A,A297,'MP내역(적극)'!G:G,"&gt;"&amp;#REF!,'MP내역(적극)'!D:D,"&lt;&gt;"&amp;#REF!,'MP내역(적극)'!D:D,"&lt;&gt;"&amp;#REF!,'MP내역(적극)'!B:B,"&lt;&gt;현금",'MP내역(적극)'!B:B,"&lt;&gt;합계")=0,"O","X"))</f>
        <v/>
      </c>
      <c r="J297" s="15" t="str">
        <f>IF(A297="","",IF(AND(ABS(#REF!-SUMIFS('MP내역(적극)'!G:G,'MP내역(적극)'!A:A,A297,'MP내역(적극)'!F:F,"Y"))&lt;0.001,ABS(#REF!-SUMIFS('MP내역(적극)'!G:G,'MP내역(적극)'!A:A,A297,'MP내역(적극)'!B:B,"&lt;&gt;합계"))&lt;0.001),"O","X"))</f>
        <v/>
      </c>
      <c r="K297" s="15" t="str">
        <f>IF(A297="","",IF(COUNTIFS('MP내역(적극)'!A:A,A297,'MP내역(적극)'!H:H,"X")=0,"O","X"))</f>
        <v/>
      </c>
      <c r="L297" s="14"/>
    </row>
    <row r="298" spans="4:12" x14ac:dyDescent="0.3">
      <c r="D298" s="14"/>
      <c r="E298" s="15"/>
      <c r="G298" s="15" t="str">
        <f>IF(A298="","",IFERROR(IF(#REF!&gt;VLOOKUP(A298,'포트변경내역(중립)'!A:C,10,0),"O","X"),""))</f>
        <v/>
      </c>
      <c r="H298" s="15" t="str">
        <f>IF(A298="","",COUNTIFS('MP내역(적극)'!$A:$A,A298)-COUNTIFS('MP내역(적극)'!$A:$A,A298,'MP내역(적극)'!$B:$B,"현금")-COUNTIFS('MP내역(적극)'!$A:$A,A298,'MP내역(적극)'!$B:$B,"예수금")-COUNTIFS('MP내역(적극)'!$A:$A,A298,'MP내역(적극)'!$B:$B,"예탁금")-COUNTIFS('MP내역(적극)'!$A:$A,A298,'MP내역(적극)'!$B:$B,"합계"))</f>
        <v/>
      </c>
      <c r="I298" s="15" t="str">
        <f>IF(A298="","",IF(COUNTIFS('MP내역(적극)'!A:A,A298,'MP내역(적극)'!G:G,"&gt;"&amp;#REF!,'MP내역(적극)'!D:D,"&lt;&gt;"&amp;#REF!,'MP내역(적극)'!D:D,"&lt;&gt;"&amp;#REF!,'MP내역(적극)'!B:B,"&lt;&gt;현금",'MP내역(적극)'!B:B,"&lt;&gt;합계")=0,"O","X"))</f>
        <v/>
      </c>
      <c r="J298" s="15" t="str">
        <f>IF(A298="","",IF(AND(ABS(#REF!-SUMIFS('MP내역(적극)'!G:G,'MP내역(적극)'!A:A,A298,'MP내역(적극)'!F:F,"Y"))&lt;0.001,ABS(#REF!-SUMIFS('MP내역(적극)'!G:G,'MP내역(적극)'!A:A,A298,'MP내역(적극)'!B:B,"&lt;&gt;합계"))&lt;0.001),"O","X"))</f>
        <v/>
      </c>
      <c r="K298" s="15" t="str">
        <f>IF(A298="","",IF(COUNTIFS('MP내역(적극)'!A:A,A298,'MP내역(적극)'!H:H,"X")=0,"O","X"))</f>
        <v/>
      </c>
      <c r="L298" s="14"/>
    </row>
    <row r="299" spans="4:12" x14ac:dyDescent="0.3">
      <c r="D299" s="14"/>
      <c r="E299" s="15"/>
      <c r="G299" s="15" t="str">
        <f>IF(A299="","",IFERROR(IF(#REF!&gt;VLOOKUP(A299,'포트변경내역(중립)'!A:C,10,0),"O","X"),""))</f>
        <v/>
      </c>
      <c r="H299" s="15" t="str">
        <f>IF(A299="","",COUNTIFS('MP내역(적극)'!$A:$A,A299)-COUNTIFS('MP내역(적극)'!$A:$A,A299,'MP내역(적극)'!$B:$B,"현금")-COUNTIFS('MP내역(적극)'!$A:$A,A299,'MP내역(적극)'!$B:$B,"예수금")-COUNTIFS('MP내역(적극)'!$A:$A,A299,'MP내역(적극)'!$B:$B,"예탁금")-COUNTIFS('MP내역(적극)'!$A:$A,A299,'MP내역(적극)'!$B:$B,"합계"))</f>
        <v/>
      </c>
      <c r="I299" s="15" t="str">
        <f>IF(A299="","",IF(COUNTIFS('MP내역(적극)'!A:A,A299,'MP내역(적극)'!G:G,"&gt;"&amp;#REF!,'MP내역(적극)'!D:D,"&lt;&gt;"&amp;#REF!,'MP내역(적극)'!D:D,"&lt;&gt;"&amp;#REF!,'MP내역(적극)'!B:B,"&lt;&gt;현금",'MP내역(적극)'!B:B,"&lt;&gt;합계")=0,"O","X"))</f>
        <v/>
      </c>
      <c r="J299" s="15" t="str">
        <f>IF(A299="","",IF(AND(ABS(#REF!-SUMIFS('MP내역(적극)'!G:G,'MP내역(적극)'!A:A,A299,'MP내역(적극)'!F:F,"Y"))&lt;0.001,ABS(#REF!-SUMIFS('MP내역(적극)'!G:G,'MP내역(적극)'!A:A,A299,'MP내역(적극)'!B:B,"&lt;&gt;합계"))&lt;0.001),"O","X"))</f>
        <v/>
      </c>
      <c r="K299" s="15" t="str">
        <f>IF(A299="","",IF(COUNTIFS('MP내역(적극)'!A:A,A299,'MP내역(적극)'!H:H,"X")=0,"O","X"))</f>
        <v/>
      </c>
      <c r="L299" s="14"/>
    </row>
    <row r="300" spans="4:12" x14ac:dyDescent="0.3">
      <c r="D300" s="14"/>
      <c r="E300" s="15"/>
      <c r="G300" s="15" t="str">
        <f>IF(A300="","",IFERROR(IF(#REF!&gt;VLOOKUP(A300,'포트변경내역(중립)'!A:C,10,0),"O","X"),""))</f>
        <v/>
      </c>
      <c r="H300" s="15" t="str">
        <f>IF(A300="","",COUNTIFS('MP내역(적극)'!$A:$A,A300)-COUNTIFS('MP내역(적극)'!$A:$A,A300,'MP내역(적극)'!$B:$B,"현금")-COUNTIFS('MP내역(적극)'!$A:$A,A300,'MP내역(적극)'!$B:$B,"예수금")-COUNTIFS('MP내역(적극)'!$A:$A,A300,'MP내역(적극)'!$B:$B,"예탁금")-COUNTIFS('MP내역(적극)'!$A:$A,A300,'MP내역(적극)'!$B:$B,"합계"))</f>
        <v/>
      </c>
      <c r="I300" s="15" t="str">
        <f>IF(A300="","",IF(COUNTIFS('MP내역(적극)'!A:A,A300,'MP내역(적극)'!G:G,"&gt;"&amp;#REF!,'MP내역(적극)'!D:D,"&lt;&gt;"&amp;#REF!,'MP내역(적극)'!D:D,"&lt;&gt;"&amp;#REF!,'MP내역(적극)'!B:B,"&lt;&gt;현금",'MP내역(적극)'!B:B,"&lt;&gt;합계")=0,"O","X"))</f>
        <v/>
      </c>
      <c r="J300" s="15" t="str">
        <f>IF(A300="","",IF(AND(ABS(#REF!-SUMIFS('MP내역(적극)'!G:G,'MP내역(적극)'!A:A,A300,'MP내역(적극)'!F:F,"Y"))&lt;0.001,ABS(#REF!-SUMIFS('MP내역(적극)'!G:G,'MP내역(적극)'!A:A,A300,'MP내역(적극)'!B:B,"&lt;&gt;합계"))&lt;0.001),"O","X"))</f>
        <v/>
      </c>
      <c r="K300" s="15" t="str">
        <f>IF(A300="","",IF(COUNTIFS('MP내역(적극)'!A:A,A300,'MP내역(적극)'!H:H,"X")=0,"O","X"))</f>
        <v/>
      </c>
      <c r="L300" s="14"/>
    </row>
    <row r="301" spans="4:12" x14ac:dyDescent="0.3">
      <c r="D301" s="14"/>
      <c r="E301" s="15"/>
      <c r="G301" s="15" t="str">
        <f>IF(A301="","",IFERROR(IF(#REF!&gt;VLOOKUP(A301,'포트변경내역(중립)'!A:C,10,0),"O","X"),""))</f>
        <v/>
      </c>
      <c r="H301" s="15" t="str">
        <f>IF(A301="","",COUNTIFS('MP내역(적극)'!$A:$A,A301)-COUNTIFS('MP내역(적극)'!$A:$A,A301,'MP내역(적극)'!$B:$B,"현금")-COUNTIFS('MP내역(적극)'!$A:$A,A301,'MP내역(적극)'!$B:$B,"예수금")-COUNTIFS('MP내역(적극)'!$A:$A,A301,'MP내역(적극)'!$B:$B,"예탁금")-COUNTIFS('MP내역(적극)'!$A:$A,A301,'MP내역(적극)'!$B:$B,"합계"))</f>
        <v/>
      </c>
      <c r="I301" s="15" t="str">
        <f>IF(A301="","",IF(COUNTIFS('MP내역(적극)'!A:A,A301,'MP내역(적극)'!G:G,"&gt;"&amp;#REF!,'MP내역(적극)'!D:D,"&lt;&gt;"&amp;#REF!,'MP내역(적극)'!D:D,"&lt;&gt;"&amp;#REF!,'MP내역(적극)'!B:B,"&lt;&gt;현금",'MP내역(적극)'!B:B,"&lt;&gt;합계")=0,"O","X"))</f>
        <v/>
      </c>
      <c r="J301" s="15" t="str">
        <f>IF(A301="","",IF(AND(ABS(#REF!-SUMIFS('MP내역(적극)'!G:G,'MP내역(적극)'!A:A,A301,'MP내역(적극)'!F:F,"Y"))&lt;0.001,ABS(#REF!-SUMIFS('MP내역(적극)'!G:G,'MP내역(적극)'!A:A,A301,'MP내역(적극)'!B:B,"&lt;&gt;합계"))&lt;0.001),"O","X"))</f>
        <v/>
      </c>
      <c r="K301" s="15" t="str">
        <f>IF(A301="","",IF(COUNTIFS('MP내역(적극)'!A:A,A301,'MP내역(적극)'!H:H,"X")=0,"O","X"))</f>
        <v/>
      </c>
      <c r="L301" s="14"/>
    </row>
    <row r="302" spans="4:12" x14ac:dyDescent="0.3">
      <c r="D302" s="14"/>
      <c r="E302" s="15"/>
      <c r="G302" s="15" t="str">
        <f>IF(A302="","",IFERROR(IF(#REF!&gt;VLOOKUP(A302,'포트변경내역(중립)'!A:C,10,0),"O","X"),""))</f>
        <v/>
      </c>
      <c r="H302" s="15" t="str">
        <f>IF(A302="","",COUNTIFS('MP내역(적극)'!$A:$A,A302)-COUNTIFS('MP내역(적극)'!$A:$A,A302,'MP내역(적극)'!$B:$B,"현금")-COUNTIFS('MP내역(적극)'!$A:$A,A302,'MP내역(적극)'!$B:$B,"예수금")-COUNTIFS('MP내역(적극)'!$A:$A,A302,'MP내역(적극)'!$B:$B,"예탁금")-COUNTIFS('MP내역(적극)'!$A:$A,A302,'MP내역(적극)'!$B:$B,"합계"))</f>
        <v/>
      </c>
      <c r="I302" s="15" t="str">
        <f>IF(A302="","",IF(COUNTIFS('MP내역(적극)'!A:A,A302,'MP내역(적극)'!G:G,"&gt;"&amp;#REF!,'MP내역(적극)'!D:D,"&lt;&gt;"&amp;#REF!,'MP내역(적극)'!D:D,"&lt;&gt;"&amp;#REF!,'MP내역(적극)'!B:B,"&lt;&gt;현금",'MP내역(적극)'!B:B,"&lt;&gt;합계")=0,"O","X"))</f>
        <v/>
      </c>
      <c r="J302" s="15" t="str">
        <f>IF(A302="","",IF(AND(ABS(#REF!-SUMIFS('MP내역(적극)'!G:G,'MP내역(적극)'!A:A,A302,'MP내역(적극)'!F:F,"Y"))&lt;0.001,ABS(#REF!-SUMIFS('MP내역(적극)'!G:G,'MP내역(적극)'!A:A,A302,'MP내역(적극)'!B:B,"&lt;&gt;합계"))&lt;0.001),"O","X"))</f>
        <v/>
      </c>
      <c r="K302" s="15" t="str">
        <f>IF(A302="","",IF(COUNTIFS('MP내역(적극)'!A:A,A302,'MP내역(적극)'!H:H,"X")=0,"O","X"))</f>
        <v/>
      </c>
      <c r="L302" s="14"/>
    </row>
    <row r="303" spans="4:12" x14ac:dyDescent="0.3">
      <c r="D303" s="14"/>
      <c r="E303" s="15"/>
      <c r="G303" s="15" t="str">
        <f>IF(A303="","",IFERROR(IF(#REF!&gt;VLOOKUP(A303,'포트변경내역(중립)'!A:C,10,0),"O","X"),""))</f>
        <v/>
      </c>
      <c r="H303" s="15" t="str">
        <f>IF(A303="","",COUNTIFS('MP내역(적극)'!$A:$A,A303)-COUNTIFS('MP내역(적극)'!$A:$A,A303,'MP내역(적극)'!$B:$B,"현금")-COUNTIFS('MP내역(적극)'!$A:$A,A303,'MP내역(적극)'!$B:$B,"예수금")-COUNTIFS('MP내역(적극)'!$A:$A,A303,'MP내역(적극)'!$B:$B,"예탁금")-COUNTIFS('MP내역(적극)'!$A:$A,A303,'MP내역(적극)'!$B:$B,"합계"))</f>
        <v/>
      </c>
      <c r="I303" s="15" t="str">
        <f>IF(A303="","",IF(COUNTIFS('MP내역(적극)'!A:A,A303,'MP내역(적극)'!G:G,"&gt;"&amp;#REF!,'MP내역(적극)'!D:D,"&lt;&gt;"&amp;#REF!,'MP내역(적극)'!D:D,"&lt;&gt;"&amp;#REF!,'MP내역(적극)'!B:B,"&lt;&gt;현금",'MP내역(적극)'!B:B,"&lt;&gt;합계")=0,"O","X"))</f>
        <v/>
      </c>
      <c r="J303" s="15" t="str">
        <f>IF(A303="","",IF(AND(ABS(#REF!-SUMIFS('MP내역(적극)'!G:G,'MP내역(적극)'!A:A,A303,'MP내역(적극)'!F:F,"Y"))&lt;0.001,ABS(#REF!-SUMIFS('MP내역(적극)'!G:G,'MP내역(적극)'!A:A,A303,'MP내역(적극)'!B:B,"&lt;&gt;합계"))&lt;0.001),"O","X"))</f>
        <v/>
      </c>
      <c r="K303" s="15" t="str">
        <f>IF(A303="","",IF(COUNTIFS('MP내역(적극)'!A:A,A303,'MP내역(적극)'!H:H,"X")=0,"O","X"))</f>
        <v/>
      </c>
      <c r="L303" s="14"/>
    </row>
    <row r="304" spans="4:12" x14ac:dyDescent="0.3">
      <c r="D304" s="14"/>
      <c r="E304" s="15"/>
      <c r="G304" s="15" t="str">
        <f>IF(A304="","",IFERROR(IF(#REF!&gt;VLOOKUP(A304,'포트변경내역(중립)'!A:C,10,0),"O","X"),""))</f>
        <v/>
      </c>
      <c r="H304" s="15" t="str">
        <f>IF(A304="","",COUNTIFS('MP내역(적극)'!$A:$A,A304)-COUNTIFS('MP내역(적극)'!$A:$A,A304,'MP내역(적극)'!$B:$B,"현금")-COUNTIFS('MP내역(적극)'!$A:$A,A304,'MP내역(적극)'!$B:$B,"예수금")-COUNTIFS('MP내역(적극)'!$A:$A,A304,'MP내역(적극)'!$B:$B,"예탁금")-COUNTIFS('MP내역(적극)'!$A:$A,A304,'MP내역(적극)'!$B:$B,"합계"))</f>
        <v/>
      </c>
      <c r="I304" s="15" t="str">
        <f>IF(A304="","",IF(COUNTIFS('MP내역(적극)'!A:A,A304,'MP내역(적극)'!G:G,"&gt;"&amp;#REF!,'MP내역(적극)'!D:D,"&lt;&gt;"&amp;#REF!,'MP내역(적극)'!D:D,"&lt;&gt;"&amp;#REF!,'MP내역(적극)'!B:B,"&lt;&gt;현금",'MP내역(적극)'!B:B,"&lt;&gt;합계")=0,"O","X"))</f>
        <v/>
      </c>
      <c r="J304" s="15" t="str">
        <f>IF(A304="","",IF(AND(ABS(#REF!-SUMIFS('MP내역(적극)'!G:G,'MP내역(적극)'!A:A,A304,'MP내역(적극)'!F:F,"Y"))&lt;0.001,ABS(#REF!-SUMIFS('MP내역(적극)'!G:G,'MP내역(적극)'!A:A,A304,'MP내역(적극)'!B:B,"&lt;&gt;합계"))&lt;0.001),"O","X"))</f>
        <v/>
      </c>
      <c r="K304" s="15" t="str">
        <f>IF(A304="","",IF(COUNTIFS('MP내역(적극)'!A:A,A304,'MP내역(적극)'!H:H,"X")=0,"O","X"))</f>
        <v/>
      </c>
      <c r="L304" s="14"/>
    </row>
    <row r="305" spans="4:12" x14ac:dyDescent="0.3">
      <c r="D305" s="14"/>
      <c r="E305" s="15"/>
      <c r="G305" s="15" t="str">
        <f>IF(A305="","",IFERROR(IF(#REF!&gt;VLOOKUP(A305,'포트변경내역(중립)'!A:C,10,0),"O","X"),""))</f>
        <v/>
      </c>
      <c r="H305" s="15" t="str">
        <f>IF(A305="","",COUNTIFS('MP내역(적극)'!$A:$A,A305)-COUNTIFS('MP내역(적극)'!$A:$A,A305,'MP내역(적극)'!$B:$B,"현금")-COUNTIFS('MP내역(적극)'!$A:$A,A305,'MP내역(적극)'!$B:$B,"예수금")-COUNTIFS('MP내역(적극)'!$A:$A,A305,'MP내역(적극)'!$B:$B,"예탁금")-COUNTIFS('MP내역(적극)'!$A:$A,A305,'MP내역(적극)'!$B:$B,"합계"))</f>
        <v/>
      </c>
      <c r="I305" s="15" t="str">
        <f>IF(A305="","",IF(COUNTIFS('MP내역(적극)'!A:A,A305,'MP내역(적극)'!G:G,"&gt;"&amp;#REF!,'MP내역(적극)'!D:D,"&lt;&gt;"&amp;#REF!,'MP내역(적극)'!D:D,"&lt;&gt;"&amp;#REF!,'MP내역(적극)'!B:B,"&lt;&gt;현금",'MP내역(적극)'!B:B,"&lt;&gt;합계")=0,"O","X"))</f>
        <v/>
      </c>
      <c r="J305" s="15" t="str">
        <f>IF(A305="","",IF(AND(ABS(#REF!-SUMIFS('MP내역(적극)'!G:G,'MP내역(적극)'!A:A,A305,'MP내역(적극)'!F:F,"Y"))&lt;0.001,ABS(#REF!-SUMIFS('MP내역(적극)'!G:G,'MP내역(적극)'!A:A,A305,'MP내역(적극)'!B:B,"&lt;&gt;합계"))&lt;0.001),"O","X"))</f>
        <v/>
      </c>
      <c r="K305" s="15" t="str">
        <f>IF(A305="","",IF(COUNTIFS('MP내역(적극)'!A:A,A305,'MP내역(적극)'!H:H,"X")=0,"O","X"))</f>
        <v/>
      </c>
      <c r="L305" s="14"/>
    </row>
    <row r="306" spans="4:12" x14ac:dyDescent="0.3">
      <c r="D306" s="14"/>
      <c r="E306" s="15"/>
      <c r="G306" s="15" t="str">
        <f>IF(A306="","",IFERROR(IF(#REF!&gt;VLOOKUP(A306,'포트변경내역(중립)'!A:C,10,0),"O","X"),""))</f>
        <v/>
      </c>
      <c r="H306" s="15" t="str">
        <f>IF(A306="","",COUNTIFS('MP내역(적극)'!$A:$A,A306)-COUNTIFS('MP내역(적극)'!$A:$A,A306,'MP내역(적극)'!$B:$B,"현금")-COUNTIFS('MP내역(적극)'!$A:$A,A306,'MP내역(적극)'!$B:$B,"예수금")-COUNTIFS('MP내역(적극)'!$A:$A,A306,'MP내역(적극)'!$B:$B,"예탁금")-COUNTIFS('MP내역(적극)'!$A:$A,A306,'MP내역(적극)'!$B:$B,"합계"))</f>
        <v/>
      </c>
      <c r="I306" s="15" t="str">
        <f>IF(A306="","",IF(COUNTIFS('MP내역(적극)'!A:A,A306,'MP내역(적극)'!G:G,"&gt;"&amp;#REF!,'MP내역(적극)'!D:D,"&lt;&gt;"&amp;#REF!,'MP내역(적극)'!D:D,"&lt;&gt;"&amp;#REF!,'MP내역(적극)'!B:B,"&lt;&gt;현금",'MP내역(적극)'!B:B,"&lt;&gt;합계")=0,"O","X"))</f>
        <v/>
      </c>
      <c r="J306" s="15" t="str">
        <f>IF(A306="","",IF(AND(ABS(#REF!-SUMIFS('MP내역(적극)'!G:G,'MP내역(적극)'!A:A,A306,'MP내역(적극)'!F:F,"Y"))&lt;0.001,ABS(#REF!-SUMIFS('MP내역(적극)'!G:G,'MP내역(적극)'!A:A,A306,'MP내역(적극)'!B:B,"&lt;&gt;합계"))&lt;0.001),"O","X"))</f>
        <v/>
      </c>
      <c r="K306" s="15" t="str">
        <f>IF(A306="","",IF(COUNTIFS('MP내역(적극)'!A:A,A306,'MP내역(적극)'!H:H,"X")=0,"O","X"))</f>
        <v/>
      </c>
      <c r="L306" s="14"/>
    </row>
    <row r="307" spans="4:12" x14ac:dyDescent="0.3">
      <c r="D307" s="14"/>
      <c r="E307" s="15"/>
      <c r="G307" s="15" t="str">
        <f>IF(A307="","",IFERROR(IF(#REF!&gt;VLOOKUP(A307,'포트변경내역(중립)'!A:C,10,0),"O","X"),""))</f>
        <v/>
      </c>
      <c r="H307" s="15" t="str">
        <f>IF(A307="","",COUNTIFS('MP내역(적극)'!$A:$A,A307)-COUNTIFS('MP내역(적극)'!$A:$A,A307,'MP내역(적극)'!$B:$B,"현금")-COUNTIFS('MP내역(적극)'!$A:$A,A307,'MP내역(적극)'!$B:$B,"예수금")-COUNTIFS('MP내역(적극)'!$A:$A,A307,'MP내역(적극)'!$B:$B,"예탁금")-COUNTIFS('MP내역(적극)'!$A:$A,A307,'MP내역(적극)'!$B:$B,"합계"))</f>
        <v/>
      </c>
      <c r="I307" s="15" t="str">
        <f>IF(A307="","",IF(COUNTIFS('MP내역(적극)'!A:A,A307,'MP내역(적극)'!G:G,"&gt;"&amp;#REF!,'MP내역(적극)'!D:D,"&lt;&gt;"&amp;#REF!,'MP내역(적극)'!D:D,"&lt;&gt;"&amp;#REF!,'MP내역(적극)'!B:B,"&lt;&gt;현금",'MP내역(적극)'!B:B,"&lt;&gt;합계")=0,"O","X"))</f>
        <v/>
      </c>
      <c r="J307" s="15" t="str">
        <f>IF(A307="","",IF(AND(ABS(#REF!-SUMIFS('MP내역(적극)'!G:G,'MP내역(적극)'!A:A,A307,'MP내역(적극)'!F:F,"Y"))&lt;0.001,ABS(#REF!-SUMIFS('MP내역(적극)'!G:G,'MP내역(적극)'!A:A,A307,'MP내역(적극)'!B:B,"&lt;&gt;합계"))&lt;0.001),"O","X"))</f>
        <v/>
      </c>
      <c r="K307" s="15" t="str">
        <f>IF(A307="","",IF(COUNTIFS('MP내역(적극)'!A:A,A307,'MP내역(적극)'!H:H,"X")=0,"O","X"))</f>
        <v/>
      </c>
      <c r="L307" s="14"/>
    </row>
    <row r="308" spans="4:12" x14ac:dyDescent="0.3">
      <c r="D308" s="14"/>
      <c r="E308" s="15"/>
      <c r="L308" s="14"/>
    </row>
    <row r="309" spans="4:12" x14ac:dyDescent="0.3">
      <c r="D309" s="14"/>
      <c r="E309" s="15"/>
      <c r="L309" s="14"/>
    </row>
    <row r="310" spans="4:12" x14ac:dyDescent="0.3">
      <c r="D310" s="14"/>
      <c r="E310" s="15"/>
      <c r="L310" s="14"/>
    </row>
    <row r="311" spans="4:12" x14ac:dyDescent="0.3">
      <c r="D311" s="14"/>
      <c r="E311" s="15"/>
      <c r="L311" s="14"/>
    </row>
    <row r="312" spans="4:12" x14ac:dyDescent="0.3">
      <c r="D312" s="14"/>
      <c r="E312" s="15"/>
      <c r="L312" s="14"/>
    </row>
    <row r="313" spans="4:12" x14ac:dyDescent="0.3">
      <c r="D313" s="14"/>
      <c r="E313" s="15"/>
      <c r="L313" s="14"/>
    </row>
  </sheetData>
  <mergeCells count="7">
    <mergeCell ref="O4:O5"/>
    <mergeCell ref="D4:D5"/>
    <mergeCell ref="E4:E5"/>
    <mergeCell ref="F4:F5"/>
    <mergeCell ref="G4:G5"/>
    <mergeCell ref="H4:J4"/>
    <mergeCell ref="K4:N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ySplit="1" topLeftCell="A2" activePane="bottomLeft" state="frozen"/>
      <selection pane="bottomLeft" activeCell="A6" sqref="A6"/>
    </sheetView>
  </sheetViews>
  <sheetFormatPr defaultColWidth="9" defaultRowHeight="16.5" x14ac:dyDescent="0.3"/>
  <cols>
    <col min="1" max="1" width="15.125" style="3" customWidth="1"/>
    <col min="2" max="2" width="19" style="3" customWidth="1"/>
    <col min="3" max="3" width="44.25" style="6" customWidth="1"/>
    <col min="4" max="4" width="15.125" style="6" bestFit="1" customWidth="1"/>
    <col min="5" max="5" width="11.5" style="6" customWidth="1"/>
    <col min="6" max="6" width="11.625" style="3" customWidth="1"/>
    <col min="7" max="7" width="12.25" style="24" customWidth="1"/>
    <col min="8" max="8" width="13.25" style="3" bestFit="1" customWidth="1"/>
    <col min="9" max="16384" width="9" style="3"/>
  </cols>
  <sheetData>
    <row r="1" spans="1:9" s="6" customFormat="1" x14ac:dyDescent="0.3">
      <c r="A1" s="46" t="s">
        <v>86</v>
      </c>
      <c r="B1" s="46" t="s">
        <v>87</v>
      </c>
      <c r="C1" s="58" t="s">
        <v>93</v>
      </c>
      <c r="D1" s="58" t="s">
        <v>88</v>
      </c>
      <c r="E1" s="58" t="s">
        <v>89</v>
      </c>
      <c r="F1" s="58" t="s">
        <v>90</v>
      </c>
      <c r="G1" s="46" t="s">
        <v>91</v>
      </c>
      <c r="H1" s="20" t="s">
        <v>92</v>
      </c>
    </row>
    <row r="2" spans="1:9" x14ac:dyDescent="0.3">
      <c r="A2" s="2">
        <f>'50578'!$R$1</f>
        <v>44694</v>
      </c>
      <c r="B2" s="67" t="s">
        <v>202</v>
      </c>
      <c r="C2" s="35" t="str">
        <f>VLOOKUP($B2,투자유니버스!$A:$H,2,0)</f>
        <v>TIGER 200</v>
      </c>
      <c r="D2" s="35" t="str">
        <f>VLOOKUP($B2,투자유니버스!$A:$H,5,0)</f>
        <v>한국주식</v>
      </c>
      <c r="E2" s="35">
        <f>VLOOKUP($B2,투자유니버스!$A:$H,7,0)</f>
        <v>4</v>
      </c>
      <c r="F2" s="35" t="str">
        <f>VLOOKUP($B2,투자유니버스!$A:$H,8,0)</f>
        <v>Y</v>
      </c>
      <c r="G2" s="38">
        <f>VLOOKUP(A2,이론!$A:$B,2,FALSE)*100%/3</f>
        <v>0.28807040335347195</v>
      </c>
      <c r="H2" s="33" t="str">
        <f>IF(A2="","",IF(OR(B2="",B2="합계",C2="합계"),"",IF(COUNTIF(투자유니버스!A:A,B2)&gt;0,"O","X")))</f>
        <v>O</v>
      </c>
      <c r="I2" s="31"/>
    </row>
    <row r="3" spans="1:9" x14ac:dyDescent="0.3">
      <c r="A3" s="2">
        <f>'50578'!$R$1</f>
        <v>44694</v>
      </c>
      <c r="B3" s="67" t="s">
        <v>387</v>
      </c>
      <c r="C3" s="35" t="str">
        <f>VLOOKUP($B3,투자유니버스!$A:$H,2,0)</f>
        <v>KODEX 200</v>
      </c>
      <c r="D3" s="35" t="str">
        <f>VLOOKUP($B3,투자유니버스!$A:$H,5,0)</f>
        <v>한국주식</v>
      </c>
      <c r="E3" s="35">
        <f>VLOOKUP($B3,투자유니버스!$A:$H,7,0)</f>
        <v>4</v>
      </c>
      <c r="F3" s="35" t="str">
        <f>VLOOKUP($B3,투자유니버스!$A:$H,8,0)</f>
        <v>Y</v>
      </c>
      <c r="G3" s="38">
        <f>VLOOKUP(A3,이론!$A:$B,2,FALSE)*100%/3</f>
        <v>0.28807040335347195</v>
      </c>
      <c r="H3" s="33" t="str">
        <f>IF(A3="","",IF(OR(B3="",B3="합계",C3="합계"),"",IF(COUNTIF(투자유니버스!A:A,B3)&gt;0,"O","X")))</f>
        <v>O</v>
      </c>
      <c r="I3" s="31"/>
    </row>
    <row r="4" spans="1:9" x14ac:dyDescent="0.3">
      <c r="A4" s="2">
        <f>'50578'!$R$1</f>
        <v>44694</v>
      </c>
      <c r="B4" s="67" t="s">
        <v>388</v>
      </c>
      <c r="C4" s="35" t="str">
        <f>VLOOKUP($B4,투자유니버스!$A:$H,2,0)</f>
        <v>KBSTAR 200</v>
      </c>
      <c r="D4" s="35" t="str">
        <f>VLOOKUP($B4,투자유니버스!$A:$H,5,0)</f>
        <v>한국주식</v>
      </c>
      <c r="E4" s="35">
        <f>VLOOKUP($B4,투자유니버스!$A:$H,7,0)</f>
        <v>4</v>
      </c>
      <c r="F4" s="35" t="str">
        <f>VLOOKUP($B4,투자유니버스!$A:$H,8,0)</f>
        <v>Y</v>
      </c>
      <c r="G4" s="38">
        <f>VLOOKUP(A4,이론!$A:$B,2,FALSE)*100%/3</f>
        <v>0.28807040335347195</v>
      </c>
      <c r="H4" s="33" t="str">
        <f>IF(A4="","",IF(OR(B4="",B4="합계",C4="합계"),"",IF(COUNTIF(투자유니버스!A:A,B4)&gt;0,"O","X")))</f>
        <v>O</v>
      </c>
      <c r="I4" s="31"/>
    </row>
    <row r="5" spans="1:9" x14ac:dyDescent="0.3">
      <c r="A5" s="2">
        <f>'50578'!$R$1</f>
        <v>44694</v>
      </c>
      <c r="B5" s="67" t="s">
        <v>112</v>
      </c>
      <c r="C5" s="35" t="str">
        <f>VLOOKUP($B5,투자유니버스!$A:$H,2,0)</f>
        <v>TIGER 단기채권액티브</v>
      </c>
      <c r="D5" s="35" t="str">
        <f>VLOOKUP($B5,투자유니버스!$A:$H,5,0)</f>
        <v>한국국공채권</v>
      </c>
      <c r="E5" s="35">
        <f>VLOOKUP($B5,투자유니버스!$A:$H,7,0)</f>
        <v>1</v>
      </c>
      <c r="F5" s="35" t="str">
        <f>VLOOKUP($B5,투자유니버스!$A:$H,8,0)</f>
        <v>N</v>
      </c>
      <c r="G5" s="38">
        <f>(1-VLOOKUP(A4,이론!$A:$B,2,FALSE)*100%)/3</f>
        <v>4.5262929979861401E-2</v>
      </c>
      <c r="H5" s="33" t="str">
        <f>IF(A5="","",IF(OR(B5="",B5="합계",C5="합계"),"",IF(COUNTIF(투자유니버스!A:A,B5)&gt;0,"O","X")))</f>
        <v>O</v>
      </c>
      <c r="I5" s="31"/>
    </row>
    <row r="6" spans="1:9" x14ac:dyDescent="0.3">
      <c r="A6" s="2">
        <f>'50578'!$R$1</f>
        <v>44694</v>
      </c>
      <c r="B6" s="67" t="s">
        <v>110</v>
      </c>
      <c r="C6" s="35" t="str">
        <f>VLOOKUP($B6,투자유니버스!$A:$H,2,0)</f>
        <v>KBSTAR 단기통안채</v>
      </c>
      <c r="D6" s="35" t="str">
        <f>VLOOKUP($B6,투자유니버스!$A:$H,5,0)</f>
        <v>한국국공채권</v>
      </c>
      <c r="E6" s="35">
        <f>VLOOKUP($B6,투자유니버스!$A:$H,7,0)</f>
        <v>1</v>
      </c>
      <c r="F6" s="35" t="str">
        <f>VLOOKUP($B6,투자유니버스!$A:$H,8,0)</f>
        <v>N</v>
      </c>
      <c r="G6" s="38">
        <f>(1-VLOOKUP(A5,이론!$A:$B,2,FALSE)*100%)/3</f>
        <v>4.5262929979861401E-2</v>
      </c>
      <c r="H6" s="33" t="str">
        <f>IF(A6="","",IF(OR(B6="",B6="합계",C6="합계"),"",IF(COUNTIF(투자유니버스!A:A,B6)&gt;0,"O","X")))</f>
        <v>O</v>
      </c>
      <c r="I6" s="31"/>
    </row>
    <row r="7" spans="1:9" x14ac:dyDescent="0.3">
      <c r="A7" s="2">
        <f>'50578'!$R$1</f>
        <v>44694</v>
      </c>
      <c r="B7" s="67" t="s">
        <v>114</v>
      </c>
      <c r="C7" s="35" t="str">
        <f>VLOOKUP($B7,투자유니버스!$A:$H,2,0)</f>
        <v>KOSEF 단기자금</v>
      </c>
      <c r="D7" s="35" t="str">
        <f>VLOOKUP($B7,투자유니버스!$A:$H,5,0)</f>
        <v>한국국공채권</v>
      </c>
      <c r="E7" s="35">
        <f>VLOOKUP($B7,투자유니버스!$A:$H,7,0)</f>
        <v>1</v>
      </c>
      <c r="F7" s="35" t="str">
        <f>VLOOKUP($B7,투자유니버스!$A:$H,8,0)</f>
        <v>N</v>
      </c>
      <c r="G7" s="38">
        <f>(1-VLOOKUP(A6,이론!$A:$B,2,FALSE)*100%)/3</f>
        <v>4.5262929979861401E-2</v>
      </c>
      <c r="H7" s="33" t="str">
        <f>IF(A7="","",IF(OR(B7="",B7="합계",C7="합계"),"",IF(COUNTIF(투자유니버스!A:A,B7)&gt;0,"O","X")))</f>
        <v>O</v>
      </c>
      <c r="I7" s="31"/>
    </row>
    <row r="8" spans="1:9" s="21" customFormat="1" x14ac:dyDescent="0.3">
      <c r="C8" s="19"/>
      <c r="D8" s="19"/>
      <c r="E8" s="19"/>
      <c r="G8" s="23"/>
      <c r="H8" s="11" t="str">
        <f>IF(A8="","",IF(OR(B8="",B8="합계",C8="합계"),"",IF(COUNTIF(투자유니버스!A:A,B8)&gt;0,"O","X")))</f>
        <v/>
      </c>
    </row>
    <row r="9" spans="1:9" s="21" customFormat="1" x14ac:dyDescent="0.3">
      <c r="C9" s="19"/>
      <c r="D9" s="19"/>
      <c r="E9" s="19"/>
      <c r="G9" s="23"/>
      <c r="H9" s="11" t="str">
        <f>IF(A9="","",IF(OR(B9="",B9="합계",C9="합계"),"",IF(COUNTIF(투자유니버스!A:A,B9)&gt;0,"O","X")))</f>
        <v/>
      </c>
    </row>
    <row r="10" spans="1:9" s="21" customFormat="1" x14ac:dyDescent="0.3">
      <c r="C10" s="19"/>
      <c r="D10" s="19"/>
      <c r="E10" s="19"/>
      <c r="G10" s="23"/>
      <c r="H10" s="11" t="str">
        <f>IF(A10="","",IF(OR(B10="",B10="합계",C10="합계"),"",IF(COUNTIF(투자유니버스!A:A,B10)&gt;0,"O","X")))</f>
        <v/>
      </c>
    </row>
    <row r="11" spans="1:9" s="21" customFormat="1" x14ac:dyDescent="0.3">
      <c r="C11" s="19"/>
      <c r="D11" s="19"/>
      <c r="E11" s="19"/>
      <c r="G11" s="23"/>
      <c r="H11" s="11" t="str">
        <f>IF(A11="","",IF(OR(B11="",B11="합계",C11="합계"),"",IF(COUNTIF(투자유니버스!A:A,B11)&gt;0,"O","X")))</f>
        <v/>
      </c>
    </row>
    <row r="12" spans="1:9" s="21" customFormat="1" x14ac:dyDescent="0.3">
      <c r="C12" s="19"/>
      <c r="D12" s="19"/>
      <c r="E12" s="19"/>
      <c r="G12" s="23"/>
      <c r="H12" s="11" t="str">
        <f>IF(A12="","",IF(OR(B12="",B12="합계",C12="합계"),"",IF(COUNTIF(투자유니버스!A:A,B12)&gt;0,"O","X")))</f>
        <v/>
      </c>
    </row>
    <row r="13" spans="1:9" s="21" customFormat="1" x14ac:dyDescent="0.3">
      <c r="C13" s="19"/>
      <c r="D13" s="19"/>
      <c r="E13" s="19"/>
      <c r="G13" s="23"/>
      <c r="H13" s="11" t="str">
        <f>IF(A13="","",IF(OR(B13="",B13="합계",C13="합계"),"",IF(COUNTIF(투자유니버스!A:A,B13)&gt;0,"O","X")))</f>
        <v/>
      </c>
    </row>
    <row r="14" spans="1:9" s="21" customFormat="1" x14ac:dyDescent="0.3">
      <c r="C14" s="19"/>
      <c r="D14" s="19"/>
      <c r="E14" s="19"/>
      <c r="G14" s="23"/>
      <c r="H14" s="11" t="str">
        <f>IF(A14="","",IF(OR(B14="",B14="합계",C14="합계"),"",IF(COUNTIF(투자유니버스!A:A,B14)&gt;0,"O","X")))</f>
        <v/>
      </c>
    </row>
    <row r="15" spans="1:9" s="21" customFormat="1" x14ac:dyDescent="0.3">
      <c r="C15" s="19"/>
      <c r="D15" s="19"/>
      <c r="E15" s="19"/>
      <c r="G15" s="23"/>
      <c r="H15" s="11" t="str">
        <f>IF(A15="","",IF(OR(B15="",B15="합계",C15="합계"),"",IF(COUNTIF(투자유니버스!A:A,B15)&gt;0,"O","X")))</f>
        <v/>
      </c>
    </row>
    <row r="16" spans="1:9" s="21" customFormat="1" x14ac:dyDescent="0.3">
      <c r="C16" s="19"/>
      <c r="D16" s="19"/>
      <c r="E16" s="19"/>
      <c r="G16" s="23"/>
      <c r="H16" s="11" t="str">
        <f>IF(A16="","",IF(OR(B16="",B16="합계",C16="합계"),"",IF(COUNTIF(투자유니버스!A:A,B16)&gt;0,"O","X")))</f>
        <v/>
      </c>
    </row>
    <row r="17" spans="3:8" s="21" customFormat="1" x14ac:dyDescent="0.3">
      <c r="C17" s="19"/>
      <c r="D17" s="19"/>
      <c r="E17" s="19"/>
      <c r="G17" s="23"/>
      <c r="H17" s="11" t="str">
        <f>IF(A17="","",IF(OR(B17="",B17="합계",C17="합계"),"",IF(COUNTIF(투자유니버스!A:A,B17)&gt;0,"O","X")))</f>
        <v/>
      </c>
    </row>
    <row r="18" spans="3:8" s="21" customFormat="1" x14ac:dyDescent="0.3">
      <c r="C18" s="19"/>
      <c r="D18" s="19"/>
      <c r="E18" s="19"/>
      <c r="G18" s="23"/>
      <c r="H18" s="11" t="str">
        <f>IF(A18="","",IF(OR(B18="",B18="합계",C18="합계"),"",IF(COUNTIF(투자유니버스!A:A,B18)&gt;0,"O","X")))</f>
        <v/>
      </c>
    </row>
    <row r="19" spans="3:8" s="21" customFormat="1" x14ac:dyDescent="0.3">
      <c r="C19" s="19"/>
      <c r="D19" s="19"/>
      <c r="E19" s="19"/>
      <c r="G19" s="23"/>
      <c r="H19" s="11" t="str">
        <f>IF(A19="","",IF(OR(B19="",B19="합계",C19="합계"),"",IF(COUNTIF(투자유니버스!A:A,B19)&gt;0,"O","X")))</f>
        <v/>
      </c>
    </row>
    <row r="20" spans="3:8" s="21" customFormat="1" x14ac:dyDescent="0.3">
      <c r="C20" s="19"/>
      <c r="D20" s="19"/>
      <c r="E20" s="19"/>
      <c r="G20" s="23"/>
      <c r="H20" s="11" t="str">
        <f>IF(A20="","",IF(OR(B20="",B20="합계",C20="합계"),"",IF(COUNTIF(투자유니버스!A:A,B20)&gt;0,"O","X")))</f>
        <v/>
      </c>
    </row>
    <row r="21" spans="3:8" s="21" customFormat="1" x14ac:dyDescent="0.3">
      <c r="C21" s="19"/>
      <c r="D21" s="19"/>
      <c r="E21" s="19"/>
      <c r="G21" s="23"/>
      <c r="H21" s="11" t="str">
        <f>IF(A21="","",IF(OR(B21="",B21="합계",C21="합계"),"",IF(COUNTIF(투자유니버스!A:A,B21)&gt;0,"O","X")))</f>
        <v/>
      </c>
    </row>
    <row r="22" spans="3:8" s="21" customFormat="1" x14ac:dyDescent="0.3">
      <c r="C22" s="19"/>
      <c r="D22" s="19"/>
      <c r="E22" s="19"/>
      <c r="G22" s="23"/>
      <c r="H22" s="11" t="str">
        <f>IF(A22="","",IF(OR(B22="",B22="합계",C22="합계"),"",IF(COUNTIF(투자유니버스!A:A,B22)&gt;0,"O","X")))</f>
        <v/>
      </c>
    </row>
    <row r="23" spans="3:8" s="21" customFormat="1" x14ac:dyDescent="0.3">
      <c r="C23" s="19"/>
      <c r="D23" s="19"/>
      <c r="E23" s="19"/>
      <c r="G23" s="23"/>
      <c r="H23" s="11" t="str">
        <f>IF(A23="","",IF(OR(B23="",B23="합계",C23="합계"),"",IF(COUNTIF(투자유니버스!A:A,B23)&gt;0,"O","X")))</f>
        <v/>
      </c>
    </row>
    <row r="24" spans="3:8" s="21" customFormat="1" x14ac:dyDescent="0.3">
      <c r="C24" s="19"/>
      <c r="D24" s="19"/>
      <c r="E24" s="19"/>
      <c r="G24" s="23"/>
      <c r="H24" s="11" t="str">
        <f>IF(A24="","",IF(OR(B24="",B24="합계",C24="합계"),"",IF(COUNTIF(투자유니버스!A:A,B24)&gt;0,"O","X")))</f>
        <v/>
      </c>
    </row>
    <row r="25" spans="3:8" s="21" customFormat="1" x14ac:dyDescent="0.3">
      <c r="C25" s="19"/>
      <c r="D25" s="19"/>
      <c r="E25" s="19"/>
      <c r="G25" s="23"/>
      <c r="H25" s="11" t="str">
        <f>IF(A25="","",IF(OR(B25="",B25="합계",C25="합계"),"",IF(COUNTIF(투자유니버스!A:A,B25)&gt;0,"O","X")))</f>
        <v/>
      </c>
    </row>
    <row r="26" spans="3:8" s="21" customFormat="1" x14ac:dyDescent="0.3">
      <c r="C26" s="19"/>
      <c r="D26" s="19"/>
      <c r="E26" s="19"/>
      <c r="G26" s="23"/>
      <c r="H26" s="11" t="str">
        <f>IF(A26="","",IF(OR(B26="",B26="합계",C26="합계"),"",IF(COUNTIF(투자유니버스!A:A,B26)&gt;0,"O","X")))</f>
        <v/>
      </c>
    </row>
    <row r="27" spans="3:8" s="21" customFormat="1" x14ac:dyDescent="0.3">
      <c r="C27" s="19"/>
      <c r="D27" s="19"/>
      <c r="E27" s="19"/>
      <c r="G27" s="23"/>
      <c r="H27" s="11" t="str">
        <f>IF(A27="","",IF(OR(B27="",B27="합계",C27="합계"),"",IF(COUNTIF(투자유니버스!A:A,B27)&gt;0,"O","X")))</f>
        <v/>
      </c>
    </row>
    <row r="28" spans="3:8" s="21" customFormat="1" x14ac:dyDescent="0.3">
      <c r="C28" s="19"/>
      <c r="D28" s="19"/>
      <c r="E28" s="19"/>
      <c r="G28" s="23"/>
      <c r="H28" s="11" t="str">
        <f>IF(A28="","",IF(OR(B28="",B28="합계",C28="합계"),"",IF(COUNTIF(투자유니버스!A:A,B28)&gt;0,"O","X")))</f>
        <v/>
      </c>
    </row>
    <row r="29" spans="3:8" s="21" customFormat="1" x14ac:dyDescent="0.3">
      <c r="C29" s="19"/>
      <c r="D29" s="19"/>
      <c r="E29" s="19"/>
      <c r="G29" s="23"/>
      <c r="H29" s="11" t="str">
        <f>IF(A29="","",IF(OR(B29="",B29="합계",C29="합계"),"",IF(COUNTIF(투자유니버스!A:A,B29)&gt;0,"O","X")))</f>
        <v/>
      </c>
    </row>
    <row r="30" spans="3:8" s="21" customFormat="1" x14ac:dyDescent="0.3">
      <c r="C30" s="19"/>
      <c r="D30" s="19"/>
      <c r="E30" s="19"/>
      <c r="G30" s="23"/>
      <c r="H30" s="11" t="str">
        <f>IF(A30="","",IF(OR(B30="",B30="합계",C30="합계"),"",IF(COUNTIF(투자유니버스!A:A,B30)&gt;0,"O","X")))</f>
        <v/>
      </c>
    </row>
    <row r="31" spans="3:8" s="21" customFormat="1" x14ac:dyDescent="0.3">
      <c r="C31" s="19"/>
      <c r="D31" s="19"/>
      <c r="E31" s="19"/>
      <c r="G31" s="23"/>
      <c r="H31" s="11" t="str">
        <f>IF(A31="","",IF(OR(B31="",B31="합계",C31="합계"),"",IF(COUNTIF(투자유니버스!A:A,B31)&gt;0,"O","X")))</f>
        <v/>
      </c>
    </row>
    <row r="32" spans="3:8" s="21" customFormat="1" x14ac:dyDescent="0.3">
      <c r="C32" s="19"/>
      <c r="D32" s="19"/>
      <c r="E32" s="19"/>
      <c r="G32" s="23"/>
      <c r="H32" s="11" t="str">
        <f>IF(A32="","",IF(OR(B32="",B32="합계",C32="합계"),"",IF(COUNTIF(투자유니버스!A:A,B32)&gt;0,"O","X")))</f>
        <v/>
      </c>
    </row>
    <row r="33" spans="1:8" s="21" customFormat="1" x14ac:dyDescent="0.3">
      <c r="C33" s="19"/>
      <c r="D33" s="19"/>
      <c r="E33" s="19"/>
      <c r="G33" s="23"/>
      <c r="H33" s="11" t="str">
        <f>IF(A33="","",IF(OR(B33="",B33="합계",C33="합계"),"",IF(COUNTIF(투자유니버스!A:A,B33)&gt;0,"O","X")))</f>
        <v/>
      </c>
    </row>
    <row r="34" spans="1:8" s="21" customFormat="1" x14ac:dyDescent="0.3">
      <c r="C34" s="19"/>
      <c r="D34" s="19"/>
      <c r="E34" s="19"/>
      <c r="G34" s="23"/>
      <c r="H34" s="11" t="str">
        <f>IF(A34="","",IF(OR(B34="",B34="합계",C34="합계"),"",IF(COUNTIF(투자유니버스!A:A,B34)&gt;0,"O","X")))</f>
        <v/>
      </c>
    </row>
    <row r="35" spans="1:8" s="21" customFormat="1" x14ac:dyDescent="0.3">
      <c r="A35" s="3"/>
      <c r="B35" s="3"/>
      <c r="C35" s="6"/>
      <c r="D35" s="6"/>
      <c r="E35" s="6"/>
      <c r="F35" s="3"/>
      <c r="G35" s="23"/>
    </row>
    <row r="36" spans="1:8" s="21" customFormat="1" x14ac:dyDescent="0.3">
      <c r="A36" s="3"/>
      <c r="B36" s="3"/>
      <c r="C36" s="6"/>
      <c r="D36" s="6"/>
      <c r="E36" s="6"/>
      <c r="F36" s="3"/>
      <c r="G36" s="23"/>
    </row>
    <row r="37" spans="1:8" s="21" customFormat="1" x14ac:dyDescent="0.3">
      <c r="A37" s="3"/>
      <c r="B37" s="3"/>
      <c r="C37" s="6"/>
      <c r="D37" s="6"/>
      <c r="E37" s="6"/>
      <c r="F37" s="3"/>
      <c r="G37" s="23"/>
    </row>
    <row r="38" spans="1:8" s="21" customFormat="1" x14ac:dyDescent="0.3">
      <c r="A38" s="3"/>
      <c r="B38" s="3"/>
      <c r="C38" s="6"/>
      <c r="D38" s="6"/>
      <c r="E38" s="6"/>
      <c r="F38" s="3"/>
      <c r="G38" s="23"/>
    </row>
    <row r="39" spans="1:8" s="21" customFormat="1" x14ac:dyDescent="0.3">
      <c r="A39" s="3"/>
      <c r="B39" s="3"/>
      <c r="C39" s="6"/>
      <c r="D39" s="6"/>
      <c r="E39" s="6"/>
      <c r="F39" s="3"/>
      <c r="G39" s="23"/>
    </row>
    <row r="40" spans="1:8" s="21" customFormat="1" x14ac:dyDescent="0.3">
      <c r="A40" s="3"/>
      <c r="B40" s="3"/>
      <c r="C40" s="6"/>
      <c r="D40" s="6"/>
      <c r="E40" s="6"/>
      <c r="F40" s="3"/>
      <c r="G40" s="23"/>
    </row>
    <row r="41" spans="1:8" s="21" customFormat="1" x14ac:dyDescent="0.3">
      <c r="A41" s="3"/>
      <c r="B41" s="3"/>
      <c r="C41" s="6"/>
      <c r="D41" s="6"/>
      <c r="E41" s="6"/>
      <c r="F41" s="3"/>
      <c r="G41" s="23"/>
    </row>
    <row r="42" spans="1:8" s="21" customFormat="1" x14ac:dyDescent="0.3">
      <c r="A42" s="3"/>
      <c r="B42" s="3"/>
      <c r="C42" s="6"/>
      <c r="D42" s="6"/>
      <c r="E42" s="6"/>
      <c r="F42" s="3"/>
      <c r="G42" s="23"/>
    </row>
  </sheetData>
  <phoneticPr fontId="1" type="noConversion"/>
  <dataValidations count="1">
    <dataValidation type="list" allowBlank="1" showInputMessage="1" showErrorMessage="1" sqref="E213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workbookViewId="0">
      <selection activeCell="L18" sqref="L18"/>
    </sheetView>
  </sheetViews>
  <sheetFormatPr defaultRowHeight="16.5" x14ac:dyDescent="0.3"/>
  <cols>
    <col min="2" max="2" width="11.125" bestFit="1" customWidth="1"/>
    <col min="3" max="3" width="20.375" bestFit="1" customWidth="1"/>
    <col min="4" max="4" width="13" bestFit="1" customWidth="1"/>
    <col min="6" max="6" width="21.375" bestFit="1" customWidth="1"/>
    <col min="12" max="12" width="20.375" bestFit="1" customWidth="1"/>
  </cols>
  <sheetData>
    <row r="3" spans="2:12" x14ac:dyDescent="0.3">
      <c r="B3" s="108" t="s">
        <v>480</v>
      </c>
      <c r="C3" s="108" t="s">
        <v>481</v>
      </c>
      <c r="D3" s="108" t="s">
        <v>482</v>
      </c>
      <c r="E3" s="108" t="s">
        <v>483</v>
      </c>
      <c r="F3" s="108" t="s">
        <v>484</v>
      </c>
      <c r="G3" s="108" t="s">
        <v>485</v>
      </c>
      <c r="H3" s="108" t="s">
        <v>486</v>
      </c>
      <c r="I3" s="108" t="s">
        <v>487</v>
      </c>
      <c r="J3" s="108" t="s">
        <v>488</v>
      </c>
    </row>
    <row r="4" spans="2:12" x14ac:dyDescent="0.3">
      <c r="B4" s="109">
        <v>44694</v>
      </c>
      <c r="C4" s="108" t="s">
        <v>274</v>
      </c>
      <c r="D4" s="108" t="s">
        <v>489</v>
      </c>
      <c r="E4" s="108" t="s">
        <v>919</v>
      </c>
      <c r="F4" s="108" t="s">
        <v>282</v>
      </c>
      <c r="G4" s="108">
        <v>1</v>
      </c>
      <c r="H4" s="110">
        <v>34775</v>
      </c>
      <c r="I4" s="110">
        <v>34765</v>
      </c>
      <c r="J4" s="110">
        <v>-3570</v>
      </c>
      <c r="K4" t="str">
        <f>E4</f>
        <v>매도</v>
      </c>
      <c r="L4" t="str">
        <f>C4</f>
        <v>미래변동성공격2</v>
      </c>
    </row>
    <row r="5" spans="2:12" x14ac:dyDescent="0.3">
      <c r="B5" s="109">
        <v>44694</v>
      </c>
      <c r="C5" s="108" t="s">
        <v>274</v>
      </c>
      <c r="D5" s="108" t="s">
        <v>489</v>
      </c>
      <c r="E5" s="108" t="s">
        <v>919</v>
      </c>
      <c r="F5" s="108" t="s">
        <v>283</v>
      </c>
      <c r="G5" s="108">
        <v>1</v>
      </c>
      <c r="H5" s="110">
        <v>34605</v>
      </c>
      <c r="I5" s="110">
        <v>34595</v>
      </c>
      <c r="J5" s="110">
        <v>-3504</v>
      </c>
      <c r="K5" s="83" t="str">
        <f t="shared" ref="K5:K6" si="0">E5</f>
        <v>매도</v>
      </c>
      <c r="L5" s="83" t="str">
        <f t="shared" ref="L5:L6" si="1">C5</f>
        <v>미래변동성공격2</v>
      </c>
    </row>
    <row r="6" spans="2:12" x14ac:dyDescent="0.3">
      <c r="B6" s="109">
        <v>44694</v>
      </c>
      <c r="C6" s="108" t="s">
        <v>274</v>
      </c>
      <c r="D6" s="108" t="s">
        <v>489</v>
      </c>
      <c r="E6" s="108" t="s">
        <v>919</v>
      </c>
      <c r="F6" s="108" t="s">
        <v>203</v>
      </c>
      <c r="G6" s="108">
        <v>1</v>
      </c>
      <c r="H6" s="110">
        <v>34670</v>
      </c>
      <c r="I6" s="110">
        <v>34660</v>
      </c>
      <c r="J6" s="110">
        <v>-3481</v>
      </c>
      <c r="K6" s="83" t="str">
        <f t="shared" si="0"/>
        <v>매도</v>
      </c>
      <c r="L6" s="83" t="str">
        <f t="shared" si="1"/>
        <v>미래변동성공격2</v>
      </c>
    </row>
    <row r="7" spans="2:12" x14ac:dyDescent="0.3">
      <c r="B7" s="109">
        <v>44694</v>
      </c>
      <c r="C7" s="108" t="s">
        <v>277</v>
      </c>
      <c r="D7" s="108" t="s">
        <v>489</v>
      </c>
      <c r="E7" s="108" t="s">
        <v>919</v>
      </c>
      <c r="F7" s="108" t="s">
        <v>282</v>
      </c>
      <c r="G7" s="108">
        <v>1</v>
      </c>
      <c r="H7" s="110">
        <v>34775</v>
      </c>
      <c r="I7" s="110">
        <v>34765</v>
      </c>
      <c r="J7" s="110">
        <v>-3398</v>
      </c>
      <c r="K7" s="84" t="str">
        <f t="shared" ref="K7:K12" si="2">E7</f>
        <v>매도</v>
      </c>
      <c r="L7" s="84" t="str">
        <f t="shared" ref="L7:L12" si="3">C7</f>
        <v>미래변동성안정2</v>
      </c>
    </row>
    <row r="8" spans="2:12" x14ac:dyDescent="0.3">
      <c r="B8" s="109">
        <v>44694</v>
      </c>
      <c r="C8" s="108" t="s">
        <v>277</v>
      </c>
      <c r="D8" s="108" t="s">
        <v>489</v>
      </c>
      <c r="E8" s="108" t="s">
        <v>490</v>
      </c>
      <c r="F8" s="108" t="s">
        <v>111</v>
      </c>
      <c r="G8" s="108">
        <v>1</v>
      </c>
      <c r="H8" s="110">
        <v>105175</v>
      </c>
      <c r="I8" s="110">
        <v>105205</v>
      </c>
      <c r="J8" s="108">
        <v>0</v>
      </c>
      <c r="K8" s="84" t="str">
        <f t="shared" si="2"/>
        <v>매수</v>
      </c>
      <c r="L8" s="84" t="str">
        <f t="shared" si="3"/>
        <v>미래변동성안정2</v>
      </c>
    </row>
    <row r="9" spans="2:12" x14ac:dyDescent="0.3">
      <c r="B9" s="109">
        <v>44694</v>
      </c>
      <c r="C9" s="108" t="s">
        <v>277</v>
      </c>
      <c r="D9" s="108" t="s">
        <v>489</v>
      </c>
      <c r="E9" s="108" t="s">
        <v>919</v>
      </c>
      <c r="F9" s="108" t="s">
        <v>283</v>
      </c>
      <c r="G9" s="108">
        <v>1</v>
      </c>
      <c r="H9" s="110">
        <v>34605</v>
      </c>
      <c r="I9" s="110">
        <v>34595</v>
      </c>
      <c r="J9" s="110">
        <v>-3435</v>
      </c>
      <c r="K9" s="84" t="str">
        <f t="shared" si="2"/>
        <v>매도</v>
      </c>
      <c r="L9" s="84" t="str">
        <f t="shared" si="3"/>
        <v>미래변동성안정2</v>
      </c>
    </row>
    <row r="10" spans="2:12" x14ac:dyDescent="0.3">
      <c r="B10" s="109">
        <v>44694</v>
      </c>
      <c r="C10" s="108" t="s">
        <v>277</v>
      </c>
      <c r="D10" s="108" t="s">
        <v>489</v>
      </c>
      <c r="E10" s="108" t="s">
        <v>919</v>
      </c>
      <c r="F10" s="108" t="s">
        <v>203</v>
      </c>
      <c r="G10" s="108">
        <v>1</v>
      </c>
      <c r="H10" s="110">
        <v>34670</v>
      </c>
      <c r="I10" s="110">
        <v>34660</v>
      </c>
      <c r="J10" s="110">
        <v>-3373</v>
      </c>
      <c r="K10" s="84" t="str">
        <f t="shared" si="2"/>
        <v>매도</v>
      </c>
      <c r="L10" s="84" t="str">
        <f t="shared" si="3"/>
        <v>미래변동성안정2</v>
      </c>
    </row>
    <row r="11" spans="2:12" x14ac:dyDescent="0.3">
      <c r="B11" s="109">
        <v>44694</v>
      </c>
      <c r="C11" s="108" t="s">
        <v>280</v>
      </c>
      <c r="D11" s="108" t="s">
        <v>489</v>
      </c>
      <c r="E11" s="108" t="s">
        <v>919</v>
      </c>
      <c r="F11" s="108" t="s">
        <v>282</v>
      </c>
      <c r="G11" s="108">
        <v>1</v>
      </c>
      <c r="H11" s="110">
        <v>34775</v>
      </c>
      <c r="I11" s="110">
        <v>34765</v>
      </c>
      <c r="J11" s="110">
        <v>-3416</v>
      </c>
      <c r="K11" s="84" t="str">
        <f t="shared" si="2"/>
        <v>매도</v>
      </c>
      <c r="L11" s="84" t="str">
        <f t="shared" si="3"/>
        <v>미래변동성위험중립2</v>
      </c>
    </row>
    <row r="12" spans="2:12" x14ac:dyDescent="0.3">
      <c r="B12" s="109">
        <v>44694</v>
      </c>
      <c r="C12" s="108" t="s">
        <v>280</v>
      </c>
      <c r="D12" s="108" t="s">
        <v>489</v>
      </c>
      <c r="E12" s="108" t="s">
        <v>919</v>
      </c>
      <c r="F12" s="108" t="s">
        <v>283</v>
      </c>
      <c r="G12" s="108">
        <v>1</v>
      </c>
      <c r="H12" s="110">
        <v>34605</v>
      </c>
      <c r="I12" s="110">
        <v>34595</v>
      </c>
      <c r="J12" s="110">
        <v>-3478</v>
      </c>
      <c r="K12" s="84" t="str">
        <f t="shared" si="2"/>
        <v>매도</v>
      </c>
      <c r="L12" s="84" t="str">
        <f t="shared" si="3"/>
        <v>미래변동성위험중립2</v>
      </c>
    </row>
    <row r="13" spans="2:12" x14ac:dyDescent="0.3">
      <c r="B13" s="109">
        <v>44694</v>
      </c>
      <c r="C13" s="108" t="s">
        <v>280</v>
      </c>
      <c r="D13" s="108" t="s">
        <v>489</v>
      </c>
      <c r="E13" s="108" t="s">
        <v>490</v>
      </c>
      <c r="F13" s="108" t="s">
        <v>115</v>
      </c>
      <c r="G13" s="108">
        <v>1</v>
      </c>
      <c r="H13" s="110">
        <v>101385</v>
      </c>
      <c r="I13" s="110">
        <v>101415</v>
      </c>
      <c r="J13" s="108">
        <v>0</v>
      </c>
      <c r="K13" s="108" t="str">
        <f t="shared" ref="K13:K15" si="4">E13</f>
        <v>매수</v>
      </c>
      <c r="L13" s="108" t="str">
        <f t="shared" ref="L13:L15" si="5">C13</f>
        <v>미래변동성위험중립2</v>
      </c>
    </row>
    <row r="14" spans="2:12" x14ac:dyDescent="0.3">
      <c r="B14" s="109">
        <v>44694</v>
      </c>
      <c r="C14" s="108" t="s">
        <v>280</v>
      </c>
      <c r="D14" s="108" t="s">
        <v>489</v>
      </c>
      <c r="E14" s="108" t="s">
        <v>919</v>
      </c>
      <c r="F14" s="108" t="s">
        <v>203</v>
      </c>
      <c r="G14" s="108">
        <v>1</v>
      </c>
      <c r="H14" s="110">
        <v>34670</v>
      </c>
      <c r="I14" s="110">
        <v>34660</v>
      </c>
      <c r="J14" s="110">
        <v>-3469</v>
      </c>
      <c r="K14" s="108" t="str">
        <f t="shared" si="4"/>
        <v>매도</v>
      </c>
      <c r="L14" s="108" t="str">
        <f t="shared" si="5"/>
        <v>미래변동성위험중립2</v>
      </c>
    </row>
    <row r="15" spans="2:12" x14ac:dyDescent="0.3">
      <c r="B15" s="109">
        <v>44694</v>
      </c>
      <c r="C15" s="108" t="s">
        <v>280</v>
      </c>
      <c r="D15" s="108" t="s">
        <v>489</v>
      </c>
      <c r="E15" s="108" t="s">
        <v>490</v>
      </c>
      <c r="F15" s="108" t="s">
        <v>113</v>
      </c>
      <c r="G15" s="108">
        <v>1</v>
      </c>
      <c r="H15" s="110">
        <v>50520</v>
      </c>
      <c r="I15" s="110">
        <v>50530</v>
      </c>
      <c r="J15" s="108">
        <v>0</v>
      </c>
      <c r="K15" s="108" t="str">
        <f t="shared" si="4"/>
        <v>매수</v>
      </c>
      <c r="L15" s="108" t="str">
        <f t="shared" si="5"/>
        <v>미래변동성위험중립2</v>
      </c>
    </row>
    <row r="16" spans="2:12" x14ac:dyDescent="0.3">
      <c r="B16" s="100"/>
      <c r="C16" s="99"/>
      <c r="D16" s="99"/>
      <c r="E16" s="99"/>
      <c r="F16" s="99"/>
      <c r="G16" s="99"/>
      <c r="H16" s="101"/>
      <c r="I16" s="101"/>
      <c r="J16" s="99"/>
      <c r="K16" s="99"/>
      <c r="L16" s="99"/>
    </row>
    <row r="17" spans="2:12" x14ac:dyDescent="0.3">
      <c r="B17" s="100"/>
      <c r="C17" s="99"/>
      <c r="D17" s="99"/>
      <c r="E17" s="99"/>
      <c r="F17" s="99"/>
      <c r="G17" s="99"/>
      <c r="H17" s="101"/>
      <c r="I17" s="101"/>
      <c r="J17" s="101"/>
      <c r="K17" s="99"/>
      <c r="L17" s="99"/>
    </row>
    <row r="18" spans="2:12" x14ac:dyDescent="0.3">
      <c r="B18" s="100"/>
      <c r="C18" s="99"/>
      <c r="D18" s="99"/>
      <c r="E18" s="99"/>
      <c r="F18" s="99"/>
      <c r="G18" s="99"/>
      <c r="H18" s="101"/>
      <c r="I18" s="101"/>
      <c r="J18" s="99"/>
      <c r="K18" s="99"/>
      <c r="L18" s="99"/>
    </row>
    <row r="19" spans="2:12" x14ac:dyDescent="0.3">
      <c r="B19" s="100"/>
      <c r="C19" s="99"/>
      <c r="D19" s="99"/>
      <c r="E19" s="99"/>
      <c r="F19" s="99"/>
      <c r="G19" s="99"/>
      <c r="H19" s="101"/>
      <c r="I19" s="101"/>
      <c r="J19" s="101"/>
      <c r="K19" s="99"/>
      <c r="L19" s="99"/>
    </row>
    <row r="20" spans="2:12" x14ac:dyDescent="0.3">
      <c r="B20" s="100"/>
      <c r="C20" s="99"/>
      <c r="D20" s="99"/>
      <c r="E20" s="99"/>
      <c r="F20" s="99"/>
      <c r="G20" s="99"/>
      <c r="H20" s="101"/>
      <c r="I20" s="101"/>
      <c r="J20" s="99"/>
      <c r="K20" s="99"/>
      <c r="L20" s="99"/>
    </row>
    <row r="21" spans="2:12" x14ac:dyDescent="0.3">
      <c r="B21" s="100"/>
      <c r="C21" s="99"/>
      <c r="D21" s="99"/>
      <c r="E21" s="99"/>
      <c r="F21" s="99"/>
      <c r="G21" s="99"/>
      <c r="H21" s="101"/>
      <c r="I21" s="101"/>
      <c r="J21" s="99"/>
      <c r="K21" s="99"/>
      <c r="L21" s="99"/>
    </row>
    <row r="22" spans="2:12" x14ac:dyDescent="0.3">
      <c r="B22" s="100"/>
      <c r="C22" s="99"/>
      <c r="D22" s="99"/>
      <c r="E22" s="99"/>
      <c r="F22" s="99"/>
      <c r="G22" s="99"/>
      <c r="H22" s="101"/>
      <c r="I22" s="101"/>
      <c r="J22" s="99"/>
      <c r="K22" s="99"/>
      <c r="L22" s="99"/>
    </row>
    <row r="23" spans="2:12" x14ac:dyDescent="0.3">
      <c r="B23" s="100"/>
      <c r="C23" s="99"/>
      <c r="D23" s="99"/>
      <c r="E23" s="99"/>
      <c r="F23" s="99"/>
      <c r="G23" s="99"/>
      <c r="H23" s="101"/>
      <c r="I23" s="101"/>
      <c r="J23" s="101"/>
      <c r="K23" s="99"/>
      <c r="L23" s="99"/>
    </row>
    <row r="24" spans="2:12" x14ac:dyDescent="0.3">
      <c r="B24" s="100"/>
      <c r="C24" s="99"/>
      <c r="D24" s="99"/>
      <c r="E24" s="99"/>
      <c r="F24" s="99"/>
      <c r="G24" s="99"/>
      <c r="H24" s="101"/>
      <c r="I24" s="101"/>
      <c r="J24" s="99"/>
      <c r="K24" s="99"/>
      <c r="L24" s="99"/>
    </row>
    <row r="25" spans="2:12" x14ac:dyDescent="0.3">
      <c r="B25" s="100"/>
      <c r="C25" s="99"/>
      <c r="D25" s="99"/>
      <c r="E25" s="99"/>
      <c r="F25" s="99"/>
      <c r="G25" s="99"/>
      <c r="H25" s="101"/>
      <c r="I25" s="101"/>
      <c r="J25" s="99"/>
      <c r="K25" s="99"/>
      <c r="L25" s="99"/>
    </row>
    <row r="26" spans="2:12" x14ac:dyDescent="0.3">
      <c r="B26" s="100"/>
      <c r="C26" s="99"/>
      <c r="D26" s="99"/>
      <c r="E26" s="99"/>
      <c r="F26" s="99"/>
      <c r="G26" s="99"/>
      <c r="H26" s="101"/>
      <c r="I26" s="101"/>
      <c r="J26" s="99"/>
      <c r="K26" s="99"/>
      <c r="L26" s="99"/>
    </row>
    <row r="27" spans="2:12" x14ac:dyDescent="0.3">
      <c r="B27" s="100"/>
      <c r="C27" s="99"/>
      <c r="D27" s="99"/>
      <c r="E27" s="99"/>
      <c r="F27" s="99"/>
      <c r="G27" s="99"/>
      <c r="H27" s="101"/>
      <c r="I27" s="101"/>
      <c r="J27" s="99"/>
      <c r="K27" s="99"/>
      <c r="L27" s="99"/>
    </row>
    <row r="28" spans="2:12" x14ac:dyDescent="0.3">
      <c r="B28" s="100"/>
      <c r="C28" s="99"/>
      <c r="D28" s="99"/>
      <c r="E28" s="99"/>
      <c r="F28" s="99"/>
      <c r="G28" s="99"/>
      <c r="H28" s="101"/>
      <c r="I28" s="101"/>
      <c r="J28" s="101"/>
      <c r="K28" s="99"/>
      <c r="L28" s="99"/>
    </row>
    <row r="29" spans="2:12" x14ac:dyDescent="0.3">
      <c r="B29" s="100"/>
      <c r="C29" s="99"/>
      <c r="D29" s="99"/>
      <c r="E29" s="99"/>
      <c r="F29" s="99"/>
      <c r="G29" s="99"/>
      <c r="H29" s="101"/>
      <c r="I29" s="101"/>
      <c r="J29" s="99"/>
      <c r="K29" s="99"/>
      <c r="L29" s="99"/>
    </row>
    <row r="30" spans="2:12" x14ac:dyDescent="0.3">
      <c r="B30" s="100"/>
      <c r="C30" s="99"/>
      <c r="D30" s="99"/>
      <c r="E30" s="99"/>
      <c r="F30" s="99"/>
      <c r="G30" s="99"/>
      <c r="H30" s="101"/>
      <c r="I30" s="101"/>
      <c r="J30" s="99"/>
      <c r="K30" s="99"/>
      <c r="L30" s="99"/>
    </row>
    <row r="31" spans="2:12" x14ac:dyDescent="0.3">
      <c r="B31" s="100"/>
      <c r="C31" s="99"/>
      <c r="D31" s="99"/>
      <c r="E31" s="99"/>
      <c r="F31" s="99"/>
      <c r="G31" s="99"/>
      <c r="H31" s="101"/>
      <c r="I31" s="101"/>
      <c r="J31" s="99"/>
      <c r="K31" s="99"/>
      <c r="L31" s="99"/>
    </row>
    <row r="32" spans="2:12" x14ac:dyDescent="0.3">
      <c r="B32" s="100"/>
      <c r="C32" s="99"/>
      <c r="D32" s="99"/>
      <c r="E32" s="99"/>
      <c r="F32" s="99"/>
      <c r="G32" s="99"/>
      <c r="H32" s="101"/>
      <c r="I32" s="101"/>
      <c r="J32" s="99"/>
      <c r="K32" s="99"/>
      <c r="L32" s="99"/>
    </row>
    <row r="33" spans="2:12" x14ac:dyDescent="0.3">
      <c r="B33" s="100"/>
      <c r="C33" s="99"/>
      <c r="D33" s="99"/>
      <c r="E33" s="99"/>
      <c r="F33" s="99"/>
      <c r="G33" s="99"/>
      <c r="H33" s="101"/>
      <c r="I33" s="101"/>
      <c r="J33" s="101"/>
      <c r="K33" s="99"/>
      <c r="L33" s="99"/>
    </row>
    <row r="34" spans="2:12" x14ac:dyDescent="0.3">
      <c r="B34" s="100"/>
      <c r="C34" s="99"/>
      <c r="D34" s="99"/>
      <c r="E34" s="99"/>
      <c r="F34" s="99"/>
      <c r="G34" s="99"/>
      <c r="H34" s="101"/>
      <c r="I34" s="101"/>
      <c r="J34" s="99"/>
      <c r="K34" s="99"/>
      <c r="L34" s="99"/>
    </row>
    <row r="35" spans="2:12" x14ac:dyDescent="0.3">
      <c r="B35" s="100"/>
      <c r="C35" s="99"/>
      <c r="D35" s="99"/>
      <c r="E35" s="99"/>
      <c r="F35" s="99"/>
      <c r="G35" s="99"/>
      <c r="H35" s="101"/>
      <c r="I35" s="101"/>
      <c r="J35" s="99"/>
      <c r="K35" s="99"/>
      <c r="L35" s="99"/>
    </row>
    <row r="36" spans="2:12" x14ac:dyDescent="0.3">
      <c r="B36" s="97"/>
      <c r="C36" s="96"/>
      <c r="D36" s="96"/>
      <c r="E36" s="96"/>
      <c r="F36" s="96"/>
      <c r="G36" s="96"/>
      <c r="H36" s="98"/>
      <c r="I36" s="98"/>
      <c r="J36" s="96"/>
      <c r="K36" s="89"/>
      <c r="L36" s="89"/>
    </row>
    <row r="37" spans="2:12" x14ac:dyDescent="0.3">
      <c r="B37" s="97"/>
      <c r="C37" s="96"/>
      <c r="D37" s="96"/>
      <c r="E37" s="96"/>
      <c r="F37" s="96"/>
      <c r="G37" s="96"/>
      <c r="H37" s="98"/>
      <c r="I37" s="98"/>
      <c r="J37" s="96"/>
      <c r="K37" s="89"/>
      <c r="L37" s="89"/>
    </row>
    <row r="38" spans="2:12" x14ac:dyDescent="0.3">
      <c r="B38" s="97"/>
      <c r="C38" s="96"/>
      <c r="D38" s="96"/>
      <c r="E38" s="96"/>
      <c r="F38" s="96"/>
      <c r="G38" s="96"/>
      <c r="H38" s="98"/>
      <c r="I38" s="98"/>
      <c r="J38" s="96"/>
      <c r="K38" s="89"/>
      <c r="L38" s="89"/>
    </row>
    <row r="39" spans="2:12" x14ac:dyDescent="0.3">
      <c r="B39" s="97"/>
      <c r="C39" s="96"/>
      <c r="D39" s="96"/>
      <c r="E39" s="96"/>
      <c r="F39" s="96"/>
      <c r="G39" s="96"/>
      <c r="H39" s="98"/>
      <c r="I39" s="98"/>
      <c r="J39" s="96"/>
      <c r="K39" s="89"/>
      <c r="L39" s="89"/>
    </row>
    <row r="40" spans="2:12" x14ac:dyDescent="0.3">
      <c r="B40" s="97"/>
      <c r="C40" s="96"/>
      <c r="D40" s="96"/>
      <c r="E40" s="96"/>
      <c r="F40" s="96"/>
      <c r="G40" s="96"/>
      <c r="H40" s="98"/>
      <c r="I40" s="98"/>
      <c r="J40" s="96"/>
      <c r="K40" s="89"/>
      <c r="L40" s="89"/>
    </row>
    <row r="41" spans="2:12" x14ac:dyDescent="0.3">
      <c r="B41" s="97"/>
      <c r="C41" s="96"/>
      <c r="D41" s="96"/>
      <c r="E41" s="96"/>
      <c r="F41" s="96"/>
      <c r="G41" s="96"/>
      <c r="H41" s="98"/>
      <c r="I41" s="98"/>
      <c r="J41" s="96"/>
      <c r="K41" s="89"/>
      <c r="L41" s="89"/>
    </row>
    <row r="42" spans="2:12" x14ac:dyDescent="0.3">
      <c r="B42" s="97"/>
      <c r="C42" s="96"/>
      <c r="D42" s="96"/>
      <c r="E42" s="96"/>
      <c r="F42" s="96"/>
      <c r="G42" s="96"/>
      <c r="H42" s="98"/>
      <c r="I42" s="98"/>
      <c r="J42" s="96"/>
      <c r="K42" s="89"/>
      <c r="L42" s="89"/>
    </row>
    <row r="43" spans="2:12" x14ac:dyDescent="0.3">
      <c r="B43" s="97"/>
      <c r="C43" s="96"/>
      <c r="D43" s="96"/>
      <c r="E43" s="96"/>
      <c r="F43" s="96"/>
      <c r="G43" s="96"/>
      <c r="H43" s="98"/>
      <c r="I43" s="98"/>
      <c r="J43" s="96"/>
      <c r="K43" s="89"/>
      <c r="L43" s="89"/>
    </row>
    <row r="44" spans="2:12" x14ac:dyDescent="0.3">
      <c r="B44" s="97"/>
      <c r="C44" s="96"/>
      <c r="D44" s="96"/>
      <c r="E44" s="96"/>
      <c r="F44" s="96"/>
      <c r="G44" s="96"/>
      <c r="H44" s="98"/>
      <c r="I44" s="98"/>
      <c r="J44" s="96"/>
      <c r="K44" s="89"/>
      <c r="L44" s="89"/>
    </row>
    <row r="45" spans="2:12" x14ac:dyDescent="0.3">
      <c r="B45" s="97"/>
      <c r="C45" s="96"/>
      <c r="D45" s="96"/>
      <c r="E45" s="96"/>
      <c r="F45" s="96"/>
      <c r="G45" s="96"/>
      <c r="H45" s="98"/>
      <c r="I45" s="98"/>
      <c r="J45" s="96"/>
      <c r="K45" s="89"/>
      <c r="L45" s="89"/>
    </row>
    <row r="46" spans="2:12" x14ac:dyDescent="0.3">
      <c r="B46" s="97"/>
      <c r="C46" s="96"/>
      <c r="D46" s="96"/>
      <c r="E46" s="96"/>
      <c r="F46" s="96"/>
      <c r="G46" s="96"/>
      <c r="H46" s="98"/>
      <c r="I46" s="98"/>
      <c r="J46" s="96"/>
      <c r="K46" s="89"/>
      <c r="L46" s="89"/>
    </row>
    <row r="47" spans="2:12" x14ac:dyDescent="0.3">
      <c r="B47" s="97"/>
      <c r="C47" s="96"/>
      <c r="D47" s="96"/>
      <c r="E47" s="96"/>
      <c r="F47" s="96"/>
      <c r="G47" s="96"/>
      <c r="H47" s="98"/>
      <c r="I47" s="98"/>
      <c r="J47" s="96"/>
      <c r="K47" s="89"/>
      <c r="L47" s="89"/>
    </row>
    <row r="48" spans="2:12" x14ac:dyDescent="0.3">
      <c r="B48" s="94"/>
      <c r="C48" s="93"/>
      <c r="D48" s="93"/>
      <c r="E48" s="93"/>
      <c r="F48" s="93"/>
      <c r="G48" s="93"/>
      <c r="H48" s="95"/>
      <c r="I48" s="95"/>
      <c r="J48" s="93"/>
      <c r="K48" s="89"/>
      <c r="L48" s="89"/>
    </row>
    <row r="49" spans="2:12" x14ac:dyDescent="0.3">
      <c r="B49" s="91"/>
      <c r="C49" s="90"/>
      <c r="D49" s="90"/>
      <c r="E49" s="90"/>
      <c r="F49" s="90"/>
      <c r="G49" s="90"/>
      <c r="H49" s="92"/>
      <c r="I49" s="92"/>
      <c r="J49" s="90"/>
      <c r="K49" s="89"/>
      <c r="L49" s="89"/>
    </row>
    <row r="50" spans="2:12" x14ac:dyDescent="0.3">
      <c r="B50" s="91"/>
      <c r="C50" s="90"/>
      <c r="D50" s="90"/>
      <c r="E50" s="90"/>
      <c r="F50" s="90"/>
      <c r="G50" s="90"/>
      <c r="H50" s="92"/>
      <c r="I50" s="92"/>
      <c r="J50" s="90"/>
      <c r="K50" s="89"/>
      <c r="L50" s="89"/>
    </row>
    <row r="51" spans="2:12" x14ac:dyDescent="0.3">
      <c r="B51" s="91"/>
      <c r="C51" s="90"/>
      <c r="D51" s="90"/>
      <c r="E51" s="90"/>
      <c r="F51" s="90"/>
      <c r="G51" s="90"/>
      <c r="H51" s="92"/>
      <c r="I51" s="92"/>
      <c r="J51" s="90"/>
      <c r="K51" s="89"/>
      <c r="L51" s="89"/>
    </row>
    <row r="52" spans="2:12" x14ac:dyDescent="0.3">
      <c r="B52" s="91"/>
      <c r="C52" s="90"/>
      <c r="D52" s="90"/>
      <c r="E52" s="90"/>
      <c r="F52" s="90"/>
      <c r="G52" s="90"/>
      <c r="H52" s="92"/>
      <c r="I52" s="92"/>
      <c r="J52" s="90"/>
      <c r="K52" s="90"/>
      <c r="L52" s="90"/>
    </row>
    <row r="53" spans="2:12" x14ac:dyDescent="0.3">
      <c r="B53" s="91"/>
      <c r="C53" s="90"/>
      <c r="D53" s="90"/>
      <c r="E53" s="90"/>
      <c r="F53" s="90"/>
      <c r="G53" s="90"/>
      <c r="H53" s="92"/>
      <c r="I53" s="92"/>
      <c r="J53" s="90"/>
      <c r="K53" s="90"/>
      <c r="L53" s="90"/>
    </row>
    <row r="54" spans="2:12" x14ac:dyDescent="0.3">
      <c r="B54" s="86"/>
      <c r="C54" s="85"/>
      <c r="D54" s="85"/>
      <c r="E54" s="85"/>
      <c r="F54" s="85"/>
      <c r="G54" s="85"/>
      <c r="H54" s="87"/>
      <c r="I54" s="87"/>
      <c r="J54" s="87"/>
      <c r="K54" s="85"/>
      <c r="L54" s="85"/>
    </row>
    <row r="55" spans="2:12" x14ac:dyDescent="0.3">
      <c r="B55" s="86"/>
      <c r="C55" s="85"/>
      <c r="D55" s="85"/>
      <c r="E55" s="85"/>
      <c r="F55" s="85"/>
      <c r="G55" s="85"/>
      <c r="H55" s="87"/>
      <c r="I55" s="87"/>
      <c r="J55" s="85"/>
      <c r="K55" s="85"/>
      <c r="L55" s="85"/>
    </row>
    <row r="56" spans="2:12" x14ac:dyDescent="0.3">
      <c r="B56" s="86"/>
      <c r="C56" s="85"/>
      <c r="D56" s="85"/>
      <c r="E56" s="85"/>
      <c r="F56" s="85"/>
      <c r="G56" s="85"/>
      <c r="H56" s="87"/>
      <c r="I56" s="87"/>
      <c r="J56" s="87"/>
      <c r="K56" s="85"/>
      <c r="L56" s="85"/>
    </row>
    <row r="57" spans="2:12" x14ac:dyDescent="0.3">
      <c r="B57" s="86"/>
      <c r="C57" s="85"/>
      <c r="D57" s="85"/>
      <c r="E57" s="85"/>
      <c r="F57" s="85"/>
      <c r="G57" s="85"/>
      <c r="H57" s="87"/>
      <c r="I57" s="87"/>
      <c r="J57" s="85"/>
      <c r="K57" s="85"/>
      <c r="L57" s="85"/>
    </row>
    <row r="58" spans="2:12" x14ac:dyDescent="0.3">
      <c r="B58" s="86"/>
      <c r="C58" s="85"/>
      <c r="D58" s="85"/>
      <c r="E58" s="85"/>
      <c r="F58" s="85"/>
      <c r="G58" s="85"/>
      <c r="H58" s="87"/>
      <c r="I58" s="87"/>
      <c r="J58" s="87"/>
      <c r="K58" s="85"/>
      <c r="L58" s="85"/>
    </row>
    <row r="59" spans="2:12" x14ac:dyDescent="0.3">
      <c r="B59" s="86"/>
      <c r="C59" s="85"/>
      <c r="D59" s="85"/>
      <c r="E59" s="85"/>
      <c r="F59" s="85"/>
      <c r="G59" s="85"/>
      <c r="H59" s="87"/>
      <c r="I59" s="87"/>
      <c r="J59" s="85"/>
      <c r="K59" s="85"/>
      <c r="L59" s="85"/>
    </row>
    <row r="60" spans="2:12" x14ac:dyDescent="0.3">
      <c r="B60" s="86"/>
      <c r="C60" s="85"/>
      <c r="D60" s="85"/>
      <c r="E60" s="85"/>
      <c r="F60" s="85"/>
      <c r="G60" s="85"/>
      <c r="H60" s="87"/>
      <c r="I60" s="87"/>
      <c r="J60" s="87"/>
      <c r="K60" s="85"/>
      <c r="L60" s="85"/>
    </row>
    <row r="61" spans="2:12" x14ac:dyDescent="0.3">
      <c r="B61" s="86"/>
      <c r="C61" s="85"/>
      <c r="D61" s="85"/>
      <c r="E61" s="85"/>
      <c r="F61" s="85"/>
      <c r="G61" s="85"/>
      <c r="H61" s="87"/>
      <c r="I61" s="87"/>
      <c r="J61" s="85"/>
      <c r="K61" s="85"/>
      <c r="L61" s="85"/>
    </row>
    <row r="62" spans="2:12" x14ac:dyDescent="0.3">
      <c r="B62" s="86"/>
      <c r="C62" s="85"/>
      <c r="D62" s="85"/>
      <c r="E62" s="85"/>
      <c r="F62" s="85"/>
      <c r="G62" s="85"/>
      <c r="H62" s="87"/>
      <c r="I62" s="87"/>
      <c r="J62" s="87"/>
      <c r="K62" s="85"/>
      <c r="L62" s="85"/>
    </row>
    <row r="63" spans="2:12" x14ac:dyDescent="0.3">
      <c r="B63" s="86"/>
      <c r="C63" s="85"/>
      <c r="D63" s="85"/>
      <c r="E63" s="85"/>
      <c r="F63" s="85"/>
      <c r="G63" s="85"/>
      <c r="H63" s="87"/>
      <c r="I63" s="87"/>
      <c r="J63" s="87"/>
      <c r="K63" s="85"/>
      <c r="L63" s="85"/>
    </row>
    <row r="64" spans="2:12" x14ac:dyDescent="0.3">
      <c r="B64" s="86"/>
      <c r="C64" s="85"/>
      <c r="D64" s="85"/>
      <c r="E64" s="85"/>
      <c r="F64" s="85"/>
      <c r="G64" s="85"/>
      <c r="H64" s="87"/>
      <c r="I64" s="87"/>
      <c r="J64" s="85"/>
      <c r="K64" s="85"/>
      <c r="L64" s="85"/>
    </row>
    <row r="65" spans="2:12" x14ac:dyDescent="0.3">
      <c r="B65" s="86"/>
      <c r="C65" s="85"/>
      <c r="D65" s="85"/>
      <c r="E65" s="85"/>
      <c r="F65" s="85"/>
      <c r="G65" s="85"/>
      <c r="H65" s="87"/>
      <c r="I65" s="87"/>
      <c r="J65" s="85"/>
      <c r="K65" s="85"/>
      <c r="L65" s="85"/>
    </row>
    <row r="66" spans="2:12" x14ac:dyDescent="0.3">
      <c r="B66" s="86"/>
      <c r="C66" s="85"/>
      <c r="D66" s="85"/>
      <c r="E66" s="85"/>
      <c r="F66" s="85"/>
      <c r="G66" s="85"/>
      <c r="H66" s="87"/>
      <c r="I66" s="87"/>
      <c r="J66" s="85"/>
      <c r="K66" s="85"/>
      <c r="L66" s="8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G5" sqref="G5"/>
      <selection pane="bottomLeft" activeCell="C5" sqref="C5:C10"/>
    </sheetView>
  </sheetViews>
  <sheetFormatPr defaultColWidth="9" defaultRowHeight="16.5" x14ac:dyDescent="0.3"/>
  <cols>
    <col min="1" max="1" width="14" style="3" customWidth="1"/>
    <col min="2" max="2" width="18.1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394</v>
      </c>
      <c r="C2" s="7" t="s">
        <v>398</v>
      </c>
      <c r="D2" s="22">
        <v>7000000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적극1)'!E5,전체매매내역!K:K,"미래변동성공격1")&gt;0,"추가매수",IF(SUMIFS(전체매매내역!H:H,전체매매내역!G:G,'잔고변경현황(적극1)'!E5,전체매매내역!K:K,"미래변동성공격1")&lt;0,"일부매도","전량매도"))="전량매도","",IF(SUMIFS(전체매매내역!H:H,전체매매내역!G:G,'잔고변경현황(적극1)'!E5,전체매매내역!K:K,"미래변동성공격1")&gt;0,"추가매수",IF(SUMIFS(전체매매내역!H:H,전체매매내역!G:G,'잔고변경현황(적극1)'!E5,전체매매내역!K:K,"미래변동성공격1")&lt;0,"일부매도","전량매도")))</f>
        <v>추가매수</v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SUMIFS(전체매매내역!J:J,전체매매내역!B:B,'잔고변경현황(적극1)'!$A$2,전체매매내역!D:D,'잔고변경현황(적극1)'!$C$2,전체매매내역!G:G,'잔고변경현황(적극1)'!E5,전체매매내역!A:A,'잔고변경현황(적극1)'!A5)</f>
        <v>53</v>
      </c>
      <c r="H5" s="41">
        <f>SUMIFS('50578'!I:I,'50578'!E:E,'잔고변경현황(적극1)'!E5,'50578'!C:C,"미래변동성공격1")</f>
        <v>1877260</v>
      </c>
      <c r="I5" s="38">
        <f>SUMIFS('50578'!K:K,'50578'!C:C,"미래변동성공격1",'50578'!E:E,'잔고변경현황(적극1)'!E5)/100</f>
        <v>0.2848</v>
      </c>
      <c r="J5" s="38">
        <f>SUMIFS('MP내역(적극)'!G:G,'MP내역(적극)'!A:A,A5,'MP내역(적극)'!B:B,D5)</f>
        <v>0.28807040335347195</v>
      </c>
      <c r="K5" s="38">
        <f>J5-I5</f>
        <v>3.2704033534719512E-3</v>
      </c>
      <c r="L5" s="78">
        <f>ROUND(G5*K5/I5,0)</f>
        <v>1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적극1)'!E6,전체매매내역!K:K,"미래변동성공격1")&gt;0,"추가매수",IF(SUMIFS(전체매매내역!H:H,전체매매내역!G:G,'잔고변경현황(적극1)'!E6,전체매매내역!K:K,"미래변동성공격1")&lt;0,"일부매도","전량매도"))="전량매도","",IF(SUMIFS(전체매매내역!H:H,전체매매내역!G:G,'잔고변경현황(적극1)'!E6,전체매매내역!K:K,"미래변동성공격1")&gt;0,"추가매수",IF(SUMIFS(전체매매내역!H:H,전체매매내역!G:G,'잔고변경현황(적극1)'!E6,전체매매내역!K:K,"미래변동성공격1")&lt;0,"일부매도","전량매도")))</f>
        <v>추가매수</v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SUMIFS(전체매매내역!J:J,전체매매내역!B:B,'잔고변경현황(적극1)'!$A$2,전체매매내역!D:D,'잔고변경현황(적극1)'!$C$2,전체매매내역!G:G,'잔고변경현황(적극1)'!E6,전체매매내역!A:A,'잔고변경현황(적극1)'!A6)</f>
        <v>53</v>
      </c>
      <c r="H6" s="41">
        <f>SUMIFS('50578'!I:I,'50578'!E:E,'잔고변경현황(적극1)'!E6,'50578'!C:C,"미래변동성공격1")</f>
        <v>1874875</v>
      </c>
      <c r="I6" s="38">
        <f>SUMIFS('50578'!K:K,'50578'!C:C,"미래변동성공격1",'50578'!E:E,'잔고변경현황(적극1)'!E6)/100</f>
        <v>0.28439999999999999</v>
      </c>
      <c r="J6" s="38">
        <f>SUMIFS('MP내역(적극)'!G:G,'MP내역(적극)'!A:A,A6,'MP내역(적극)'!B:B,D6)</f>
        <v>0.28807040335347195</v>
      </c>
      <c r="K6" s="38">
        <f t="shared" ref="K6:K10" si="0">J6-I6</f>
        <v>3.6704033534719627E-3</v>
      </c>
      <c r="L6" s="78">
        <f t="shared" ref="L6:L10" si="1">ROUND(G6*K6/I6,0)</f>
        <v>1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적극1)'!E7,전체매매내역!K:K,"미래변동성공격1")&gt;0,"추가매수",IF(SUMIFS(전체매매내역!H:H,전체매매내역!G:G,'잔고변경현황(적극1)'!E7,전체매매내역!K:K,"미래변동성공격1")&lt;0,"일부매도","전량매도"))="전량매도","",IF(SUMIFS(전체매매내역!H:H,전체매매내역!G:G,'잔고변경현황(적극1)'!E7,전체매매내역!K:K,"미래변동성공격1")&gt;0,"추가매수",IF(SUMIFS(전체매매내역!H:H,전체매매내역!G:G,'잔고변경현황(적극1)'!E7,전체매매내역!K:K,"미래변동성공격1")&lt;0,"일부매도","전량매도")))</f>
        <v>추가매수</v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SUMIFS(전체매매내역!J:J,전체매매내역!B:B,'잔고변경현황(적극1)'!$A$2,전체매매내역!D:D,'잔고변경현황(적극1)'!$C$2,전체매매내역!G:G,'잔고변경현황(적극1)'!E7,전체매매내역!A:A,'잔고변경현황(적극1)'!A7)</f>
        <v>52</v>
      </c>
      <c r="H7" s="41">
        <f>SUMIFS('50578'!I:I,'50578'!E:E,'잔고변경현황(적극1)'!E7,'50578'!C:C,"미래변동성공격1")</f>
        <v>1850680</v>
      </c>
      <c r="I7" s="38">
        <f>SUMIFS('50578'!K:K,'50578'!C:C,"미래변동성공격1",'50578'!E:E,'잔고변경현황(적극1)'!E7)/100</f>
        <v>0.28079999999999999</v>
      </c>
      <c r="J7" s="38">
        <f>SUMIFS('MP내역(적극)'!G:G,'MP내역(적극)'!A:A,A7,'MP내역(적극)'!B:B,D7)</f>
        <v>0.28807040335347195</v>
      </c>
      <c r="K7" s="38">
        <f t="shared" si="0"/>
        <v>7.2704033534719548E-3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적극1)'!E8,전체매매내역!K:K,"미래변동성공격1")&gt;0,"추가매수",IF(SUMIFS(전체매매내역!H:H,전체매매내역!G:G,'잔고변경현황(적극1)'!E8,전체매매내역!K:K,"미래변동성공격1")&lt;0,"일부매도","전량매도"))="전량매도","",IF(SUMIFS(전체매매내역!H:H,전체매매내역!G:G,'잔고변경현황(적극1)'!E8,전체매매내역!K:K,"미래변동성공격1")&gt;0,"추가매수",IF(SUMIFS(전체매매내역!H:H,전체매매내역!G:G,'잔고변경현황(적극1)'!E8,전체매매내역!K:K,"미래변동성공격1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SUMIFS(전체매매내역!J:J,전체매매내역!B:B,'잔고변경현황(적극1)'!$A$2,전체매매내역!D:D,'잔고변경현황(적극1)'!$C$2,전체매매내역!G:G,'잔고변경현황(적극1)'!E8,전체매매내역!A:A,'잔고변경현황(적극1)'!A8)</f>
        <v>5</v>
      </c>
      <c r="H8" s="41">
        <f>SUMIFS('50578'!I:I,'50578'!E:E,'잔고변경현황(적극1)'!E8,'50578'!C:C,"미래변동성공격1")</f>
        <v>252450</v>
      </c>
      <c r="I8" s="38">
        <f>SUMIFS('50578'!K:K,'50578'!C:C,"미래변동성공격1",'50578'!E:E,'잔고변경현황(적극1)'!E8)/100</f>
        <v>3.8300000000000001E-2</v>
      </c>
      <c r="J8" s="38">
        <f>SUMIFS('MP내역(적극)'!G:G,'MP내역(적극)'!A:A,A8,'MP내역(적극)'!B:B,D8)</f>
        <v>4.5262929979861401E-2</v>
      </c>
      <c r="K8" s="38">
        <f t="shared" si="0"/>
        <v>6.9629299798614E-3</v>
      </c>
      <c r="L8" s="78">
        <f t="shared" si="1"/>
        <v>1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적극1)'!E9,전체매매내역!K:K,"미래변동성공격1")&gt;0,"추가매수",IF(SUMIFS(전체매매내역!H:H,전체매매내역!G:G,'잔고변경현황(적극1)'!E9,전체매매내역!K:K,"미래변동성공격1")&lt;0,"일부매도","전량매도"))="전량매도","",IF(SUMIFS(전체매매내역!H:H,전체매매내역!G:G,'잔고변경현황(적극1)'!E9,전체매매내역!K:K,"미래변동성공격1")&gt;0,"추가매수",IF(SUMIFS(전체매매내역!H:H,전체매매내역!G:G,'잔고변경현황(적극1)'!E9,전체매매내역!K:K,"미래변동성공격1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SUMIFS(전체매매내역!J:J,전체매매내역!B:B,'잔고변경현황(적극1)'!$A$2,전체매매내역!D:D,'잔고변경현황(적극1)'!$C$2,전체매매내역!G:G,'잔고변경현황(적극1)'!E9,전체매매내역!A:A,'잔고변경현황(적극1)'!A9)</f>
        <v>3</v>
      </c>
      <c r="H9" s="41">
        <f>SUMIFS('50578'!I:I,'50578'!E:E,'잔고변경현황(적극1)'!E9,'50578'!C:C,"미래변동성공격1")</f>
        <v>315360</v>
      </c>
      <c r="I9" s="38">
        <f>SUMIFS('50578'!K:K,'50578'!C:C,"미래변동성공격1",'50578'!E:E,'잔고변경현황(적극1)'!E9)/100</f>
        <v>4.7800000000000002E-2</v>
      </c>
      <c r="J9" s="38">
        <f>SUMIFS('MP내역(적극)'!G:G,'MP내역(적극)'!A:A,A9,'MP내역(적극)'!B:B,D9)</f>
        <v>4.5262929979861401E-2</v>
      </c>
      <c r="K9" s="38">
        <f t="shared" si="0"/>
        <v>-2.5370700201386015E-3</v>
      </c>
      <c r="L9" s="78">
        <f t="shared" si="1"/>
        <v>0</v>
      </c>
      <c r="M9" s="35" t="str">
        <f t="shared" si="2"/>
        <v/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적극1)'!E10,전체매매내역!K:K,"미래변동성공격1")&gt;0,"추가매수",IF(SUMIFS(전체매매내역!H:H,전체매매내역!G:G,'잔고변경현황(적극1)'!E10,전체매매내역!K:K,"미래변동성공격1")&lt;0,"일부매도","전량매도"))="전량매도","",IF(SUMIFS(전체매매내역!H:H,전체매매내역!G:G,'잔고변경현황(적극1)'!E10,전체매매내역!K:K,"미래변동성공격1")&gt;0,"추가매수",IF(SUMIFS(전체매매내역!H:H,전체매매내역!G:G,'잔고변경현황(적극1)'!E10,전체매매내역!K:K,"미래변동성공격1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SUMIFS(전체매매내역!J:J,전체매매내역!B:B,'잔고변경현황(적극1)'!$A$2,전체매매내역!D:D,'잔고변경현황(적극1)'!$C$2,전체매매내역!G:G,'잔고변경현황(적극1)'!E10,전체매매내역!A:A,'잔고변경현황(적극1)'!A10)</f>
        <v>3</v>
      </c>
      <c r="H10" s="41">
        <f>SUMIFS('50578'!I:I,'50578'!E:E,'잔고변경현황(적극1)'!E10,'50578'!C:C,"미래변동성공격1")</f>
        <v>303975</v>
      </c>
      <c r="I10" s="38">
        <f>SUMIFS('50578'!K:K,'50578'!C:C,"미래변동성공격1",'50578'!E:E,'잔고변경현황(적극1)'!E10)/100</f>
        <v>4.6100000000000002E-2</v>
      </c>
      <c r="J10" s="38">
        <f>SUMIFS('MP내역(적극)'!G:G,'MP내역(적극)'!A:A,A10,'MP내역(적극)'!B:B,D10)</f>
        <v>4.5262929979861401E-2</v>
      </c>
      <c r="K10" s="38">
        <f t="shared" si="0"/>
        <v>-8.3707002013860138E-4</v>
      </c>
      <c r="L10" s="78">
        <f t="shared" si="1"/>
        <v>0</v>
      </c>
      <c r="M10" s="35" t="str">
        <f t="shared" si="2"/>
        <v/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/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SUMIFS('22012'!I:I,'22012'!C:C,"미래변동성공격1")</f>
        <v>0</v>
      </c>
      <c r="I11" s="71">
        <f>1-SUM(I5:I10)</f>
        <v>1.7800000000000149E-2</v>
      </c>
      <c r="J11" s="38">
        <f>SUMIFS('MP내역(적극)'!G:G,'MP내역(적극)'!A:A,A11,'MP내역(적극)'!B:B,D11)</f>
        <v>0</v>
      </c>
      <c r="K11" s="38">
        <f>J11-I11</f>
        <v>-1.7800000000000149E-2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s="21" customFormat="1" x14ac:dyDescent="0.3">
      <c r="C39" s="64"/>
      <c r="E39" s="19"/>
      <c r="F39" s="19"/>
      <c r="H39" s="19"/>
      <c r="I39" s="23"/>
      <c r="J39" s="23"/>
      <c r="K39" s="23"/>
      <c r="L39" s="23"/>
      <c r="M39" s="19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5" activePane="bottomLeft" state="frozen"/>
      <selection activeCell="G5" sqref="G5"/>
      <selection pane="bottomLeft" activeCell="C5" sqref="C5:C10"/>
    </sheetView>
  </sheetViews>
  <sheetFormatPr defaultColWidth="9" defaultRowHeight="16.5" x14ac:dyDescent="0.3"/>
  <cols>
    <col min="1" max="1" width="14" style="3" customWidth="1"/>
    <col min="2" max="2" width="18.1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394</v>
      </c>
      <c r="C2" s="7" t="s">
        <v>399</v>
      </c>
      <c r="D2" s="22">
        <v>10000000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적극2)'!E5,전체매매내역!K:K,"미래변동성공격2")&gt;0,"추가매수",IF(SUMIFS(전체매매내역!H:H,전체매매내역!G:G,'잔고변경현황(적극2)'!E5,전체매매내역!K:K,"미래변동성공격2")&lt;0,"일부매도","전량매도"))="전량매도","",IF(SUMIFS(전체매매내역!H:H,전체매매내역!G:G,'잔고변경현황(적극2)'!E5,전체매매내역!K:K,"미래변동성공격2")&gt;0,"추가매수",IF(SUMIFS(전체매매내역!H:H,전체매매내역!G:G,'잔고변경현황(적극2)'!E5,전체매매내역!K:K,"미래변동성공격2")&lt;0,"일부매도","전량매도")))</f>
        <v>추가매수</v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SUMIFS(전체매매내역!J:J,전체매매내역!B:B,'잔고변경현황(적극2)'!$A$2,전체매매내역!D:D,'잔고변경현황(적극2)'!$C$2,전체매매내역!G:G,'잔고변경현황(적극2)'!E5,전체매매내역!A:A,'잔고변경현황(적극2)'!A5)</f>
        <v>75</v>
      </c>
      <c r="H5" s="40">
        <f>SUMIFS('50578'!I:I,'50578'!E:E,'잔고변경현황(적극2)'!E5,'50578'!C:C,"미래변동성공격2")</f>
        <v>2656500</v>
      </c>
      <c r="I5" s="38">
        <f>SUMIFS('50578'!K:K,'50578'!C:C,"미래변동성공격2",'50578'!E:E,'잔고변경현황(적극2)'!E5)/100</f>
        <v>0.28199999999999997</v>
      </c>
      <c r="J5" s="38">
        <f>SUMIFS('MP내역(적극)'!G:G,'MP내역(적극)'!A:A,A5,'MP내역(적극)'!B:B,D5)</f>
        <v>0.28807040335347195</v>
      </c>
      <c r="K5" s="38">
        <f>J5-I5</f>
        <v>6.0704033534719759E-3</v>
      </c>
      <c r="L5" s="78">
        <f>ROUND(G5*K5/I5,0)</f>
        <v>2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적극2)'!E6,전체매매내역!K:K,"미래변동성공격2")&gt;0,"추가매수",IF(SUMIFS(전체매매내역!H:H,전체매매내역!G:G,'잔고변경현황(적극2)'!E6,전체매매내역!K:K,"미래변동성공격2")&lt;0,"일부매도","전량매도"))="전량매도","",IF(SUMIFS(전체매매내역!H:H,전체매매내역!G:G,'잔고변경현황(적극2)'!E6,전체매매내역!K:K,"미래변동성공격2")&gt;0,"추가매수",IF(SUMIFS(전체매매내역!H:H,전체매매내역!G:G,'잔고변경현황(적극2)'!E6,전체매매내역!K:K,"미래변동성공격2")&lt;0,"일부매도","전량매도")))</f>
        <v>추가매수</v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SUMIFS(전체매매내역!J:J,전체매매내역!B:B,'잔고변경현황(적극2)'!$A$2,전체매매내역!D:D,'잔고변경현황(적극2)'!$C$2,전체매매내역!G:G,'잔고변경현황(적극2)'!E6,전체매매내역!A:A,'잔고변경현황(적극2)'!A6)</f>
        <v>75</v>
      </c>
      <c r="H6" s="40">
        <f>SUMIFS('50578'!I:I,'50578'!E:E,'잔고변경현황(적극2)'!E6,'50578'!C:C,"미래변동성공격2")</f>
        <v>2653125</v>
      </c>
      <c r="I6" s="38">
        <f>SUMIFS('50578'!K:K,'50578'!C:C,"미래변동성공격2",'50578'!E:E,'잔고변경현황(적극2)'!E6)/100</f>
        <v>0.28170000000000001</v>
      </c>
      <c r="J6" s="38">
        <f>SUMIFS('MP내역(적극)'!G:G,'MP내역(적극)'!A:A,A6,'MP내역(적극)'!B:B,D6)</f>
        <v>0.28807040335347195</v>
      </c>
      <c r="K6" s="38">
        <f t="shared" ref="K6:K10" si="0">J6-I6</f>
        <v>6.3704033534719429E-3</v>
      </c>
      <c r="L6" s="78">
        <f t="shared" ref="L6:L10" si="1">ROUND(G6*K6/I6,0)</f>
        <v>2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적극2)'!E7,전체매매내역!K:K,"미래변동성공격2")&gt;0,"추가매수",IF(SUMIFS(전체매매내역!H:H,전체매매내역!G:G,'잔고변경현황(적극2)'!E7,전체매매내역!K:K,"미래변동성공격2")&lt;0,"일부매도","전량매도"))="전량매도","",IF(SUMIFS(전체매매내역!H:H,전체매매내역!G:G,'잔고변경현황(적극2)'!E7,전체매매내역!K:K,"미래변동성공격2")&gt;0,"추가매수",IF(SUMIFS(전체매매내역!H:H,전체매매내역!G:G,'잔고변경현황(적극2)'!E7,전체매매내역!K:K,"미래변동성공격2")&lt;0,"일부매도","전량매도")))</f>
        <v>추가매수</v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SUMIFS(전체매매내역!J:J,전체매매내역!B:B,'잔고변경현황(적극2)'!$A$2,전체매매내역!D:D,'잔고변경현황(적극2)'!$C$2,전체매매내역!G:G,'잔고변경현황(적극2)'!E7,전체매매내역!A:A,'잔고변경현황(적극2)'!A7)</f>
        <v>75</v>
      </c>
      <c r="H7" s="40">
        <f>SUMIFS('50578'!I:I,'50578'!E:E,'잔고변경현황(적극2)'!E7,'50578'!C:C,"미래변동성공격2")</f>
        <v>2669250</v>
      </c>
      <c r="I7" s="38">
        <f>SUMIFS('50578'!K:K,'50578'!C:C,"미래변동성공격2",'50578'!E:E,'잔고변경현황(적극2)'!E7)/100</f>
        <v>0.28339999999999999</v>
      </c>
      <c r="J7" s="38">
        <f>SUMIFS('MP내역(적극)'!G:G,'MP내역(적극)'!A:A,A7,'MP내역(적극)'!B:B,D7)</f>
        <v>0.28807040335347195</v>
      </c>
      <c r="K7" s="38">
        <f t="shared" si="0"/>
        <v>4.6704033534719636E-3</v>
      </c>
      <c r="L7" s="78">
        <f t="shared" si="1"/>
        <v>1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적극2)'!E8,전체매매내역!K:K,"미래변동성공격2")&gt;0,"추가매수",IF(SUMIFS(전체매매내역!H:H,전체매매내역!G:G,'잔고변경현황(적극2)'!E8,전체매매내역!K:K,"미래변동성공격2")&lt;0,"일부매도","전량매도"))="전량매도","",IF(SUMIFS(전체매매내역!H:H,전체매매내역!G:G,'잔고변경현황(적극2)'!E8,전체매매내역!K:K,"미래변동성공격2")&gt;0,"추가매수",IF(SUMIFS(전체매매내역!H:H,전체매매내역!G:G,'잔고변경현황(적극2)'!E8,전체매매내역!K:K,"미래변동성공격2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SUMIFS(전체매매내역!J:J,전체매매내역!B:B,'잔고변경현황(적극2)'!$A$2,전체매매내역!D:D,'잔고변경현황(적극2)'!$C$2,전체매매내역!G:G,'잔고변경현황(적극2)'!E8,전체매매내역!A:A,'잔고변경현황(적극2)'!A8)</f>
        <v>8</v>
      </c>
      <c r="H8" s="40">
        <f>SUMIFS('50578'!I:I,'50578'!E:E,'잔고변경현황(적극2)'!E8,'50578'!C:C,"미래변동성공격2")</f>
        <v>403920</v>
      </c>
      <c r="I8" s="38">
        <f>SUMIFS('50578'!K:K,'50578'!C:C,"미래변동성공격2",'50578'!E:E,'잔고변경현황(적극2)'!E8)/100</f>
        <v>4.2900000000000001E-2</v>
      </c>
      <c r="J8" s="38">
        <f>SUMIFS('MP내역(적극)'!G:G,'MP내역(적극)'!A:A,A8,'MP내역(적극)'!B:B,D8)</f>
        <v>4.5262929979861401E-2</v>
      </c>
      <c r="K8" s="38">
        <f t="shared" si="0"/>
        <v>2.3629299798614001E-3</v>
      </c>
      <c r="L8" s="78">
        <f t="shared" si="1"/>
        <v>0</v>
      </c>
      <c r="M8" s="35" t="str">
        <f t="shared" si="2"/>
        <v/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적극2)'!E9,전체매매내역!K:K,"미래변동성공격2")&gt;0,"추가매수",IF(SUMIFS(전체매매내역!H:H,전체매매내역!G:G,'잔고변경현황(적극2)'!E9,전체매매내역!K:K,"미래변동성공격2")&lt;0,"일부매도","전량매도"))="전량매도","",IF(SUMIFS(전체매매내역!H:H,전체매매내역!G:G,'잔고변경현황(적극2)'!E9,전체매매내역!K:K,"미래변동성공격2")&gt;0,"추가매수",IF(SUMIFS(전체매매내역!H:H,전체매매내역!G:G,'잔고변경현황(적극2)'!E9,전체매매내역!K:K,"미래변동성공격2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SUMIFS(전체매매내역!J:J,전체매매내역!B:B,'잔고변경현황(적극2)'!$A$2,전체매매내역!D:D,'잔고변경현황(적극2)'!$C$2,전체매매내역!G:G,'잔고변경현황(적극2)'!E9,전체매매내역!A:A,'잔고변경현황(적극2)'!A9)</f>
        <v>4</v>
      </c>
      <c r="H9" s="40">
        <f>SUMIFS('50578'!I:I,'50578'!E:E,'잔고변경현황(적극2)'!E9,'50578'!C:C,"미래변동성공격2")</f>
        <v>420480</v>
      </c>
      <c r="I9" s="38">
        <f>SUMIFS('50578'!K:K,'50578'!C:C,"미래변동성공격2",'50578'!E:E,'잔고변경현황(적극2)'!E9)/100</f>
        <v>4.4600000000000001E-2</v>
      </c>
      <c r="J9" s="38">
        <f>SUMIFS('MP내역(적극)'!G:G,'MP내역(적극)'!A:A,A9,'MP내역(적극)'!B:B,D9)</f>
        <v>4.5262929979861401E-2</v>
      </c>
      <c r="K9" s="38">
        <f t="shared" si="0"/>
        <v>6.6292997986139995E-4</v>
      </c>
      <c r="L9" s="78">
        <f t="shared" si="1"/>
        <v>0</v>
      </c>
      <c r="M9" s="35" t="str">
        <f t="shared" si="2"/>
        <v/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적극2)'!E10,전체매매내역!K:K,"미래변동성공격2")&gt;0,"추가매수",IF(SUMIFS(전체매매내역!H:H,전체매매내역!G:G,'잔고변경현황(적극2)'!E10,전체매매내역!K:K,"미래변동성공격2")&lt;0,"일부매도","전량매도"))="전량매도","",IF(SUMIFS(전체매매내역!H:H,전체매매내역!G:G,'잔고변경현황(적극2)'!E10,전체매매내역!K:K,"미래변동성공격2")&gt;0,"추가매수",IF(SUMIFS(전체매매내역!H:H,전체매매내역!G:G,'잔고변경현황(적극2)'!E10,전체매매내역!K:K,"미래변동성공격2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SUMIFS(전체매매내역!J:J,전체매매내역!B:B,'잔고변경현황(적극2)'!$A$2,전체매매내역!D:D,'잔고변경현황(적극2)'!$C$2,전체매매내역!G:G,'잔고변경현황(적극2)'!E10,전체매매내역!A:A,'잔고변경현황(적극2)'!A10)</f>
        <v>4</v>
      </c>
      <c r="H10" s="40">
        <f>SUMIFS('50578'!I:I,'50578'!E:E,'잔고변경현황(적극2)'!E10,'50578'!C:C,"미래변동성공격2")</f>
        <v>405300</v>
      </c>
      <c r="I10" s="38">
        <f>SUMIFS('50578'!K:K,'50578'!C:C,"미래변동성공격2",'50578'!E:E,'잔고변경현황(적극2)'!E10)/100</f>
        <v>4.2999999999999997E-2</v>
      </c>
      <c r="J10" s="38">
        <f>SUMIFS('MP내역(적극)'!G:G,'MP내역(적극)'!A:A,A10,'MP내역(적극)'!B:B,D10)</f>
        <v>4.5262929979861401E-2</v>
      </c>
      <c r="K10" s="38">
        <f t="shared" si="0"/>
        <v>2.2629299798614042E-3</v>
      </c>
      <c r="L10" s="78">
        <f t="shared" si="1"/>
        <v>0</v>
      </c>
      <c r="M10" s="35" t="str">
        <f t="shared" si="2"/>
        <v/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/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SUMIFS('22012'!I:I,'22012'!C:C,"미래변동성공격2")</f>
        <v>312261</v>
      </c>
      <c r="I11" s="71">
        <f>1-SUM(I5:I10)</f>
        <v>2.2399999999999975E-2</v>
      </c>
      <c r="J11" s="38">
        <f>SUMIFS('MP내역(적극)'!G:G,'MP내역(적극)'!A:A,A11,'MP내역(적극)'!B:B,D11)</f>
        <v>0</v>
      </c>
      <c r="K11" s="38">
        <f>J11-I11</f>
        <v>-2.2399999999999975E-2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s="21" customFormat="1" x14ac:dyDescent="0.3">
      <c r="C35" s="64"/>
      <c r="E35" s="19"/>
      <c r="F35" s="19"/>
      <c r="H35" s="19"/>
      <c r="I35" s="23"/>
      <c r="J35" s="23"/>
      <c r="K35" s="23"/>
      <c r="L35" s="23"/>
      <c r="M35" s="19"/>
    </row>
    <row r="36" spans="3:13" s="21" customFormat="1" x14ac:dyDescent="0.3">
      <c r="C36" s="64"/>
      <c r="E36" s="19"/>
      <c r="F36" s="19"/>
      <c r="H36" s="19"/>
      <c r="I36" s="23"/>
      <c r="J36" s="23"/>
      <c r="K36" s="23"/>
      <c r="L36" s="23"/>
      <c r="M36" s="19"/>
    </row>
    <row r="37" spans="3:13" s="21" customFormat="1" x14ac:dyDescent="0.3">
      <c r="C37" s="64"/>
      <c r="E37" s="19"/>
      <c r="F37" s="19"/>
      <c r="H37" s="19"/>
      <c r="I37" s="23"/>
      <c r="J37" s="23"/>
      <c r="K37" s="23"/>
      <c r="L37" s="23"/>
      <c r="M37" s="19"/>
    </row>
    <row r="38" spans="3:13" s="21" customFormat="1" x14ac:dyDescent="0.3">
      <c r="C38" s="64"/>
      <c r="E38" s="19"/>
      <c r="F38" s="19"/>
      <c r="H38" s="19"/>
      <c r="I38" s="23"/>
      <c r="J38" s="23"/>
      <c r="K38" s="23"/>
      <c r="L38" s="23"/>
      <c r="M38" s="19"/>
    </row>
    <row r="39" spans="3:13" x14ac:dyDescent="0.3">
      <c r="L39" s="23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F1" workbookViewId="0">
      <pane ySplit="4" topLeftCell="A5" activePane="bottomLeft" state="frozen"/>
      <selection activeCell="G5" sqref="G5"/>
      <selection pane="bottomLeft" activeCell="S14" sqref="S14"/>
    </sheetView>
  </sheetViews>
  <sheetFormatPr defaultColWidth="9" defaultRowHeight="16.5" x14ac:dyDescent="0.3"/>
  <cols>
    <col min="1" max="1" width="14" style="3" customWidth="1"/>
    <col min="2" max="2" width="18.125" style="3" bestFit="1" customWidth="1"/>
    <col min="3" max="3" width="15.375" style="62" customWidth="1"/>
    <col min="4" max="4" width="19" style="3" customWidth="1"/>
    <col min="5" max="5" width="44.25" style="6" customWidth="1"/>
    <col min="6" max="6" width="15.125" style="6" bestFit="1" customWidth="1"/>
    <col min="7" max="7" width="11.625" style="3" customWidth="1"/>
    <col min="8" max="8" width="12.625" style="6" customWidth="1"/>
    <col min="9" max="12" width="12.25" style="24" customWidth="1"/>
    <col min="13" max="13" width="20.75" style="6" customWidth="1"/>
    <col min="14" max="14" width="10.875" style="3" bestFit="1" customWidth="1"/>
    <col min="15" max="16384" width="9" style="3"/>
  </cols>
  <sheetData>
    <row r="1" spans="1:13" x14ac:dyDescent="0.3">
      <c r="A1" s="47" t="s">
        <v>9</v>
      </c>
      <c r="B1" s="48" t="s">
        <v>392</v>
      </c>
      <c r="C1" s="61" t="s">
        <v>12</v>
      </c>
      <c r="D1" s="47" t="s">
        <v>17</v>
      </c>
    </row>
    <row r="2" spans="1:13" x14ac:dyDescent="0.3">
      <c r="A2" s="7" t="s">
        <v>295</v>
      </c>
      <c r="B2" s="7" t="s">
        <v>394</v>
      </c>
      <c r="C2" s="7" t="s">
        <v>400</v>
      </c>
      <c r="D2" s="22">
        <v>13000000</v>
      </c>
    </row>
    <row r="3" spans="1:13" ht="6" customHeight="1" x14ac:dyDescent="0.4"/>
    <row r="4" spans="1:13" s="6" customFormat="1" x14ac:dyDescent="0.3">
      <c r="A4" s="45" t="s">
        <v>75</v>
      </c>
      <c r="B4" s="46" t="s">
        <v>20</v>
      </c>
      <c r="C4" s="63" t="s">
        <v>21</v>
      </c>
      <c r="D4" s="46" t="s">
        <v>10</v>
      </c>
      <c r="E4" s="58" t="s">
        <v>8</v>
      </c>
      <c r="F4" s="58" t="s">
        <v>23</v>
      </c>
      <c r="G4" s="46" t="s">
        <v>76</v>
      </c>
      <c r="H4" s="46" t="s">
        <v>5</v>
      </c>
      <c r="I4" s="58" t="s">
        <v>53</v>
      </c>
      <c r="J4" s="59" t="s">
        <v>54</v>
      </c>
      <c r="K4" s="59" t="s">
        <v>77</v>
      </c>
      <c r="L4" s="59" t="s">
        <v>96</v>
      </c>
      <c r="M4" s="46" t="s">
        <v>6</v>
      </c>
    </row>
    <row r="5" spans="1:13" s="1" customFormat="1" x14ac:dyDescent="0.3">
      <c r="A5" s="2">
        <f>'50578'!$R$1</f>
        <v>44694</v>
      </c>
      <c r="B5" s="2">
        <f>'50578'!$R$1</f>
        <v>44694</v>
      </c>
      <c r="C5" s="60" t="str">
        <f>IF(IF(SUMIFS(전체매매내역!H:H,전체매매내역!G:G,'잔고변경현황(적극3)'!E5,전체매매내역!K:K,"미래변동성공격3")&gt;0,"추가매수",IF(SUMIFS(전체매매내역!H:H,전체매매내역!G:G,'잔고변경현황(적극3)'!E5,전체매매내역!K:K,"미래변동성공격3")&lt;0,"일부매도","전량매도"))="전량매도","",IF(SUMIFS(전체매매내역!H:H,전체매매내역!G:G,'잔고변경현황(적극3)'!E5,전체매매내역!K:K,"미래변동성공격3")&gt;0,"추가매수",IF(SUMIFS(전체매매내역!H:H,전체매매내역!G:G,'잔고변경현황(적극3)'!E5,전체매매내역!K:K,"미래변동성공격3")&lt;0,"일부매도","전량매도")))</f>
        <v>추가매수</v>
      </c>
      <c r="D5" s="16" t="s">
        <v>202</v>
      </c>
      <c r="E5" s="35" t="str">
        <f>VLOOKUP($D5,투자유니버스!$A:$H,2,0)</f>
        <v>TIGER 200</v>
      </c>
      <c r="F5" s="35" t="str">
        <f>VLOOKUP($D5,투자유니버스!$A:$H,5,0)</f>
        <v>한국주식</v>
      </c>
      <c r="G5" s="40">
        <f>SUMIFS(전체매매내역!J:J,전체매매내역!B:B,'잔고변경현황(적극3)'!$A$2,전체매매내역!D:D,'잔고변경현황(적극3)'!$C$2,전체매매내역!G:G,'잔고변경현황(적극3)'!E5,전체매매내역!A:A,'잔고변경현황(적극3)'!A5)</f>
        <v>98</v>
      </c>
      <c r="H5" s="41">
        <f>SUMIFS('50578'!I:I,'50578'!E:E,'잔고변경현황(적극3)'!E5,'50578'!C:C,"미래변동성공격3")</f>
        <v>3471160</v>
      </c>
      <c r="I5" s="38">
        <f>SUMIFS('50578'!K:K,'50578'!C:C,"미래변동성공격3",'50578'!E:E,'잔고변경현황(적극3)'!E5)/100</f>
        <v>0.28350000000000003</v>
      </c>
      <c r="J5" s="38">
        <f>SUMIFS('MP내역(적극)'!G:G,'MP내역(적극)'!A:A,A5,'MP내역(적극)'!B:B,D5)</f>
        <v>0.28807040335347195</v>
      </c>
      <c r="K5" s="38">
        <f>J5-I5</f>
        <v>4.5704033534719191E-3</v>
      </c>
      <c r="L5" s="78">
        <f>ROUND(G5*K5/I5,0)</f>
        <v>2</v>
      </c>
      <c r="M5" s="35" t="str">
        <f>IF(F5="한국주식",IF(L5=0,"","자산가치변동"),IF(L5=0,"","일정금액의유동성확보"))</f>
        <v>자산가치변동</v>
      </c>
    </row>
    <row r="6" spans="1:13" s="1" customFormat="1" x14ac:dyDescent="0.3">
      <c r="A6" s="2">
        <f>'50578'!$R$1</f>
        <v>44694</v>
      </c>
      <c r="B6" s="2">
        <f>'50578'!$R$1</f>
        <v>44694</v>
      </c>
      <c r="C6" s="60" t="str">
        <f>IF(IF(SUMIFS(전체매매내역!H:H,전체매매내역!G:G,'잔고변경현황(적극3)'!E6,전체매매내역!K:K,"미래변동성공격3")&gt;0,"추가매수",IF(SUMIFS(전체매매내역!H:H,전체매매내역!G:G,'잔고변경현황(적극3)'!E6,전체매매내역!K:K,"미래변동성공격3")&lt;0,"일부매도","전량매도"))="전량매도","",IF(SUMIFS(전체매매내역!H:H,전체매매내역!G:G,'잔고변경현황(적극3)'!E6,전체매매내역!K:K,"미래변동성공격3")&gt;0,"추가매수",IF(SUMIFS(전체매매내역!H:H,전체매매내역!G:G,'잔고변경현황(적극3)'!E6,전체매매내역!K:K,"미래변동성공격3")&lt;0,"일부매도","전량매도")))</f>
        <v>추가매수</v>
      </c>
      <c r="D6" s="16" t="s">
        <v>387</v>
      </c>
      <c r="E6" s="35" t="str">
        <f>VLOOKUP($D6,투자유니버스!$A:$H,2,0)</f>
        <v>KODEX 200</v>
      </c>
      <c r="F6" s="35" t="str">
        <f>VLOOKUP($D6,투자유니버스!$A:$H,5,0)</f>
        <v>한국주식</v>
      </c>
      <c r="G6" s="40">
        <f>SUMIFS(전체매매내역!J:J,전체매매내역!B:B,'잔고변경현황(적극3)'!$A$2,전체매매내역!D:D,'잔고변경현황(적극3)'!$C$2,전체매매내역!G:G,'잔고변경현황(적극3)'!E6,전체매매내역!A:A,'잔고변경현황(적극3)'!A6)</f>
        <v>98</v>
      </c>
      <c r="H6" s="41">
        <f>SUMIFS('50578'!I:I,'50578'!E:E,'잔고변경현황(적극3)'!E6,'50578'!C:C,"미래변동성공격3")</f>
        <v>3466750</v>
      </c>
      <c r="I6" s="38">
        <f>SUMIFS('50578'!K:K,'50578'!C:C,"미래변동성공격3",'50578'!E:E,'잔고변경현황(적극3)'!E6)/100</f>
        <v>0.28320000000000001</v>
      </c>
      <c r="J6" s="38">
        <f>SUMIFS('MP내역(적극)'!G:G,'MP내역(적극)'!A:A,A6,'MP내역(적극)'!B:B,D6)</f>
        <v>0.28807040335347195</v>
      </c>
      <c r="K6" s="38">
        <f t="shared" ref="K6:K10" si="0">J6-I6</f>
        <v>4.8704033534719415E-3</v>
      </c>
      <c r="L6" s="78">
        <f t="shared" ref="L6:L10" si="1">ROUND(G6*K6/I6,0)</f>
        <v>2</v>
      </c>
      <c r="M6" s="35" t="str">
        <f t="shared" ref="M6:M10" si="2">IF(F6="한국주식",IF(L6=0,"","자산가치변동"),IF(L6=0,"","일정금액의유동성확보"))</f>
        <v>자산가치변동</v>
      </c>
    </row>
    <row r="7" spans="1:13" s="1" customFormat="1" x14ac:dyDescent="0.3">
      <c r="A7" s="2">
        <f>'50578'!$R$1</f>
        <v>44694</v>
      </c>
      <c r="B7" s="2">
        <f>'50578'!$R$1</f>
        <v>44694</v>
      </c>
      <c r="C7" s="60" t="str">
        <f>IF(IF(SUMIFS(전체매매내역!H:H,전체매매내역!G:G,'잔고변경현황(적극3)'!E7,전체매매내역!K:K,"미래변동성공격3")&gt;0,"추가매수",IF(SUMIFS(전체매매내역!H:H,전체매매내역!G:G,'잔고변경현황(적극3)'!E7,전체매매내역!K:K,"미래변동성공격3")&lt;0,"일부매도","전량매도"))="전량매도","",IF(SUMIFS(전체매매내역!H:H,전체매매내역!G:G,'잔고변경현황(적극3)'!E7,전체매매내역!K:K,"미래변동성공격3")&gt;0,"추가매수",IF(SUMIFS(전체매매내역!H:H,전체매매내역!G:G,'잔고변경현황(적극3)'!E7,전체매매내역!K:K,"미래변동성공격3")&lt;0,"일부매도","전량매도")))</f>
        <v>추가매수</v>
      </c>
      <c r="D7" s="16" t="s">
        <v>388</v>
      </c>
      <c r="E7" s="35" t="str">
        <f>VLOOKUP($D7,투자유니버스!$A:$H,2,0)</f>
        <v>KBSTAR 200</v>
      </c>
      <c r="F7" s="35" t="str">
        <f>VLOOKUP($D7,투자유니버스!$A:$H,5,0)</f>
        <v>한국주식</v>
      </c>
      <c r="G7" s="40">
        <f>SUMIFS(전체매매내역!J:J,전체매매내역!B:B,'잔고변경현황(적극3)'!$A$2,전체매매내역!D:D,'잔고변경현황(적극3)'!$C$2,전체매매내역!G:G,'잔고변경현황(적극3)'!E7,전체매매내역!A:A,'잔고변경현황(적극3)'!A7)</f>
        <v>97</v>
      </c>
      <c r="H7" s="41">
        <f>SUMIFS('50578'!I:I,'50578'!E:E,'잔고변경현황(적극3)'!E7,'50578'!C:C,"미래변동성공격3")</f>
        <v>3452230</v>
      </c>
      <c r="I7" s="38">
        <f>SUMIFS('50578'!K:K,'50578'!C:C,"미래변동성공격3",'50578'!E:E,'잔고변경현황(적극3)'!E7)/100</f>
        <v>0.28199999999999997</v>
      </c>
      <c r="J7" s="38">
        <f>SUMIFS('MP내역(적극)'!G:G,'MP내역(적극)'!A:A,A7,'MP내역(적극)'!B:B,D7)</f>
        <v>0.28807040335347195</v>
      </c>
      <c r="K7" s="38">
        <f t="shared" si="0"/>
        <v>6.0704033534719759E-3</v>
      </c>
      <c r="L7" s="78">
        <f t="shared" si="1"/>
        <v>2</v>
      </c>
      <c r="M7" s="35" t="str">
        <f t="shared" si="2"/>
        <v>자산가치변동</v>
      </c>
    </row>
    <row r="8" spans="1:13" s="1" customFormat="1" x14ac:dyDescent="0.3">
      <c r="A8" s="2">
        <f>'50578'!$R$1</f>
        <v>44694</v>
      </c>
      <c r="B8" s="2">
        <f>'50578'!$R$1</f>
        <v>44694</v>
      </c>
      <c r="C8" s="60" t="str">
        <f>IF(IF(SUMIFS(전체매매내역!H:H,전체매매내역!G:G,'잔고변경현황(적극3)'!E8,전체매매내역!K:K,"미래변동성공격3")&gt;0,"추가매수",IF(SUMIFS(전체매매내역!H:H,전체매매내역!G:G,'잔고변경현황(적극3)'!E8,전체매매내역!K:K,"미래변동성공격3")&lt;0,"일부매도","전량매도"))="전량매도","",IF(SUMIFS(전체매매내역!H:H,전체매매내역!G:G,'잔고변경현황(적극3)'!E8,전체매매내역!K:K,"미래변동성공격3")&gt;0,"추가매수",IF(SUMIFS(전체매매내역!H:H,전체매매내역!G:G,'잔고변경현황(적극3)'!E8,전체매매내역!K:K,"미래변동성공격3")&lt;0,"일부매도","전량매도")))</f>
        <v/>
      </c>
      <c r="D8" s="16" t="s">
        <v>112</v>
      </c>
      <c r="E8" s="35" t="str">
        <f>VLOOKUP($D8,투자유니버스!$A:$H,2,0)</f>
        <v>TIGER 단기채권액티브</v>
      </c>
      <c r="F8" s="35" t="str">
        <f>VLOOKUP($D8,투자유니버스!$A:$H,5,0)</f>
        <v>한국국공채권</v>
      </c>
      <c r="G8" s="40">
        <f>SUMIFS(전체매매내역!J:J,전체매매내역!B:B,'잔고변경현황(적극3)'!$A$2,전체매매내역!D:D,'잔고변경현황(적극3)'!$C$2,전체매매내역!G:G,'잔고변경현황(적극3)'!E8,전체매매내역!A:A,'잔고변경현황(적극3)'!A8)</f>
        <v>10</v>
      </c>
      <c r="H8" s="41">
        <f>SUMIFS('50578'!I:I,'50578'!E:E,'잔고변경현황(적극3)'!E8,'50578'!C:C,"미래변동성공격3")</f>
        <v>504900</v>
      </c>
      <c r="I8" s="38">
        <f>SUMIFS('50578'!K:K,'50578'!C:C,"미래변동성공격3",'50578'!E:E,'잔고변경현황(적극3)'!E8)/100</f>
        <v>4.1200000000000001E-2</v>
      </c>
      <c r="J8" s="38">
        <f>SUMIFS('MP내역(적극)'!G:G,'MP내역(적극)'!A:A,A8,'MP내역(적극)'!B:B,D8)</f>
        <v>4.5262929979861401E-2</v>
      </c>
      <c r="K8" s="38">
        <f t="shared" si="0"/>
        <v>4.0629299798614002E-3</v>
      </c>
      <c r="L8" s="78">
        <f t="shared" si="1"/>
        <v>1</v>
      </c>
      <c r="M8" s="35" t="str">
        <f t="shared" si="2"/>
        <v>일정금액의유동성확보</v>
      </c>
    </row>
    <row r="9" spans="1:13" s="1" customFormat="1" x14ac:dyDescent="0.3">
      <c r="A9" s="2">
        <f>'50578'!$R$1</f>
        <v>44694</v>
      </c>
      <c r="B9" s="2">
        <f>'50578'!$R$1</f>
        <v>44694</v>
      </c>
      <c r="C9" s="60" t="str">
        <f>IF(IF(SUMIFS(전체매매내역!H:H,전체매매내역!G:G,'잔고변경현황(적극3)'!E9,전체매매내역!K:K,"미래변동성공격3")&gt;0,"추가매수",IF(SUMIFS(전체매매내역!H:H,전체매매내역!G:G,'잔고변경현황(적극3)'!E9,전체매매내역!K:K,"미래변동성공격3")&lt;0,"일부매도","전량매도"))="전량매도","",IF(SUMIFS(전체매매내역!H:H,전체매매내역!G:G,'잔고변경현황(적극3)'!E9,전체매매내역!K:K,"미래변동성공격3")&gt;0,"추가매수",IF(SUMIFS(전체매매내역!H:H,전체매매내역!G:G,'잔고변경현황(적극3)'!E9,전체매매내역!K:K,"미래변동성공격3")&lt;0,"일부매도","전량매도")))</f>
        <v/>
      </c>
      <c r="D9" s="16" t="s">
        <v>110</v>
      </c>
      <c r="E9" s="35" t="str">
        <f>VLOOKUP($D9,투자유니버스!$A:$H,2,0)</f>
        <v>KBSTAR 단기통안채</v>
      </c>
      <c r="F9" s="35" t="str">
        <f>VLOOKUP($D9,투자유니버스!$A:$H,5,0)</f>
        <v>한국국공채권</v>
      </c>
      <c r="G9" s="40">
        <f>SUMIFS(전체매매내역!J:J,전체매매내역!B:B,'잔고변경현황(적극3)'!$A$2,전체매매내역!D:D,'잔고변경현황(적극3)'!$C$2,전체매매내역!G:G,'잔고변경현황(적극3)'!E9,전체매매내역!A:A,'잔고변경현황(적극3)'!A9)</f>
        <v>5</v>
      </c>
      <c r="H9" s="41">
        <f>SUMIFS('50578'!I:I,'50578'!E:E,'잔고변경현황(적극3)'!E9,'50578'!C:C,"미래변동성공격3")</f>
        <v>525600</v>
      </c>
      <c r="I9" s="38">
        <f>SUMIFS('50578'!K:K,'50578'!C:C,"미래변동성공격3",'50578'!E:E,'잔고변경현황(적극3)'!E9)/100</f>
        <v>4.2900000000000001E-2</v>
      </c>
      <c r="J9" s="38">
        <f>SUMIFS('MP내역(적극)'!G:G,'MP내역(적극)'!A:A,A9,'MP내역(적극)'!B:B,D9)</f>
        <v>4.5262929979861401E-2</v>
      </c>
      <c r="K9" s="38">
        <f t="shared" si="0"/>
        <v>2.3629299798614001E-3</v>
      </c>
      <c r="L9" s="78">
        <f t="shared" si="1"/>
        <v>0</v>
      </c>
      <c r="M9" s="35" t="str">
        <f t="shared" si="2"/>
        <v/>
      </c>
    </row>
    <row r="10" spans="1:13" s="1" customFormat="1" x14ac:dyDescent="0.3">
      <c r="A10" s="2">
        <f>'50578'!$R$1</f>
        <v>44694</v>
      </c>
      <c r="B10" s="2">
        <f>'50578'!$R$1</f>
        <v>44694</v>
      </c>
      <c r="C10" s="60" t="str">
        <f>IF(IF(SUMIFS(전체매매내역!H:H,전체매매내역!G:G,'잔고변경현황(적극3)'!E10,전체매매내역!K:K,"미래변동성공격3")&gt;0,"추가매수",IF(SUMIFS(전체매매내역!H:H,전체매매내역!G:G,'잔고변경현황(적극3)'!E10,전체매매내역!K:K,"미래변동성공격3")&lt;0,"일부매도","전량매도"))="전량매도","",IF(SUMIFS(전체매매내역!H:H,전체매매내역!G:G,'잔고변경현황(적극3)'!E10,전체매매내역!K:K,"미래변동성공격3")&gt;0,"추가매수",IF(SUMIFS(전체매매내역!H:H,전체매매내역!G:G,'잔고변경현황(적극3)'!E10,전체매매내역!K:K,"미래변동성공격3")&lt;0,"일부매도","전량매도")))</f>
        <v/>
      </c>
      <c r="D10" s="16" t="s">
        <v>114</v>
      </c>
      <c r="E10" s="35" t="str">
        <f>VLOOKUP($D10,투자유니버스!$A:$H,2,0)</f>
        <v>KOSEF 단기자금</v>
      </c>
      <c r="F10" s="35" t="str">
        <f>VLOOKUP($D10,투자유니버스!$A:$H,5,0)</f>
        <v>한국국공채권</v>
      </c>
      <c r="G10" s="40">
        <f>SUMIFS(전체매매내역!J:J,전체매매내역!B:B,'잔고변경현황(적극3)'!$A$2,전체매매내역!D:D,'잔고변경현황(적극3)'!$C$2,전체매매내역!G:G,'잔고변경현황(적극3)'!E10,전체매매내역!A:A,'잔고변경현황(적극3)'!A10)</f>
        <v>5</v>
      </c>
      <c r="H10" s="41">
        <f>SUMIFS('50578'!I:I,'50578'!E:E,'잔고변경현황(적극3)'!E10,'50578'!C:C,"미래변동성공격3")</f>
        <v>506625</v>
      </c>
      <c r="I10" s="38">
        <f>SUMIFS('50578'!K:K,'50578'!C:C,"미래변동성공격3",'50578'!E:E,'잔고변경현황(적극3)'!E10)/100</f>
        <v>4.1399999999999999E-2</v>
      </c>
      <c r="J10" s="38">
        <f>SUMIFS('MP내역(적극)'!G:G,'MP내역(적극)'!A:A,A10,'MP내역(적극)'!B:B,D10)</f>
        <v>4.5262929979861401E-2</v>
      </c>
      <c r="K10" s="38">
        <f t="shared" si="0"/>
        <v>3.8629299798614014E-3</v>
      </c>
      <c r="L10" s="78">
        <f t="shared" si="1"/>
        <v>0</v>
      </c>
      <c r="M10" s="35" t="str">
        <f t="shared" si="2"/>
        <v/>
      </c>
    </row>
    <row r="11" spans="1:13" s="1" customFormat="1" x14ac:dyDescent="0.3">
      <c r="A11" s="2">
        <f>'50578'!$R$1</f>
        <v>44694</v>
      </c>
      <c r="B11" s="2">
        <f>'50578'!$R$1</f>
        <v>44694</v>
      </c>
      <c r="C11" s="60"/>
      <c r="D11" s="16" t="s">
        <v>389</v>
      </c>
      <c r="E11" s="35" t="str">
        <f>VLOOKUP($D11,투자유니버스!$A:$H,2,0)</f>
        <v>예수금</v>
      </c>
      <c r="F11" s="35" t="str">
        <f>VLOOKUP($D11,투자유니버스!$A:$H,5,0)</f>
        <v>현금</v>
      </c>
      <c r="G11" s="40"/>
      <c r="H11" s="73">
        <f>SUMIFS('22012'!I:I,'22012'!C:C,"미래변동성공격3")</f>
        <v>0</v>
      </c>
      <c r="I11" s="71">
        <f>1-SUM(I5:I10)</f>
        <v>2.5799999999999934E-2</v>
      </c>
      <c r="J11" s="38">
        <f>SUMIFS('MP내역(적극)'!G:G,'MP내역(적극)'!A:A,A11,'MP내역(적극)'!B:B,D11)</f>
        <v>0</v>
      </c>
      <c r="K11" s="38">
        <f>J11-I11</f>
        <v>-2.5799999999999934E-2</v>
      </c>
      <c r="L11" s="60"/>
      <c r="M11" s="35"/>
    </row>
    <row r="12" spans="1:13" s="21" customFormat="1" ht="17.45" x14ac:dyDescent="0.4">
      <c r="C12" s="64"/>
      <c r="E12" s="19"/>
      <c r="F12" s="19"/>
      <c r="H12" s="19"/>
      <c r="I12" s="23"/>
      <c r="J12" s="23"/>
      <c r="K12" s="23"/>
      <c r="L12" s="39"/>
      <c r="M12" s="19"/>
    </row>
    <row r="13" spans="1:13" s="21" customFormat="1" ht="17.45" x14ac:dyDescent="0.4">
      <c r="C13" s="64"/>
      <c r="E13" s="19"/>
      <c r="F13" s="19"/>
      <c r="H13" s="19"/>
      <c r="I13" s="23"/>
      <c r="J13" s="23"/>
      <c r="K13" s="23"/>
      <c r="L13" s="23"/>
      <c r="M13" s="19"/>
    </row>
    <row r="14" spans="1:13" s="21" customFormat="1" ht="17.45" x14ac:dyDescent="0.4">
      <c r="C14" s="64"/>
      <c r="E14" s="19"/>
      <c r="F14" s="19"/>
      <c r="H14" s="19"/>
      <c r="I14" s="23"/>
      <c r="J14" s="23"/>
      <c r="K14" s="23"/>
      <c r="L14" s="23"/>
      <c r="M14" s="19"/>
    </row>
    <row r="15" spans="1:13" s="21" customFormat="1" ht="17.45" x14ac:dyDescent="0.4">
      <c r="C15" s="64"/>
      <c r="E15" s="19"/>
      <c r="F15" s="19"/>
      <c r="H15" s="19"/>
      <c r="I15" s="23"/>
      <c r="J15" s="23"/>
      <c r="K15" s="23"/>
      <c r="L15" s="23"/>
      <c r="M15" s="19"/>
    </row>
    <row r="16" spans="1:13" s="21" customFormat="1" ht="17.45" x14ac:dyDescent="0.4">
      <c r="C16" s="64"/>
      <c r="E16" s="19"/>
      <c r="F16" s="19"/>
      <c r="H16" s="19"/>
      <c r="I16" s="23"/>
      <c r="J16" s="23"/>
      <c r="K16" s="23"/>
      <c r="L16" s="23"/>
      <c r="M16" s="19"/>
    </row>
    <row r="17" spans="3:13" s="21" customFormat="1" ht="17.45" x14ac:dyDescent="0.4">
      <c r="C17" s="64"/>
      <c r="E17" s="19"/>
      <c r="F17" s="19"/>
      <c r="H17" s="19"/>
      <c r="I17" s="23"/>
      <c r="J17" s="23"/>
      <c r="K17" s="23"/>
      <c r="L17" s="23"/>
      <c r="M17" s="19"/>
    </row>
    <row r="18" spans="3:13" s="21" customFormat="1" ht="17.45" x14ac:dyDescent="0.4">
      <c r="C18" s="64"/>
      <c r="E18" s="19"/>
      <c r="F18" s="19"/>
      <c r="H18" s="19"/>
      <c r="I18" s="23"/>
      <c r="J18" s="23"/>
      <c r="K18" s="23"/>
      <c r="L18" s="23"/>
      <c r="M18" s="19"/>
    </row>
    <row r="19" spans="3:13" s="21" customFormat="1" ht="17.45" x14ac:dyDescent="0.4">
      <c r="C19" s="64"/>
      <c r="E19" s="19"/>
      <c r="F19" s="19"/>
      <c r="H19" s="19"/>
      <c r="I19" s="23"/>
      <c r="J19" s="23"/>
      <c r="K19" s="23"/>
      <c r="L19" s="23"/>
      <c r="M19" s="19"/>
    </row>
    <row r="20" spans="3:13" s="21" customFormat="1" x14ac:dyDescent="0.3">
      <c r="C20" s="64"/>
      <c r="E20" s="19"/>
      <c r="F20" s="19"/>
      <c r="H20" s="19"/>
      <c r="I20" s="23"/>
      <c r="J20" s="23"/>
      <c r="K20" s="23"/>
      <c r="L20" s="23"/>
      <c r="M20" s="19"/>
    </row>
    <row r="21" spans="3:13" s="21" customFormat="1" x14ac:dyDescent="0.3">
      <c r="C21" s="64"/>
      <c r="E21" s="19"/>
      <c r="F21" s="19"/>
      <c r="H21" s="19"/>
      <c r="I21" s="23"/>
      <c r="J21" s="23"/>
      <c r="K21" s="23"/>
      <c r="L21" s="23"/>
      <c r="M21" s="19"/>
    </row>
    <row r="22" spans="3:13" s="21" customFormat="1" x14ac:dyDescent="0.3">
      <c r="C22" s="64"/>
      <c r="E22" s="19"/>
      <c r="F22" s="19"/>
      <c r="H22" s="19"/>
      <c r="I22" s="23"/>
      <c r="J22" s="23"/>
      <c r="K22" s="23"/>
      <c r="L22" s="23"/>
      <c r="M22" s="19"/>
    </row>
    <row r="23" spans="3:13" s="21" customFormat="1" x14ac:dyDescent="0.3">
      <c r="C23" s="64"/>
      <c r="E23" s="19"/>
      <c r="F23" s="19"/>
      <c r="H23" s="19"/>
      <c r="I23" s="23"/>
      <c r="J23" s="23"/>
      <c r="K23" s="23"/>
      <c r="L23" s="23"/>
      <c r="M23" s="19"/>
    </row>
    <row r="24" spans="3:13" s="21" customFormat="1" x14ac:dyDescent="0.3">
      <c r="C24" s="64"/>
      <c r="E24" s="19"/>
      <c r="F24" s="19"/>
      <c r="H24" s="19"/>
      <c r="I24" s="23"/>
      <c r="J24" s="23"/>
      <c r="K24" s="23"/>
      <c r="L24" s="23"/>
      <c r="M24" s="19"/>
    </row>
    <row r="25" spans="3:13" s="21" customFormat="1" x14ac:dyDescent="0.3">
      <c r="C25" s="64"/>
      <c r="E25" s="19"/>
      <c r="F25" s="19"/>
      <c r="H25" s="19"/>
      <c r="I25" s="23"/>
      <c r="J25" s="23"/>
      <c r="K25" s="23"/>
      <c r="L25" s="23"/>
      <c r="M25" s="19"/>
    </row>
    <row r="26" spans="3:13" s="21" customFormat="1" x14ac:dyDescent="0.3">
      <c r="C26" s="64"/>
      <c r="E26" s="19"/>
      <c r="F26" s="19"/>
      <c r="H26" s="19"/>
      <c r="I26" s="23"/>
      <c r="J26" s="23"/>
      <c r="K26" s="23"/>
      <c r="L26" s="23"/>
      <c r="M26" s="19"/>
    </row>
    <row r="27" spans="3:13" s="21" customFormat="1" x14ac:dyDescent="0.3">
      <c r="C27" s="64"/>
      <c r="E27" s="19"/>
      <c r="F27" s="19"/>
      <c r="H27" s="19"/>
      <c r="I27" s="23"/>
      <c r="J27" s="23"/>
      <c r="K27" s="23"/>
      <c r="L27" s="23"/>
      <c r="M27" s="19"/>
    </row>
    <row r="28" spans="3:13" s="21" customFormat="1" x14ac:dyDescent="0.3">
      <c r="C28" s="64"/>
      <c r="E28" s="19"/>
      <c r="F28" s="19"/>
      <c r="H28" s="19"/>
      <c r="I28" s="23"/>
      <c r="J28" s="23"/>
      <c r="K28" s="23"/>
      <c r="L28" s="23"/>
      <c r="M28" s="19"/>
    </row>
    <row r="29" spans="3:13" s="21" customFormat="1" x14ac:dyDescent="0.3">
      <c r="C29" s="64"/>
      <c r="E29" s="19"/>
      <c r="F29" s="19"/>
      <c r="H29" s="19"/>
      <c r="I29" s="23"/>
      <c r="J29" s="23"/>
      <c r="K29" s="23"/>
      <c r="L29" s="23"/>
      <c r="M29" s="19"/>
    </row>
    <row r="30" spans="3:13" s="21" customFormat="1" x14ac:dyDescent="0.3">
      <c r="C30" s="64"/>
      <c r="E30" s="19"/>
      <c r="F30" s="19"/>
      <c r="H30" s="19"/>
      <c r="I30" s="23"/>
      <c r="J30" s="23"/>
      <c r="K30" s="23"/>
      <c r="L30" s="23"/>
      <c r="M30" s="19"/>
    </row>
    <row r="31" spans="3:13" s="21" customFormat="1" x14ac:dyDescent="0.3">
      <c r="C31" s="64"/>
      <c r="E31" s="19"/>
      <c r="F31" s="19"/>
      <c r="H31" s="19"/>
      <c r="I31" s="23"/>
      <c r="J31" s="23"/>
      <c r="K31" s="23"/>
      <c r="L31" s="23"/>
      <c r="M31" s="19"/>
    </row>
    <row r="32" spans="3:13" s="21" customFormat="1" x14ac:dyDescent="0.3">
      <c r="C32" s="64"/>
      <c r="E32" s="19"/>
      <c r="F32" s="19"/>
      <c r="H32" s="19"/>
      <c r="I32" s="23"/>
      <c r="J32" s="23"/>
      <c r="K32" s="23"/>
      <c r="L32" s="23"/>
      <c r="M32" s="19"/>
    </row>
    <row r="33" spans="3:13" s="21" customFormat="1" x14ac:dyDescent="0.3">
      <c r="C33" s="64"/>
      <c r="E33" s="19"/>
      <c r="F33" s="19"/>
      <c r="H33" s="19"/>
      <c r="I33" s="23"/>
      <c r="J33" s="23"/>
      <c r="K33" s="23"/>
      <c r="L33" s="23"/>
      <c r="M33" s="19"/>
    </row>
    <row r="34" spans="3:13" s="21" customFormat="1" x14ac:dyDescent="0.3">
      <c r="C34" s="64"/>
      <c r="E34" s="19"/>
      <c r="F34" s="19"/>
      <c r="H34" s="19"/>
      <c r="I34" s="23"/>
      <c r="J34" s="23"/>
      <c r="K34" s="23"/>
      <c r="L34" s="23"/>
      <c r="M34" s="19"/>
    </row>
    <row r="35" spans="3:13" x14ac:dyDescent="0.3">
      <c r="L35" s="23"/>
    </row>
    <row r="36" spans="3:13" x14ac:dyDescent="0.3">
      <c r="L36" s="23"/>
    </row>
    <row r="37" spans="3:13" x14ac:dyDescent="0.3">
      <c r="L37" s="23"/>
    </row>
    <row r="38" spans="3:13" x14ac:dyDescent="0.3">
      <c r="L38" s="23"/>
    </row>
    <row r="39" spans="3:13" x14ac:dyDescent="0.3">
      <c r="L39" s="23"/>
    </row>
    <row r="40" spans="3:13" x14ac:dyDescent="0.3">
      <c r="L40" s="23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abSelected="1" topLeftCell="A2" workbookViewId="0">
      <selection activeCell="Q23" sqref="Q23"/>
    </sheetView>
  </sheetViews>
  <sheetFormatPr defaultRowHeight="16.5" x14ac:dyDescent="0.3"/>
  <cols>
    <col min="2" max="2" width="11.125" bestFit="1" customWidth="1"/>
  </cols>
  <sheetData>
    <row r="2" spans="2:2" x14ac:dyDescent="0.3">
      <c r="B2" t="s">
        <v>56</v>
      </c>
    </row>
    <row r="3" spans="2:2" x14ac:dyDescent="0.3">
      <c r="B3" t="s">
        <v>57</v>
      </c>
    </row>
    <row r="4" spans="2:2" x14ac:dyDescent="0.3">
      <c r="B4" s="43"/>
    </row>
    <row r="5" spans="2:2" x14ac:dyDescent="0.3">
      <c r="B5" t="s">
        <v>401</v>
      </c>
    </row>
    <row r="7" spans="2:2" x14ac:dyDescent="0.3">
      <c r="B7" s="44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workbookViewId="0">
      <selection activeCell="D8" sqref="D8"/>
    </sheetView>
  </sheetViews>
  <sheetFormatPr defaultRowHeight="16.5" x14ac:dyDescent="0.3"/>
  <cols>
    <col min="1" max="1" width="11.125" bestFit="1" customWidth="1"/>
  </cols>
  <sheetData>
    <row r="1" spans="1:2" x14ac:dyDescent="0.3">
      <c r="A1" s="81">
        <v>44694</v>
      </c>
      <c r="B1" s="82">
        <v>0.86421121006041579</v>
      </c>
    </row>
    <row r="2" spans="1:2" x14ac:dyDescent="0.3">
      <c r="A2" s="81">
        <v>44693</v>
      </c>
      <c r="B2" s="82">
        <v>0.87807117208209895</v>
      </c>
    </row>
    <row r="3" spans="1:2" x14ac:dyDescent="0.3">
      <c r="A3" s="81">
        <v>44692</v>
      </c>
      <c r="B3" s="82">
        <v>0.86805977803583423</v>
      </c>
    </row>
    <row r="4" spans="1:2" x14ac:dyDescent="0.3">
      <c r="A4" s="81">
        <v>44691</v>
      </c>
      <c r="B4" s="82">
        <v>0.86763271894926242</v>
      </c>
    </row>
    <row r="5" spans="1:2" x14ac:dyDescent="0.3">
      <c r="A5" s="81">
        <v>44690</v>
      </c>
      <c r="B5" s="82">
        <v>0.86438045674938624</v>
      </c>
    </row>
    <row r="6" spans="1:2" x14ac:dyDescent="0.3">
      <c r="A6" s="81">
        <v>44687</v>
      </c>
      <c r="B6" s="82">
        <v>0.85755216106274434</v>
      </c>
    </row>
    <row r="7" spans="1:2" x14ac:dyDescent="0.3">
      <c r="A7" s="81">
        <v>44685</v>
      </c>
      <c r="B7" s="82">
        <v>0.84808130679490423</v>
      </c>
    </row>
    <row r="8" spans="1:2" x14ac:dyDescent="0.3">
      <c r="A8" s="81">
        <v>44684</v>
      </c>
      <c r="B8" s="82">
        <v>0.84912972019198574</v>
      </c>
    </row>
    <row r="9" spans="1:2" x14ac:dyDescent="0.3">
      <c r="A9" s="81">
        <v>44683</v>
      </c>
      <c r="B9" s="82">
        <v>0.84774433435698537</v>
      </c>
    </row>
    <row r="10" spans="1:2" x14ac:dyDescent="0.3">
      <c r="A10" s="81">
        <v>44680</v>
      </c>
      <c r="B10" s="82">
        <v>0.84563570492529705</v>
      </c>
    </row>
    <row r="11" spans="1:2" x14ac:dyDescent="0.3">
      <c r="A11" s="81">
        <v>44679</v>
      </c>
      <c r="B11" s="82">
        <v>0.85531235127175753</v>
      </c>
    </row>
    <row r="12" spans="1:2" x14ac:dyDescent="0.3">
      <c r="A12" s="81">
        <v>44678</v>
      </c>
      <c r="B12" s="82">
        <v>0.86287252512143942</v>
      </c>
    </row>
    <row r="13" spans="1:2" x14ac:dyDescent="0.3">
      <c r="A13" s="81">
        <v>44677</v>
      </c>
      <c r="B13" s="82">
        <v>0.85432251041106089</v>
      </c>
    </row>
    <row r="14" spans="1:2" x14ac:dyDescent="0.3">
      <c r="A14" s="81">
        <v>44676</v>
      </c>
      <c r="B14" s="82">
        <v>0.85759063657462886</v>
      </c>
    </row>
    <row r="15" spans="1:2" x14ac:dyDescent="0.3">
      <c r="A15" s="81">
        <v>44673</v>
      </c>
      <c r="B15" s="82">
        <v>0.84493663169941136</v>
      </c>
    </row>
    <row r="16" spans="1:2" x14ac:dyDescent="0.3">
      <c r="A16" s="81">
        <v>44672</v>
      </c>
      <c r="B16" s="82">
        <v>0.83768636876478242</v>
      </c>
    </row>
    <row r="17" spans="1:2" x14ac:dyDescent="0.3">
      <c r="A17" s="81">
        <v>44671</v>
      </c>
      <c r="B17" s="82">
        <v>0.84073326705451357</v>
      </c>
    </row>
    <row r="18" spans="1:2" x14ac:dyDescent="0.3">
      <c r="A18" s="81">
        <v>44670</v>
      </c>
      <c r="B18" s="82">
        <v>0.8410567928910504</v>
      </c>
    </row>
    <row r="19" spans="1:2" x14ac:dyDescent="0.3">
      <c r="A19" s="81">
        <v>44669</v>
      </c>
      <c r="B19" s="82">
        <v>0.84851689254226104</v>
      </c>
    </row>
    <row r="20" spans="1:2" x14ac:dyDescent="0.3">
      <c r="A20" s="81">
        <v>44666</v>
      </c>
      <c r="B20" s="82">
        <v>0.8481011182992394</v>
      </c>
    </row>
    <row r="21" spans="1:2" x14ac:dyDescent="0.3">
      <c r="A21" s="81">
        <v>44665</v>
      </c>
      <c r="B21" s="82">
        <v>0.841016367813196</v>
      </c>
    </row>
    <row r="22" spans="1:2" x14ac:dyDescent="0.3">
      <c r="A22" s="81">
        <v>44664</v>
      </c>
      <c r="B22" s="82">
        <v>0.83772715774294748</v>
      </c>
    </row>
    <row r="23" spans="1:2" x14ac:dyDescent="0.3">
      <c r="A23" s="81">
        <v>44663</v>
      </c>
      <c r="B23" s="82">
        <v>0.85109895583745254</v>
      </c>
    </row>
    <row r="24" spans="1:2" x14ac:dyDescent="0.3">
      <c r="A24" s="81">
        <v>44662</v>
      </c>
      <c r="B24" s="82">
        <v>0.8442361623860315</v>
      </c>
    </row>
    <row r="25" spans="1:2" x14ac:dyDescent="0.3">
      <c r="A25" s="81">
        <v>44659</v>
      </c>
      <c r="B25" s="82">
        <v>0.84377509605689938</v>
      </c>
    </row>
    <row r="26" spans="1:2" x14ac:dyDescent="0.3">
      <c r="A26" s="81">
        <v>44658</v>
      </c>
      <c r="B26" s="82">
        <v>0.84433631473025428</v>
      </c>
    </row>
    <row r="27" spans="1:2" x14ac:dyDescent="0.3">
      <c r="A27" s="81">
        <v>44657</v>
      </c>
      <c r="B27" s="82">
        <v>0.83360600949150621</v>
      </c>
    </row>
    <row r="28" spans="1:2" x14ac:dyDescent="0.3">
      <c r="A28" s="81">
        <v>44656</v>
      </c>
      <c r="B28" s="82">
        <v>0.8258436454234519</v>
      </c>
    </row>
    <row r="29" spans="1:2" x14ac:dyDescent="0.3">
      <c r="A29" s="81">
        <v>44655</v>
      </c>
      <c r="B29" s="82">
        <v>0.82542331338153685</v>
      </c>
    </row>
    <row r="30" spans="1:2" x14ac:dyDescent="0.3">
      <c r="A30" s="81">
        <v>44652</v>
      </c>
      <c r="B30" s="82">
        <v>0.82908711718429928</v>
      </c>
    </row>
    <row r="31" spans="1:2" x14ac:dyDescent="0.3">
      <c r="A31" s="81">
        <v>44651</v>
      </c>
      <c r="B31" s="82">
        <v>0.82401219836175255</v>
      </c>
    </row>
    <row r="32" spans="1:2" x14ac:dyDescent="0.3">
      <c r="A32" s="81">
        <v>44650</v>
      </c>
      <c r="B32" s="82">
        <v>0.82634749759429971</v>
      </c>
    </row>
    <row r="33" spans="1:2" x14ac:dyDescent="0.3">
      <c r="A33" s="81">
        <v>44649</v>
      </c>
      <c r="B33" s="82">
        <v>0.82787636864502945</v>
      </c>
    </row>
    <row r="34" spans="1:2" x14ac:dyDescent="0.3">
      <c r="A34" s="81">
        <v>44648</v>
      </c>
      <c r="B34" s="82">
        <v>0.83143579907444698</v>
      </c>
    </row>
    <row r="35" spans="1:2" x14ac:dyDescent="0.3">
      <c r="A35" s="81">
        <v>44645</v>
      </c>
      <c r="B35" s="82">
        <v>0.83143579907444698</v>
      </c>
    </row>
    <row r="36" spans="1:2" x14ac:dyDescent="0.3">
      <c r="A36" s="81">
        <v>44644</v>
      </c>
      <c r="B36" s="82">
        <v>0.82869088154553205</v>
      </c>
    </row>
    <row r="37" spans="1:2" x14ac:dyDescent="0.3">
      <c r="A37" s="81">
        <v>44643</v>
      </c>
      <c r="B37" s="82">
        <v>0.82563353106675619</v>
      </c>
    </row>
    <row r="38" spans="1:2" x14ac:dyDescent="0.3">
      <c r="A38" s="81">
        <v>44642</v>
      </c>
      <c r="B38" s="82">
        <v>0.83226393850542812</v>
      </c>
    </row>
    <row r="39" spans="1:2" x14ac:dyDescent="0.3">
      <c r="A39" s="81">
        <v>44641</v>
      </c>
      <c r="B39" s="82">
        <v>0.83819591439153407</v>
      </c>
    </row>
    <row r="40" spans="1:2" x14ac:dyDescent="0.3">
      <c r="A40" s="81">
        <v>44638</v>
      </c>
      <c r="B40" s="82">
        <v>0.83087584059802277</v>
      </c>
    </row>
    <row r="41" spans="1:2" x14ac:dyDescent="0.3">
      <c r="A41" s="81">
        <v>44637</v>
      </c>
      <c r="B41" s="82">
        <v>0.83267736651175273</v>
      </c>
    </row>
    <row r="42" spans="1:2" x14ac:dyDescent="0.3">
      <c r="A42" s="81">
        <v>44636</v>
      </c>
      <c r="B42" s="82">
        <v>0.84361458455188232</v>
      </c>
    </row>
    <row r="43" spans="1:2" x14ac:dyDescent="0.3">
      <c r="A43" s="81">
        <v>44635</v>
      </c>
      <c r="B43" s="82">
        <v>0.85362193561069488</v>
      </c>
    </row>
    <row r="44" spans="1:2" x14ac:dyDescent="0.3">
      <c r="A44" s="81">
        <v>44634</v>
      </c>
      <c r="B44" s="82">
        <v>0.84657225618778709</v>
      </c>
    </row>
    <row r="45" spans="1:2" x14ac:dyDescent="0.3">
      <c r="A45" s="81">
        <v>44631</v>
      </c>
      <c r="B45" s="82">
        <v>0.84517647145475761</v>
      </c>
    </row>
    <row r="46" spans="1:2" x14ac:dyDescent="0.3">
      <c r="A46" s="81">
        <v>44630</v>
      </c>
      <c r="B46" s="82">
        <v>0.83974069248679961</v>
      </c>
    </row>
    <row r="47" spans="1:2" x14ac:dyDescent="0.3">
      <c r="A47" s="81">
        <v>44628</v>
      </c>
      <c r="B47" s="82">
        <v>0.85682021044234058</v>
      </c>
    </row>
    <row r="48" spans="1:2" x14ac:dyDescent="0.3">
      <c r="A48" s="81">
        <v>44627</v>
      </c>
      <c r="B48" s="82">
        <v>0.84970199958216019</v>
      </c>
    </row>
    <row r="49" spans="1:2" x14ac:dyDescent="0.3">
      <c r="A49" s="81">
        <v>44624</v>
      </c>
      <c r="B49" s="82">
        <v>0.83220188735734679</v>
      </c>
    </row>
    <row r="50" spans="1:2" x14ac:dyDescent="0.3">
      <c r="A50" s="81">
        <v>44623</v>
      </c>
      <c r="B50" s="82">
        <v>0.82094259860752727</v>
      </c>
    </row>
    <row r="51" spans="1:2" x14ac:dyDescent="0.3">
      <c r="A51" s="81">
        <v>44622</v>
      </c>
      <c r="B51" s="82">
        <v>0.83447077415807058</v>
      </c>
    </row>
    <row r="52" spans="1:2" x14ac:dyDescent="0.3">
      <c r="A52" s="81">
        <v>44620</v>
      </c>
      <c r="B52" s="82">
        <v>0.83251204674145407</v>
      </c>
    </row>
    <row r="53" spans="1:2" x14ac:dyDescent="0.3">
      <c r="A53" s="81">
        <v>44617</v>
      </c>
      <c r="B53" s="82">
        <v>0.83886745875714086</v>
      </c>
    </row>
    <row r="54" spans="1:2" x14ac:dyDescent="0.3">
      <c r="A54" s="81">
        <v>44616</v>
      </c>
      <c r="B54" s="82">
        <v>0.8457155099073812</v>
      </c>
    </row>
    <row r="55" spans="1:2" x14ac:dyDescent="0.3">
      <c r="A55" s="81">
        <v>44615</v>
      </c>
      <c r="B55" s="82">
        <v>0.8264733673446536</v>
      </c>
    </row>
    <row r="56" spans="1:2" x14ac:dyDescent="0.3">
      <c r="A56" s="81">
        <v>44614</v>
      </c>
      <c r="B56" s="82">
        <v>0.82841955442034609</v>
      </c>
    </row>
    <row r="57" spans="1:2" x14ac:dyDescent="0.3">
      <c r="A57" s="81">
        <v>44613</v>
      </c>
      <c r="B57" s="82">
        <v>0.81832212131134607</v>
      </c>
    </row>
    <row r="58" spans="1:2" x14ac:dyDescent="0.3">
      <c r="A58" s="81">
        <v>44610</v>
      </c>
      <c r="B58" s="82">
        <v>0.8177662700504793</v>
      </c>
    </row>
    <row r="59" spans="1:2" x14ac:dyDescent="0.3">
      <c r="A59" s="81">
        <v>44609</v>
      </c>
      <c r="B59" s="82">
        <v>0.81562216909922425</v>
      </c>
    </row>
    <row r="60" spans="1:2" x14ac:dyDescent="0.3">
      <c r="A60" s="81">
        <v>44608</v>
      </c>
      <c r="B60" s="82">
        <v>0.820432475163279</v>
      </c>
    </row>
    <row r="61" spans="1:2" x14ac:dyDescent="0.3">
      <c r="A61" s="81">
        <v>44607</v>
      </c>
      <c r="B61" s="82">
        <v>0.8347997064936411</v>
      </c>
    </row>
    <row r="62" spans="1:2" x14ac:dyDescent="0.3">
      <c r="A62" s="81">
        <v>44606</v>
      </c>
      <c r="B62" s="82">
        <v>0.82952461971124491</v>
      </c>
    </row>
    <row r="63" spans="1:2" x14ac:dyDescent="0.3">
      <c r="A63" s="81">
        <v>44603</v>
      </c>
      <c r="B63" s="82">
        <v>0.81763790166659189</v>
      </c>
    </row>
    <row r="64" spans="1:2" x14ac:dyDescent="0.3">
      <c r="A64" s="81">
        <v>44602</v>
      </c>
      <c r="B64" s="82">
        <v>0.81126141809936292</v>
      </c>
    </row>
    <row r="65" spans="1:2" x14ac:dyDescent="0.3">
      <c r="A65" s="81">
        <v>44601</v>
      </c>
      <c r="B65" s="82">
        <v>0.81755230297806181</v>
      </c>
    </row>
    <row r="66" spans="1:2" x14ac:dyDescent="0.3">
      <c r="A66" s="81">
        <v>44600</v>
      </c>
      <c r="B66" s="82">
        <v>0.82848218411481345</v>
      </c>
    </row>
    <row r="67" spans="1:2" x14ac:dyDescent="0.3">
      <c r="A67" s="81">
        <v>44599</v>
      </c>
      <c r="B67" s="82">
        <v>0.82964953502164074</v>
      </c>
    </row>
    <row r="68" spans="1:2" x14ac:dyDescent="0.3">
      <c r="A68" s="81">
        <v>44596</v>
      </c>
      <c r="B68" s="82">
        <v>0.8224694824924621</v>
      </c>
    </row>
    <row r="69" spans="1:2" x14ac:dyDescent="0.3">
      <c r="A69" s="81">
        <v>44595</v>
      </c>
      <c r="B69" s="82">
        <v>0.83238801190089617</v>
      </c>
    </row>
    <row r="70" spans="1:2" x14ac:dyDescent="0.3">
      <c r="A70" s="81">
        <v>44589</v>
      </c>
      <c r="B70" s="82">
        <v>0.83980153918149292</v>
      </c>
    </row>
    <row r="71" spans="1:2" x14ac:dyDescent="0.3">
      <c r="A71" s="81">
        <v>44588</v>
      </c>
      <c r="B71" s="82">
        <v>0.85835913228324834</v>
      </c>
    </row>
    <row r="72" spans="1:2" x14ac:dyDescent="0.3">
      <c r="A72" s="81">
        <v>44587</v>
      </c>
      <c r="B72" s="82">
        <v>0.83397685619966755</v>
      </c>
    </row>
    <row r="73" spans="1:2" x14ac:dyDescent="0.3">
      <c r="A73" s="81">
        <v>44586</v>
      </c>
      <c r="B73" s="82">
        <v>0.83075130010670528</v>
      </c>
    </row>
    <row r="74" spans="1:2" x14ac:dyDescent="0.3">
      <c r="A74" s="81">
        <v>44585</v>
      </c>
      <c r="B74" s="82">
        <v>0.81184656207352512</v>
      </c>
    </row>
    <row r="75" spans="1:2" x14ac:dyDescent="0.3">
      <c r="A75" s="81">
        <v>44582</v>
      </c>
      <c r="B75" s="82">
        <v>0.80138662289238527</v>
      </c>
    </row>
    <row r="76" spans="1:2" x14ac:dyDescent="0.3">
      <c r="A76" s="81">
        <v>44581</v>
      </c>
      <c r="B76" s="82">
        <v>0.79177935664466292</v>
      </c>
    </row>
    <row r="77" spans="1:2" x14ac:dyDescent="0.3">
      <c r="A77">
        <v>44580</v>
      </c>
      <c r="B77">
        <v>0.79665887689974735</v>
      </c>
    </row>
    <row r="78" spans="1:2" x14ac:dyDescent="0.3">
      <c r="A78">
        <v>44579</v>
      </c>
      <c r="B78">
        <v>0.79038424845173871</v>
      </c>
    </row>
    <row r="79" spans="1:2" x14ac:dyDescent="0.3">
      <c r="A79">
        <v>44578</v>
      </c>
      <c r="B79">
        <v>0.78404434259769495</v>
      </c>
    </row>
    <row r="80" spans="1:2" x14ac:dyDescent="0.3">
      <c r="A80">
        <v>44575</v>
      </c>
      <c r="B80">
        <v>0.77570955695516597</v>
      </c>
    </row>
    <row r="81" spans="1:2" x14ac:dyDescent="0.3">
      <c r="A81">
        <v>44574</v>
      </c>
      <c r="B81">
        <v>0.76281250101645881</v>
      </c>
    </row>
    <row r="82" spans="1:2" x14ac:dyDescent="0.3">
      <c r="A82">
        <v>44573</v>
      </c>
      <c r="B82">
        <v>0.75891355573574582</v>
      </c>
    </row>
    <row r="83" spans="1:2" x14ac:dyDescent="0.3">
      <c r="A83">
        <v>44572</v>
      </c>
      <c r="B83">
        <v>0.77219937143968775</v>
      </c>
    </row>
    <row r="84" spans="1:2" x14ac:dyDescent="0.3">
      <c r="A84">
        <v>44571</v>
      </c>
      <c r="B84">
        <v>0.77554828012118326</v>
      </c>
    </row>
    <row r="85" spans="1:2" x14ac:dyDescent="0.3">
      <c r="A85">
        <v>44568</v>
      </c>
      <c r="B85">
        <v>0.76783458665639281</v>
      </c>
    </row>
    <row r="86" spans="1:2" x14ac:dyDescent="0.3">
      <c r="A86">
        <v>44567</v>
      </c>
      <c r="B86">
        <v>0.77853739458808535</v>
      </c>
    </row>
    <row r="87" spans="1:2" x14ac:dyDescent="0.3">
      <c r="A87">
        <v>44566</v>
      </c>
      <c r="B87">
        <v>0.76890489854908961</v>
      </c>
    </row>
    <row r="88" spans="1:2" x14ac:dyDescent="0.3">
      <c r="A88">
        <v>44565</v>
      </c>
      <c r="B88">
        <v>0.75716963316456964</v>
      </c>
    </row>
    <row r="89" spans="1:2" x14ac:dyDescent="0.3">
      <c r="A89">
        <v>44564</v>
      </c>
      <c r="B89">
        <v>0.75691009924667463</v>
      </c>
    </row>
    <row r="90" spans="1:2" x14ac:dyDescent="0.3">
      <c r="A90">
        <v>44560</v>
      </c>
      <c r="B90">
        <v>0.76001932762641466</v>
      </c>
    </row>
    <row r="91" spans="1:2" x14ac:dyDescent="0.3">
      <c r="A91">
        <v>44559</v>
      </c>
      <c r="B91">
        <v>0.7540501369849858</v>
      </c>
    </row>
    <row r="92" spans="1:2" x14ac:dyDescent="0.3">
      <c r="A92">
        <v>44558</v>
      </c>
      <c r="B92">
        <v>0.74335929730576811</v>
      </c>
    </row>
    <row r="93" spans="1:2" x14ac:dyDescent="0.3">
      <c r="A93">
        <v>44557</v>
      </c>
      <c r="B93">
        <v>0.74956467129530147</v>
      </c>
    </row>
    <row r="94" spans="1:2" x14ac:dyDescent="0.3">
      <c r="A94">
        <v>44554</v>
      </c>
      <c r="B94">
        <v>0.74498603329498247</v>
      </c>
    </row>
    <row r="95" spans="1:2" x14ac:dyDescent="0.3">
      <c r="A95">
        <v>44553</v>
      </c>
      <c r="B95">
        <v>0.75065838263172902</v>
      </c>
    </row>
    <row r="96" spans="1:2" x14ac:dyDescent="0.3">
      <c r="A96">
        <v>44552</v>
      </c>
      <c r="B96">
        <v>0.75558763476211332</v>
      </c>
    </row>
    <row r="97" spans="1:2" x14ac:dyDescent="0.3">
      <c r="A97">
        <v>44551</v>
      </c>
      <c r="B97">
        <v>0.7605834159379613</v>
      </c>
    </row>
    <row r="98" spans="1:2" x14ac:dyDescent="0.3">
      <c r="A98">
        <v>44550</v>
      </c>
      <c r="B98">
        <v>0.76662287596714029</v>
      </c>
    </row>
    <row r="99" spans="1:2" x14ac:dyDescent="0.3">
      <c r="A99">
        <v>44547</v>
      </c>
      <c r="B99">
        <v>0.74873164712849749</v>
      </c>
    </row>
    <row r="100" spans="1:2" x14ac:dyDescent="0.3">
      <c r="A100">
        <v>44546</v>
      </c>
      <c r="B100">
        <v>0.7517745435208284</v>
      </c>
    </row>
    <row r="101" spans="1:2" x14ac:dyDescent="0.3">
      <c r="A101">
        <v>44545</v>
      </c>
      <c r="B101">
        <v>0.75655606417726173</v>
      </c>
    </row>
    <row r="102" spans="1:2" x14ac:dyDescent="0.3">
      <c r="A102">
        <v>44544</v>
      </c>
      <c r="B102">
        <v>0.75714604238734795</v>
      </c>
    </row>
    <row r="103" spans="1:2" x14ac:dyDescent="0.3">
      <c r="A103">
        <v>44543</v>
      </c>
      <c r="B103">
        <v>0.75274710989226701</v>
      </c>
    </row>
    <row r="104" spans="1:2" x14ac:dyDescent="0.3">
      <c r="A104">
        <v>44540</v>
      </c>
      <c r="B104">
        <v>0.7510860076933501</v>
      </c>
    </row>
    <row r="105" spans="1:2" x14ac:dyDescent="0.3">
      <c r="A105">
        <v>44539</v>
      </c>
      <c r="B105">
        <v>0.74355081474246498</v>
      </c>
    </row>
    <row r="106" spans="1:2" x14ac:dyDescent="0.3">
      <c r="A106">
        <v>44538</v>
      </c>
      <c r="B106">
        <v>0.75274710989226701</v>
      </c>
    </row>
    <row r="107" spans="1:2" x14ac:dyDescent="0.3">
      <c r="A107">
        <v>44537</v>
      </c>
      <c r="B107">
        <v>0.75502025360373548</v>
      </c>
    </row>
    <row r="108" spans="1:2" x14ac:dyDescent="0.3">
      <c r="A108">
        <v>44536</v>
      </c>
      <c r="B108">
        <v>0.76316390749174445</v>
      </c>
    </row>
    <row r="109" spans="1:2" x14ac:dyDescent="0.3">
      <c r="A109">
        <v>44533</v>
      </c>
      <c r="B109">
        <v>0.76524576894492624</v>
      </c>
    </row>
    <row r="110" spans="1:2" x14ac:dyDescent="0.3">
      <c r="A110">
        <v>44532</v>
      </c>
      <c r="B110">
        <v>0.77064674490055196</v>
      </c>
    </row>
    <row r="111" spans="1:2" x14ac:dyDescent="0.3">
      <c r="A111">
        <v>44531</v>
      </c>
      <c r="B111">
        <v>0.78558988276407027</v>
      </c>
    </row>
    <row r="112" spans="1:2" x14ac:dyDescent="0.3">
      <c r="A112">
        <v>44530</v>
      </c>
      <c r="B112">
        <v>0.80762686619612223</v>
      </c>
    </row>
    <row r="113" spans="1:2" x14ac:dyDescent="0.3">
      <c r="A113">
        <v>44529</v>
      </c>
      <c r="B113">
        <v>0.7889859395584069</v>
      </c>
    </row>
    <row r="114" spans="1:2" x14ac:dyDescent="0.3">
      <c r="A114">
        <v>44526</v>
      </c>
      <c r="B114">
        <v>0.78117084533345293</v>
      </c>
    </row>
    <row r="115" spans="1:2" x14ac:dyDescent="0.3">
      <c r="A115">
        <v>44525</v>
      </c>
      <c r="B115">
        <v>0.76531584946076259</v>
      </c>
    </row>
    <row r="116" spans="1:2" x14ac:dyDescent="0.3">
      <c r="A116">
        <v>44524</v>
      </c>
      <c r="B116">
        <v>0.75716963316456964</v>
      </c>
    </row>
    <row r="117" spans="1:2" x14ac:dyDescent="0.3">
      <c r="A117">
        <v>44523</v>
      </c>
      <c r="B117">
        <v>0.75471277014943983</v>
      </c>
    </row>
    <row r="118" spans="1:2" x14ac:dyDescent="0.3">
      <c r="A118">
        <v>44522</v>
      </c>
      <c r="B118">
        <v>0.74846968840845507</v>
      </c>
    </row>
    <row r="119" spans="1:2" x14ac:dyDescent="0.3">
      <c r="A119">
        <v>44519</v>
      </c>
      <c r="B119">
        <v>0.76857930989782453</v>
      </c>
    </row>
    <row r="120" spans="1:2" x14ac:dyDescent="0.3">
      <c r="A120">
        <v>44518</v>
      </c>
      <c r="B120">
        <v>0.77573259350898549</v>
      </c>
    </row>
    <row r="121" spans="1:2" x14ac:dyDescent="0.3">
      <c r="A121">
        <v>44517</v>
      </c>
      <c r="B121">
        <v>0.77111055565850462</v>
      </c>
    </row>
    <row r="122" spans="1:2" x14ac:dyDescent="0.3">
      <c r="A122">
        <v>44516</v>
      </c>
      <c r="B122">
        <v>0.76030141939248685</v>
      </c>
    </row>
    <row r="123" spans="1:2" x14ac:dyDescent="0.3">
      <c r="A123">
        <v>44515</v>
      </c>
      <c r="B123">
        <v>0.75961953507244284</v>
      </c>
    </row>
    <row r="124" spans="1:2" x14ac:dyDescent="0.3">
      <c r="A124">
        <v>44512</v>
      </c>
      <c r="B124">
        <v>0.7689281495606668</v>
      </c>
    </row>
    <row r="125" spans="1:2" x14ac:dyDescent="0.3">
      <c r="A125">
        <v>44511</v>
      </c>
      <c r="B125">
        <v>0.77911075123950302</v>
      </c>
    </row>
    <row r="126" spans="1:2" x14ac:dyDescent="0.3">
      <c r="A126">
        <v>44510</v>
      </c>
      <c r="B126">
        <v>0.77849150537721401</v>
      </c>
    </row>
    <row r="127" spans="1:2" x14ac:dyDescent="0.3">
      <c r="A127">
        <v>44509</v>
      </c>
      <c r="B127">
        <v>0.76897464945331206</v>
      </c>
    </row>
    <row r="128" spans="1:2" x14ac:dyDescent="0.3">
      <c r="A128">
        <v>44508</v>
      </c>
      <c r="B128">
        <v>0.77076272462738338</v>
      </c>
    </row>
    <row r="129" spans="1:2" x14ac:dyDescent="0.3">
      <c r="A129">
        <v>44505</v>
      </c>
      <c r="B129">
        <v>0.77013622051540109</v>
      </c>
    </row>
    <row r="130" spans="1:2" x14ac:dyDescent="0.3">
      <c r="A130">
        <v>44504</v>
      </c>
      <c r="B130">
        <v>0.76622633006341434</v>
      </c>
    </row>
    <row r="131" spans="1:2" x14ac:dyDescent="0.3">
      <c r="A131">
        <v>44503</v>
      </c>
      <c r="B131">
        <v>0.77101781659426039</v>
      </c>
    </row>
    <row r="132" spans="1:2" x14ac:dyDescent="0.3">
      <c r="A132">
        <v>44502</v>
      </c>
      <c r="B132">
        <v>0.75853679273545627</v>
      </c>
    </row>
    <row r="133" spans="1:2" x14ac:dyDescent="0.3">
      <c r="A133">
        <v>44501</v>
      </c>
      <c r="B133">
        <v>0.77025227930743068</v>
      </c>
    </row>
    <row r="134" spans="1:2" x14ac:dyDescent="0.3">
      <c r="A134">
        <v>44498</v>
      </c>
      <c r="B134">
        <v>0.77335591860665076</v>
      </c>
    </row>
    <row r="135" spans="1:2" x14ac:dyDescent="0.3">
      <c r="A135">
        <v>44497</v>
      </c>
      <c r="B135">
        <v>0.76072437843131291</v>
      </c>
    </row>
    <row r="136" spans="1:2" x14ac:dyDescent="0.3">
      <c r="A136">
        <v>44496</v>
      </c>
      <c r="B136">
        <v>0.75698088893731685</v>
      </c>
    </row>
    <row r="137" spans="1:2" x14ac:dyDescent="0.3">
      <c r="A137">
        <v>44495</v>
      </c>
      <c r="B137">
        <v>0.74846968840845507</v>
      </c>
    </row>
    <row r="138" spans="1:2" x14ac:dyDescent="0.3">
      <c r="A138">
        <v>44494</v>
      </c>
      <c r="B138">
        <v>0.75808917016028632</v>
      </c>
    </row>
    <row r="139" spans="1:2" x14ac:dyDescent="0.3">
      <c r="A139">
        <v>44491</v>
      </c>
      <c r="B139">
        <v>0.76201541772445014</v>
      </c>
    </row>
    <row r="140" spans="1:2" x14ac:dyDescent="0.3">
      <c r="A140">
        <v>44490</v>
      </c>
      <c r="B140">
        <v>0.76239061267767727</v>
      </c>
    </row>
    <row r="141" spans="1:2" x14ac:dyDescent="0.3">
      <c r="A141">
        <v>44489</v>
      </c>
      <c r="B141">
        <v>0.76107668007825924</v>
      </c>
    </row>
    <row r="142" spans="1:2" x14ac:dyDescent="0.3">
      <c r="A142">
        <v>44488</v>
      </c>
      <c r="B142">
        <v>0.75714604238734795</v>
      </c>
    </row>
    <row r="143" spans="1:2" x14ac:dyDescent="0.3">
      <c r="A143">
        <v>44487</v>
      </c>
      <c r="B143">
        <v>0.76510558930770523</v>
      </c>
    </row>
    <row r="144" spans="1:2" x14ac:dyDescent="0.3">
      <c r="A144">
        <v>44484</v>
      </c>
      <c r="B144">
        <v>0.76236716803541993</v>
      </c>
    </row>
    <row r="145" spans="1:2" x14ac:dyDescent="0.3">
      <c r="A145">
        <v>44483</v>
      </c>
      <c r="B145">
        <v>0.77076272462738338</v>
      </c>
    </row>
    <row r="146" spans="1:2" x14ac:dyDescent="0.3">
      <c r="A146">
        <v>44482</v>
      </c>
      <c r="B146">
        <v>0.78338409272069365</v>
      </c>
    </row>
    <row r="147" spans="1:2" x14ac:dyDescent="0.3">
      <c r="A147">
        <v>44481</v>
      </c>
      <c r="B147">
        <v>0.79110470590434556</v>
      </c>
    </row>
    <row r="148" spans="1:2" x14ac:dyDescent="0.3">
      <c r="A148">
        <v>44477</v>
      </c>
      <c r="B148">
        <v>0.77577866436989196</v>
      </c>
    </row>
    <row r="149" spans="1:2" x14ac:dyDescent="0.3">
      <c r="A149">
        <v>44476</v>
      </c>
      <c r="B149">
        <v>0.77411823373994826</v>
      </c>
    </row>
    <row r="150" spans="1:2" x14ac:dyDescent="0.3">
      <c r="A150">
        <v>44475</v>
      </c>
      <c r="B150">
        <v>0.7883081985731788</v>
      </c>
    </row>
    <row r="151" spans="1:2" x14ac:dyDescent="0.3">
      <c r="A151">
        <v>44474</v>
      </c>
      <c r="B151">
        <v>0.77441831880473455</v>
      </c>
    </row>
    <row r="152" spans="1:2" x14ac:dyDescent="0.3">
      <c r="A152">
        <v>44470</v>
      </c>
      <c r="B152">
        <v>0.75860744851471507</v>
      </c>
    </row>
    <row r="153" spans="1:2" x14ac:dyDescent="0.3">
      <c r="A153">
        <v>44469</v>
      </c>
      <c r="B153">
        <v>0.74314379686715437</v>
      </c>
    </row>
    <row r="154" spans="1:2" x14ac:dyDescent="0.3">
      <c r="A154">
        <v>44468</v>
      </c>
      <c r="B154">
        <v>0.74603721203119622</v>
      </c>
    </row>
    <row r="155" spans="1:2" x14ac:dyDescent="0.3">
      <c r="A155">
        <v>44467</v>
      </c>
      <c r="B155">
        <v>0.73134450612699342</v>
      </c>
    </row>
    <row r="156" spans="1:2" x14ac:dyDescent="0.3">
      <c r="A156">
        <v>44466</v>
      </c>
      <c r="B156">
        <v>0.71974277391335395</v>
      </c>
    </row>
    <row r="157" spans="1:2" x14ac:dyDescent="0.3">
      <c r="A157">
        <v>44463</v>
      </c>
      <c r="B157">
        <v>0.72250071668355376</v>
      </c>
    </row>
    <row r="158" spans="1:2" x14ac:dyDescent="0.3">
      <c r="A158">
        <v>44462</v>
      </c>
      <c r="B158">
        <v>0.7209882117164419</v>
      </c>
    </row>
    <row r="159" spans="1:2" x14ac:dyDescent="0.3">
      <c r="A159">
        <v>44456</v>
      </c>
      <c r="B159">
        <v>0.71969390993002169</v>
      </c>
    </row>
    <row r="160" spans="1:2" x14ac:dyDescent="0.3">
      <c r="A160">
        <v>44455</v>
      </c>
      <c r="B160">
        <v>0.72401148392953218</v>
      </c>
    </row>
    <row r="161" spans="1:2" x14ac:dyDescent="0.3">
      <c r="A161">
        <v>44454</v>
      </c>
      <c r="B161">
        <v>0.71514206090172294</v>
      </c>
    </row>
    <row r="162" spans="1:2" x14ac:dyDescent="0.3">
      <c r="A162">
        <v>44453</v>
      </c>
      <c r="B162">
        <v>0.71634262306846108</v>
      </c>
    </row>
    <row r="163" spans="1:2" x14ac:dyDescent="0.3">
      <c r="A163">
        <v>44452</v>
      </c>
      <c r="B163">
        <v>0.7228420106878346</v>
      </c>
    </row>
    <row r="164" spans="1:2" x14ac:dyDescent="0.3">
      <c r="A164">
        <v>44449</v>
      </c>
      <c r="B164">
        <v>0.72527721622342833</v>
      </c>
    </row>
    <row r="165" spans="1:2" x14ac:dyDescent="0.3">
      <c r="A165">
        <v>44448</v>
      </c>
      <c r="B165">
        <v>0.72872715083808026</v>
      </c>
    </row>
    <row r="166" spans="1:2" x14ac:dyDescent="0.3">
      <c r="A166">
        <v>44447</v>
      </c>
      <c r="B166">
        <v>0.71099384339934169</v>
      </c>
    </row>
    <row r="167" spans="1:2" x14ac:dyDescent="0.3">
      <c r="A167">
        <v>44446</v>
      </c>
      <c r="B167">
        <v>0.70296100026436004</v>
      </c>
    </row>
    <row r="168" spans="1:2" x14ac:dyDescent="0.3">
      <c r="A168">
        <v>44445</v>
      </c>
      <c r="B168">
        <v>0.69660205337196968</v>
      </c>
    </row>
    <row r="169" spans="1:2" x14ac:dyDescent="0.3">
      <c r="A169">
        <v>44442</v>
      </c>
      <c r="B169">
        <v>0.69945019922188811</v>
      </c>
    </row>
    <row r="170" spans="1:2" x14ac:dyDescent="0.3">
      <c r="A170">
        <v>44441</v>
      </c>
      <c r="B170">
        <v>0.70767213571772913</v>
      </c>
    </row>
    <row r="171" spans="1:2" x14ac:dyDescent="0.3">
      <c r="A171">
        <v>44440</v>
      </c>
      <c r="B171">
        <v>0.6977170522525894</v>
      </c>
    </row>
    <row r="172" spans="1:2" x14ac:dyDescent="0.3">
      <c r="A172">
        <v>44439</v>
      </c>
      <c r="B172">
        <v>0.6980390425956049</v>
      </c>
    </row>
    <row r="173" spans="1:2" x14ac:dyDescent="0.3">
      <c r="A173">
        <v>44438</v>
      </c>
      <c r="B173">
        <v>0.71844729073919877</v>
      </c>
    </row>
    <row r="174" spans="1:2" x14ac:dyDescent="0.3">
      <c r="A174">
        <v>44435</v>
      </c>
      <c r="B174">
        <v>0.72152510396455427</v>
      </c>
    </row>
    <row r="175" spans="1:2" x14ac:dyDescent="0.3">
      <c r="A175">
        <v>44434</v>
      </c>
      <c r="B175">
        <v>0.7211834701933113</v>
      </c>
    </row>
    <row r="176" spans="1:2" x14ac:dyDescent="0.3">
      <c r="A176">
        <v>44433</v>
      </c>
      <c r="B176">
        <v>0.7124433369226566</v>
      </c>
    </row>
    <row r="177" spans="1:2" x14ac:dyDescent="0.3">
      <c r="A177">
        <v>44432</v>
      </c>
      <c r="B177">
        <v>0.71604870026133416</v>
      </c>
    </row>
    <row r="178" spans="1:2" x14ac:dyDescent="0.3">
      <c r="A178">
        <v>44431</v>
      </c>
      <c r="B178">
        <v>0.73525954907122115</v>
      </c>
    </row>
    <row r="179" spans="1:2" x14ac:dyDescent="0.3">
      <c r="A179">
        <v>44428</v>
      </c>
      <c r="B179">
        <v>0.74438827564962429</v>
      </c>
    </row>
    <row r="180" spans="1:2" x14ac:dyDescent="0.3">
      <c r="A180">
        <v>44427</v>
      </c>
      <c r="B180">
        <v>0.73434241372255959</v>
      </c>
    </row>
    <row r="181" spans="1:2" x14ac:dyDescent="0.3">
      <c r="A181">
        <v>44426</v>
      </c>
      <c r="B181">
        <v>0.71389144443820562</v>
      </c>
    </row>
    <row r="182" spans="1:2" x14ac:dyDescent="0.3">
      <c r="A182">
        <v>44425</v>
      </c>
      <c r="B182">
        <v>0.71891184921958184</v>
      </c>
    </row>
    <row r="183" spans="1:2" x14ac:dyDescent="0.3">
      <c r="A183">
        <v>44421</v>
      </c>
      <c r="B183">
        <v>0.70725335821021407</v>
      </c>
    </row>
    <row r="184" spans="1:2" x14ac:dyDescent="0.3">
      <c r="A184">
        <v>44420</v>
      </c>
      <c r="B184">
        <v>0.69161409980912625</v>
      </c>
    </row>
    <row r="185" spans="1:2" x14ac:dyDescent="0.3">
      <c r="A185">
        <v>44419</v>
      </c>
      <c r="B185">
        <v>0.68574274917748235</v>
      </c>
    </row>
    <row r="186" spans="1:2" x14ac:dyDescent="0.3">
      <c r="A186">
        <v>44418</v>
      </c>
      <c r="B186">
        <v>0.67620921036474435</v>
      </c>
    </row>
    <row r="187" spans="1:2" x14ac:dyDescent="0.3">
      <c r="A187">
        <v>44417</v>
      </c>
      <c r="B187">
        <v>0.66847459741138493</v>
      </c>
    </row>
    <row r="188" spans="1:2" x14ac:dyDescent="0.3">
      <c r="A188">
        <v>44414</v>
      </c>
      <c r="B188">
        <v>0.66436253137955692</v>
      </c>
    </row>
    <row r="189" spans="1:2" x14ac:dyDescent="0.3">
      <c r="A189">
        <v>44413</v>
      </c>
      <c r="B189">
        <v>0.66072340446213895</v>
      </c>
    </row>
    <row r="190" spans="1:2" x14ac:dyDescent="0.3">
      <c r="A190">
        <v>44412</v>
      </c>
      <c r="B190">
        <v>0.65743317118861666</v>
      </c>
    </row>
    <row r="191" spans="1:2" x14ac:dyDescent="0.3">
      <c r="A191">
        <v>44411</v>
      </c>
      <c r="B191">
        <v>0.67265708236723432</v>
      </c>
    </row>
    <row r="192" spans="1:2" x14ac:dyDescent="0.3">
      <c r="A192">
        <v>44410</v>
      </c>
      <c r="B192">
        <v>0.680630845316051</v>
      </c>
    </row>
    <row r="193" spans="1:2" x14ac:dyDescent="0.3">
      <c r="A193">
        <v>44407</v>
      </c>
      <c r="B193">
        <v>0.68780940642731503</v>
      </c>
    </row>
    <row r="194" spans="1:2" x14ac:dyDescent="0.3">
      <c r="A194">
        <v>44406</v>
      </c>
      <c r="B194">
        <v>0.6738832768986639</v>
      </c>
    </row>
    <row r="195" spans="1:2" x14ac:dyDescent="0.3">
      <c r="A195">
        <v>44405</v>
      </c>
      <c r="B195">
        <v>0.67473382419017558</v>
      </c>
    </row>
    <row r="196" spans="1:2" x14ac:dyDescent="0.3">
      <c r="A196">
        <v>44404</v>
      </c>
      <c r="B196">
        <v>0.67705909985797585</v>
      </c>
    </row>
    <row r="197" spans="1:2" x14ac:dyDescent="0.3">
      <c r="A197">
        <v>44403</v>
      </c>
      <c r="B197">
        <v>0.67893296659163482</v>
      </c>
    </row>
    <row r="198" spans="1:2" x14ac:dyDescent="0.3">
      <c r="A198">
        <v>44400</v>
      </c>
      <c r="B198">
        <v>0.66872518756734722</v>
      </c>
    </row>
    <row r="199" spans="1:2" x14ac:dyDescent="0.3">
      <c r="A199">
        <v>44399</v>
      </c>
      <c r="B199">
        <v>0.66915115064481667</v>
      </c>
    </row>
    <row r="200" spans="1:2" x14ac:dyDescent="0.3">
      <c r="A200">
        <v>44398</v>
      </c>
      <c r="B200">
        <v>0.68260202095606926</v>
      </c>
    </row>
    <row r="201" spans="1:2" x14ac:dyDescent="0.3">
      <c r="A201">
        <v>44397</v>
      </c>
      <c r="B201">
        <v>0.67623421063133493</v>
      </c>
    </row>
    <row r="202" spans="1:2" x14ac:dyDescent="0.3">
      <c r="A202">
        <v>44396</v>
      </c>
      <c r="B202">
        <v>0.67288233714167478</v>
      </c>
    </row>
    <row r="203" spans="1:2" x14ac:dyDescent="0.3">
      <c r="A203">
        <v>44393</v>
      </c>
      <c r="B203">
        <v>0.66052253839379327</v>
      </c>
    </row>
    <row r="204" spans="1:2" x14ac:dyDescent="0.3">
      <c r="A204">
        <v>44392</v>
      </c>
      <c r="B204">
        <v>0.65564903475974745</v>
      </c>
    </row>
    <row r="205" spans="1:2" x14ac:dyDescent="0.3">
      <c r="A205">
        <v>44391</v>
      </c>
      <c r="B205">
        <v>0.6636600435950033</v>
      </c>
    </row>
    <row r="206" spans="1:2" x14ac:dyDescent="0.3">
      <c r="A206">
        <v>44390</v>
      </c>
      <c r="B206">
        <v>0.66079872699582221</v>
      </c>
    </row>
    <row r="207" spans="1:2" x14ac:dyDescent="0.3">
      <c r="A207">
        <v>44389</v>
      </c>
      <c r="B207">
        <v>0.66940169331723787</v>
      </c>
    </row>
    <row r="208" spans="1:2" x14ac:dyDescent="0.3">
      <c r="A208">
        <v>44386</v>
      </c>
      <c r="B208">
        <v>0.67800868075256338</v>
      </c>
    </row>
    <row r="209" spans="1:2" x14ac:dyDescent="0.3">
      <c r="A209">
        <v>44385</v>
      </c>
      <c r="B209">
        <v>0.66601791416580447</v>
      </c>
    </row>
    <row r="210" spans="1:2" x14ac:dyDescent="0.3">
      <c r="A210">
        <v>44384</v>
      </c>
      <c r="B210">
        <v>0.65512122244796456</v>
      </c>
    </row>
    <row r="211" spans="1:2" x14ac:dyDescent="0.3">
      <c r="A211">
        <v>44383</v>
      </c>
      <c r="B211">
        <v>0.64875886787672621</v>
      </c>
    </row>
    <row r="212" spans="1:2" x14ac:dyDescent="0.3">
      <c r="A212">
        <v>44382</v>
      </c>
      <c r="B212">
        <v>0.65338664831070947</v>
      </c>
    </row>
    <row r="213" spans="1:2" x14ac:dyDescent="0.3">
      <c r="A213">
        <v>44379</v>
      </c>
      <c r="B213">
        <v>0.65755879223249813</v>
      </c>
    </row>
    <row r="214" spans="1:2" x14ac:dyDescent="0.3">
      <c r="A214">
        <v>44378</v>
      </c>
      <c r="B214">
        <v>0.65670451027397614</v>
      </c>
    </row>
    <row r="215" spans="1:2" x14ac:dyDescent="0.3">
      <c r="A215">
        <v>44377</v>
      </c>
      <c r="B215">
        <v>0.65041918022778855</v>
      </c>
    </row>
    <row r="216" spans="1:2" x14ac:dyDescent="0.3">
      <c r="A216">
        <v>44376</v>
      </c>
      <c r="B216">
        <v>0.65368834907474882</v>
      </c>
    </row>
    <row r="217" spans="1:2" x14ac:dyDescent="0.3">
      <c r="A217">
        <v>44375</v>
      </c>
      <c r="B217">
        <v>0.64755114863231311</v>
      </c>
    </row>
    <row r="218" spans="1:2" x14ac:dyDescent="0.3">
      <c r="A218">
        <v>44372</v>
      </c>
      <c r="B218">
        <v>0.64649425428628293</v>
      </c>
    </row>
    <row r="219" spans="1:2" x14ac:dyDescent="0.3">
      <c r="A219">
        <v>44371</v>
      </c>
      <c r="B219">
        <v>0.64649425428628293</v>
      </c>
    </row>
    <row r="220" spans="1:2" x14ac:dyDescent="0.3">
      <c r="A220">
        <v>44370</v>
      </c>
      <c r="B220">
        <v>0.64793874679849361</v>
      </c>
    </row>
    <row r="221" spans="1:2" x14ac:dyDescent="0.3">
      <c r="A221">
        <v>44369</v>
      </c>
      <c r="B221">
        <v>0.65378995905479798</v>
      </c>
    </row>
    <row r="222" spans="1:2" x14ac:dyDescent="0.3">
      <c r="A222">
        <v>44368</v>
      </c>
      <c r="B222">
        <v>0.66127925445193625</v>
      </c>
    </row>
    <row r="223" spans="1:2" x14ac:dyDescent="0.3">
      <c r="A223">
        <v>44365</v>
      </c>
      <c r="B223">
        <v>0.6522706398433934</v>
      </c>
    </row>
    <row r="224" spans="1:2" x14ac:dyDescent="0.3">
      <c r="A224">
        <v>44364</v>
      </c>
      <c r="B224">
        <v>0.65300502280216999</v>
      </c>
    </row>
    <row r="225" spans="1:2" x14ac:dyDescent="0.3">
      <c r="A225">
        <v>44363</v>
      </c>
      <c r="B225">
        <v>0.6473559101511448</v>
      </c>
    </row>
    <row r="226" spans="1:2" x14ac:dyDescent="0.3">
      <c r="A226">
        <v>44362</v>
      </c>
      <c r="B226">
        <v>0.65452416337799124</v>
      </c>
    </row>
    <row r="227" spans="1:2" x14ac:dyDescent="0.3">
      <c r="A227">
        <v>44361</v>
      </c>
      <c r="B227">
        <v>0.65682744218220923</v>
      </c>
    </row>
    <row r="228" spans="1:2" x14ac:dyDescent="0.3">
      <c r="A228">
        <v>44358</v>
      </c>
      <c r="B228">
        <v>0.65794076728018125</v>
      </c>
    </row>
    <row r="229" spans="1:2" x14ac:dyDescent="0.3">
      <c r="A229">
        <v>44357</v>
      </c>
      <c r="B229">
        <v>0.66661056541104224</v>
      </c>
    </row>
    <row r="230" spans="1:2" x14ac:dyDescent="0.3">
      <c r="A230">
        <v>44356</v>
      </c>
      <c r="B230">
        <v>0.66961412213534222</v>
      </c>
    </row>
    <row r="231" spans="1:2" x14ac:dyDescent="0.3">
      <c r="A231">
        <v>44355</v>
      </c>
      <c r="B231">
        <v>0.6576877596420484</v>
      </c>
    </row>
    <row r="232" spans="1:2" x14ac:dyDescent="0.3">
      <c r="A232">
        <v>44354</v>
      </c>
      <c r="B232">
        <v>0.65672621921616259</v>
      </c>
    </row>
    <row r="233" spans="1:2" x14ac:dyDescent="0.3">
      <c r="A233">
        <v>44351</v>
      </c>
      <c r="B233">
        <v>0.65935737648312975</v>
      </c>
    </row>
    <row r="234" spans="1:2" x14ac:dyDescent="0.3">
      <c r="A234">
        <v>44350</v>
      </c>
      <c r="B234">
        <v>0.65518233835372208</v>
      </c>
    </row>
    <row r="235" spans="1:2" x14ac:dyDescent="0.3">
      <c r="A235">
        <v>44349</v>
      </c>
      <c r="B235">
        <v>0.6645900264993021</v>
      </c>
    </row>
    <row r="236" spans="1:2" x14ac:dyDescent="0.3">
      <c r="A236">
        <v>44348</v>
      </c>
      <c r="B236">
        <v>0.66416053045518808</v>
      </c>
    </row>
    <row r="237" spans="1:2" x14ac:dyDescent="0.3">
      <c r="A237">
        <v>44347</v>
      </c>
      <c r="B237">
        <v>0.6702448014043052</v>
      </c>
    </row>
    <row r="238" spans="1:2" x14ac:dyDescent="0.3">
      <c r="A238">
        <v>44344</v>
      </c>
      <c r="B238">
        <v>0.67518516810181772</v>
      </c>
    </row>
    <row r="239" spans="1:2" x14ac:dyDescent="0.3">
      <c r="A239">
        <v>44343</v>
      </c>
      <c r="B239">
        <v>0.68260544314862015</v>
      </c>
    </row>
    <row r="240" spans="1:2" x14ac:dyDescent="0.3">
      <c r="A240">
        <v>44342</v>
      </c>
      <c r="B240">
        <v>0.68124866686320784</v>
      </c>
    </row>
    <row r="241" spans="1:2" x14ac:dyDescent="0.3">
      <c r="A241">
        <v>44341</v>
      </c>
      <c r="B241">
        <v>0.67921219533287103</v>
      </c>
    </row>
    <row r="242" spans="1:2" x14ac:dyDescent="0.3">
      <c r="A242">
        <v>44340</v>
      </c>
      <c r="B242">
        <v>0.68870172636403781</v>
      </c>
    </row>
    <row r="243" spans="1:2" x14ac:dyDescent="0.3">
      <c r="A243">
        <v>44337</v>
      </c>
      <c r="B243">
        <v>0.68491531727209143</v>
      </c>
    </row>
    <row r="244" spans="1:2" x14ac:dyDescent="0.3">
      <c r="A244">
        <v>44336</v>
      </c>
      <c r="B244">
        <v>0.68591893262819681</v>
      </c>
    </row>
    <row r="245" spans="1:2" x14ac:dyDescent="0.3">
      <c r="A245">
        <v>44334</v>
      </c>
      <c r="B245">
        <v>0.68237936326698057</v>
      </c>
    </row>
    <row r="246" spans="1:2" x14ac:dyDescent="0.3">
      <c r="A246">
        <v>44333</v>
      </c>
      <c r="B246">
        <v>0.69445675470778412</v>
      </c>
    </row>
    <row r="247" spans="1:2" x14ac:dyDescent="0.3">
      <c r="A247">
        <v>44330</v>
      </c>
      <c r="B247">
        <v>0.68970370328049091</v>
      </c>
    </row>
    <row r="248" spans="1:2" x14ac:dyDescent="0.3">
      <c r="A248">
        <v>44329</v>
      </c>
      <c r="B248">
        <v>0.6999463225189142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/>
  </sheetViews>
  <sheetFormatPr defaultRowHeight="16.5" x14ac:dyDescent="0.3"/>
  <cols>
    <col min="7" max="8" width="10.25" bestFit="1" customWidth="1"/>
    <col min="9" max="9" width="10.125" bestFit="1" customWidth="1"/>
    <col min="10" max="10" width="7.5" bestFit="1" customWidth="1"/>
    <col min="11" max="13" width="11" bestFit="1" customWidth="1"/>
    <col min="14" max="14" width="10" bestFit="1" customWidth="1"/>
    <col min="15" max="15" width="11" bestFit="1" customWidth="1"/>
    <col min="16" max="16" width="10.25" bestFit="1" customWidth="1"/>
    <col min="17" max="17" width="11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125" bestFit="1" customWidth="1"/>
    <col min="22" max="22" width="5.25" bestFit="1" customWidth="1"/>
    <col min="23" max="23" width="11.125" bestFit="1" customWidth="1"/>
    <col min="24" max="24" width="5.875" bestFit="1" customWidth="1"/>
  </cols>
  <sheetData>
    <row r="3" spans="2:24" ht="49.5" x14ac:dyDescent="0.3">
      <c r="B3" s="111" t="s">
        <v>402</v>
      </c>
      <c r="C3" s="111" t="s">
        <v>403</v>
      </c>
      <c r="D3" s="111" t="s">
        <v>491</v>
      </c>
      <c r="E3" s="111" t="s">
        <v>482</v>
      </c>
      <c r="F3" s="111" t="s">
        <v>492</v>
      </c>
      <c r="G3" s="111" t="s">
        <v>493</v>
      </c>
      <c r="H3" s="111" t="s">
        <v>494</v>
      </c>
      <c r="I3" s="111" t="s">
        <v>495</v>
      </c>
      <c r="J3" s="111" t="s">
        <v>496</v>
      </c>
      <c r="K3" s="111" t="s">
        <v>497</v>
      </c>
      <c r="L3" s="111" t="s">
        <v>498</v>
      </c>
      <c r="M3" s="111" t="s">
        <v>499</v>
      </c>
      <c r="N3" s="111" t="s">
        <v>500</v>
      </c>
      <c r="O3" s="111" t="s">
        <v>501</v>
      </c>
      <c r="P3" s="112" t="s">
        <v>502</v>
      </c>
      <c r="Q3" s="111" t="s">
        <v>503</v>
      </c>
      <c r="R3" s="112" t="s">
        <v>504</v>
      </c>
      <c r="S3" s="111" t="s">
        <v>505</v>
      </c>
      <c r="T3" s="111" t="s">
        <v>506</v>
      </c>
      <c r="U3" s="111" t="s">
        <v>507</v>
      </c>
      <c r="V3" s="111" t="s">
        <v>508</v>
      </c>
      <c r="W3" s="111" t="s">
        <v>509</v>
      </c>
      <c r="X3" s="111" t="s">
        <v>510</v>
      </c>
    </row>
    <row r="4" spans="2:24" x14ac:dyDescent="0.3">
      <c r="B4" s="111" t="s">
        <v>421</v>
      </c>
      <c r="C4" s="111" t="s">
        <v>274</v>
      </c>
      <c r="D4" s="111">
        <v>210230</v>
      </c>
      <c r="E4" s="111" t="s">
        <v>489</v>
      </c>
      <c r="F4" s="111" t="s">
        <v>511</v>
      </c>
      <c r="G4" s="113">
        <v>9246911</v>
      </c>
      <c r="H4" s="113">
        <v>309906</v>
      </c>
      <c r="I4" s="113">
        <v>312261</v>
      </c>
      <c r="J4" s="111">
        <v>0</v>
      </c>
      <c r="K4" s="113">
        <v>8934650</v>
      </c>
      <c r="L4" s="111">
        <v>0</v>
      </c>
      <c r="M4" s="111">
        <v>0</v>
      </c>
      <c r="N4" s="111">
        <v>0</v>
      </c>
      <c r="O4" s="111">
        <v>0</v>
      </c>
      <c r="P4" s="111">
        <v>0</v>
      </c>
      <c r="Q4" s="111">
        <v>0</v>
      </c>
      <c r="R4" s="113">
        <v>8934650</v>
      </c>
      <c r="S4" s="113">
        <v>19480189</v>
      </c>
      <c r="T4" s="114">
        <v>44694</v>
      </c>
      <c r="U4" s="111">
        <v>8011332746</v>
      </c>
      <c r="V4" s="111">
        <v>2</v>
      </c>
      <c r="W4" s="114">
        <v>44694</v>
      </c>
      <c r="X4" s="113">
        <v>1708</v>
      </c>
    </row>
    <row r="5" spans="2:24" x14ac:dyDescent="0.3">
      <c r="B5" s="111" t="s">
        <v>424</v>
      </c>
      <c r="C5" s="111" t="s">
        <v>280</v>
      </c>
      <c r="D5" s="111">
        <v>210230</v>
      </c>
      <c r="E5" s="111" t="s">
        <v>489</v>
      </c>
      <c r="F5" s="111" t="s">
        <v>511</v>
      </c>
      <c r="G5" s="113">
        <v>9408938</v>
      </c>
      <c r="H5" s="113">
        <v>272828</v>
      </c>
      <c r="I5" s="113">
        <v>241083</v>
      </c>
      <c r="J5" s="111">
        <v>0</v>
      </c>
      <c r="K5" s="113">
        <v>9167855</v>
      </c>
      <c r="L5" s="111">
        <v>0</v>
      </c>
      <c r="M5" s="111">
        <v>0</v>
      </c>
      <c r="N5" s="111">
        <v>0</v>
      </c>
      <c r="O5" s="111">
        <v>0</v>
      </c>
      <c r="P5" s="111">
        <v>0</v>
      </c>
      <c r="Q5" s="111">
        <v>0</v>
      </c>
      <c r="R5" s="113">
        <v>9167855</v>
      </c>
      <c r="S5" s="113">
        <v>19616730</v>
      </c>
      <c r="T5" s="114">
        <v>44694</v>
      </c>
      <c r="U5" s="111">
        <v>8011332803</v>
      </c>
      <c r="V5" s="111">
        <v>2</v>
      </c>
      <c r="W5" s="114">
        <v>44694</v>
      </c>
      <c r="X5" s="113">
        <v>1678</v>
      </c>
    </row>
    <row r="6" spans="2:24" x14ac:dyDescent="0.3">
      <c r="B6" s="111" t="s">
        <v>427</v>
      </c>
      <c r="C6" s="111" t="s">
        <v>277</v>
      </c>
      <c r="D6" s="111">
        <v>210230</v>
      </c>
      <c r="E6" s="111" t="s">
        <v>489</v>
      </c>
      <c r="F6" s="111" t="s">
        <v>511</v>
      </c>
      <c r="G6" s="113">
        <v>9572899</v>
      </c>
      <c r="H6" s="113">
        <v>269814</v>
      </c>
      <c r="I6" s="113">
        <v>272099</v>
      </c>
      <c r="J6" s="111">
        <v>0</v>
      </c>
      <c r="K6" s="113">
        <v>9300800</v>
      </c>
      <c r="L6" s="111">
        <v>0</v>
      </c>
      <c r="M6" s="111">
        <v>0</v>
      </c>
      <c r="N6" s="111">
        <v>0</v>
      </c>
      <c r="O6" s="111">
        <v>0</v>
      </c>
      <c r="P6" s="111">
        <v>0</v>
      </c>
      <c r="Q6" s="111">
        <v>0</v>
      </c>
      <c r="R6" s="113">
        <v>9300800</v>
      </c>
      <c r="S6" s="113">
        <v>19542542</v>
      </c>
      <c r="T6" s="114">
        <v>44694</v>
      </c>
      <c r="U6" s="111">
        <v>8011332779</v>
      </c>
      <c r="V6" s="111">
        <v>2</v>
      </c>
      <c r="W6" s="114">
        <v>44694</v>
      </c>
      <c r="X6" s="113">
        <v>1730</v>
      </c>
    </row>
    <row r="7" spans="2:24" x14ac:dyDescent="0.3">
      <c r="B7" s="111" t="s">
        <v>431</v>
      </c>
      <c r="C7" s="111" t="s">
        <v>432</v>
      </c>
      <c r="D7" s="111">
        <v>210230</v>
      </c>
      <c r="E7" s="111" t="s">
        <v>489</v>
      </c>
      <c r="F7" s="111" t="s">
        <v>511</v>
      </c>
      <c r="G7" s="113">
        <v>48621358</v>
      </c>
      <c r="H7" s="111">
        <v>336</v>
      </c>
      <c r="I7" s="111">
        <v>336</v>
      </c>
      <c r="J7" s="111">
        <v>0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3">
        <v>48621022</v>
      </c>
      <c r="Q7" s="111">
        <v>0</v>
      </c>
      <c r="R7" s="113">
        <v>48621022</v>
      </c>
      <c r="S7" s="111">
        <v>0</v>
      </c>
      <c r="T7" s="114">
        <v>44694</v>
      </c>
      <c r="U7" s="111">
        <v>8011332589</v>
      </c>
      <c r="V7" s="111">
        <v>2</v>
      </c>
      <c r="W7" s="114">
        <v>44694</v>
      </c>
      <c r="X7" s="113">
        <v>1732</v>
      </c>
    </row>
    <row r="8" spans="2:24" x14ac:dyDescent="0.3">
      <c r="B8" s="111" t="s">
        <v>437</v>
      </c>
      <c r="C8" s="111" t="s">
        <v>438</v>
      </c>
      <c r="D8" s="111">
        <v>210230</v>
      </c>
      <c r="E8" s="111" t="s">
        <v>489</v>
      </c>
      <c r="F8" s="111" t="s">
        <v>511</v>
      </c>
      <c r="G8" s="113">
        <v>49786813</v>
      </c>
      <c r="H8" s="111">
        <v>530</v>
      </c>
      <c r="I8" s="111">
        <v>530</v>
      </c>
      <c r="J8" s="111">
        <v>0</v>
      </c>
      <c r="K8" s="111">
        <v>0</v>
      </c>
      <c r="L8" s="111">
        <v>0</v>
      </c>
      <c r="M8" s="111">
        <v>0</v>
      </c>
      <c r="N8" s="111">
        <v>0</v>
      </c>
      <c r="O8" s="111">
        <v>0</v>
      </c>
      <c r="P8" s="113">
        <v>49786283</v>
      </c>
      <c r="Q8" s="111">
        <v>0</v>
      </c>
      <c r="R8" s="113">
        <v>49786283</v>
      </c>
      <c r="S8" s="111">
        <v>0</v>
      </c>
      <c r="T8" s="114">
        <v>44694</v>
      </c>
      <c r="U8" s="111">
        <v>8011332613</v>
      </c>
      <c r="V8" s="111">
        <v>2</v>
      </c>
      <c r="W8" s="114">
        <v>44694</v>
      </c>
      <c r="X8" s="113">
        <v>1713</v>
      </c>
    </row>
    <row r="9" spans="2:24" x14ac:dyDescent="0.3">
      <c r="B9" s="111" t="s">
        <v>443</v>
      </c>
      <c r="C9" s="111" t="s">
        <v>444</v>
      </c>
      <c r="D9" s="111">
        <v>210230</v>
      </c>
      <c r="E9" s="111" t="s">
        <v>489</v>
      </c>
      <c r="F9" s="111" t="s">
        <v>511</v>
      </c>
      <c r="G9" s="113">
        <v>50579309</v>
      </c>
      <c r="H9" s="111">
        <v>626</v>
      </c>
      <c r="I9" s="111">
        <v>626</v>
      </c>
      <c r="J9" s="111">
        <v>0</v>
      </c>
      <c r="K9" s="111">
        <v>0</v>
      </c>
      <c r="L9" s="111">
        <v>0</v>
      </c>
      <c r="M9" s="111">
        <v>0</v>
      </c>
      <c r="N9" s="111">
        <v>0</v>
      </c>
      <c r="O9" s="111">
        <v>0</v>
      </c>
      <c r="P9" s="113">
        <v>50578683</v>
      </c>
      <c r="Q9" s="111">
        <v>0</v>
      </c>
      <c r="R9" s="113">
        <v>50578683</v>
      </c>
      <c r="S9" s="111">
        <v>0</v>
      </c>
      <c r="T9" s="114">
        <v>44694</v>
      </c>
      <c r="U9" s="111">
        <v>8011332639</v>
      </c>
      <c r="V9" s="111">
        <v>2</v>
      </c>
      <c r="W9" s="114">
        <v>44694</v>
      </c>
      <c r="X9" s="113">
        <v>1778</v>
      </c>
    </row>
    <row r="10" spans="2:24" x14ac:dyDescent="0.3">
      <c r="B10" s="111" t="s">
        <v>449</v>
      </c>
      <c r="C10" s="111" t="s">
        <v>450</v>
      </c>
      <c r="D10" s="111">
        <v>210230</v>
      </c>
      <c r="E10" s="111" t="s">
        <v>489</v>
      </c>
      <c r="F10" s="111" t="s">
        <v>511</v>
      </c>
      <c r="G10" s="113">
        <v>40929563</v>
      </c>
      <c r="H10" s="113">
        <v>500140</v>
      </c>
      <c r="I10" s="113">
        <v>500140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3">
        <v>40429423</v>
      </c>
      <c r="Q10" s="111">
        <v>0</v>
      </c>
      <c r="R10" s="113">
        <v>40429423</v>
      </c>
      <c r="S10" s="111">
        <v>0</v>
      </c>
      <c r="T10" s="114">
        <v>44694</v>
      </c>
      <c r="U10" s="111">
        <v>8011332654</v>
      </c>
      <c r="V10" s="111">
        <v>2</v>
      </c>
      <c r="W10" s="114">
        <v>44694</v>
      </c>
      <c r="X10" s="113">
        <v>1772</v>
      </c>
    </row>
    <row r="11" spans="2:24" x14ac:dyDescent="0.3">
      <c r="B11" s="111" t="s">
        <v>455</v>
      </c>
      <c r="C11" s="111" t="s">
        <v>456</v>
      </c>
      <c r="D11" s="111">
        <v>210230</v>
      </c>
      <c r="E11" s="111" t="s">
        <v>489</v>
      </c>
      <c r="F11" s="111" t="s">
        <v>511</v>
      </c>
      <c r="G11" s="113">
        <v>42695171</v>
      </c>
      <c r="H11" s="113">
        <v>500140</v>
      </c>
      <c r="I11" s="113">
        <v>500140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3">
        <v>42195031</v>
      </c>
      <c r="Q11" s="111">
        <v>0</v>
      </c>
      <c r="R11" s="113">
        <v>42195031</v>
      </c>
      <c r="S11" s="111">
        <v>0</v>
      </c>
      <c r="T11" s="114">
        <v>44694</v>
      </c>
      <c r="U11" s="111">
        <v>8011332688</v>
      </c>
      <c r="V11" s="111">
        <v>2</v>
      </c>
      <c r="W11" s="114">
        <v>44694</v>
      </c>
      <c r="X11" s="113">
        <v>1770</v>
      </c>
    </row>
    <row r="12" spans="2:24" x14ac:dyDescent="0.3">
      <c r="B12" s="111" t="s">
        <v>461</v>
      </c>
      <c r="C12" s="111" t="s">
        <v>462</v>
      </c>
      <c r="D12" s="111">
        <v>210230</v>
      </c>
      <c r="E12" s="111" t="s">
        <v>489</v>
      </c>
      <c r="F12" s="111" t="s">
        <v>511</v>
      </c>
      <c r="G12" s="113">
        <v>45390696</v>
      </c>
      <c r="H12" s="113">
        <v>500140</v>
      </c>
      <c r="I12" s="113">
        <v>500140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3">
        <v>44890556</v>
      </c>
      <c r="Q12" s="111">
        <v>0</v>
      </c>
      <c r="R12" s="113">
        <v>44890556</v>
      </c>
      <c r="S12" s="111">
        <v>0</v>
      </c>
      <c r="T12" s="114">
        <v>44694</v>
      </c>
      <c r="U12" s="111">
        <v>8011332712</v>
      </c>
      <c r="V12" s="111">
        <v>2</v>
      </c>
      <c r="W12" s="114">
        <v>44694</v>
      </c>
      <c r="X12" s="113">
        <v>1719</v>
      </c>
    </row>
    <row r="13" spans="2:24" x14ac:dyDescent="0.3">
      <c r="B13" s="111" t="s">
        <v>514</v>
      </c>
      <c r="C13" s="111" t="s">
        <v>515</v>
      </c>
      <c r="D13" s="111">
        <v>210230</v>
      </c>
      <c r="E13" s="111" t="s">
        <v>489</v>
      </c>
      <c r="F13" s="111" t="s">
        <v>511</v>
      </c>
      <c r="G13" s="113">
        <v>34348937</v>
      </c>
      <c r="H13" s="113">
        <v>350116</v>
      </c>
      <c r="I13" s="113">
        <v>350116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3">
        <v>33998821</v>
      </c>
      <c r="Q13" s="111">
        <v>0</v>
      </c>
      <c r="R13" s="113">
        <v>33998821</v>
      </c>
      <c r="S13" s="111">
        <v>0</v>
      </c>
      <c r="T13" s="114">
        <v>44694</v>
      </c>
      <c r="U13" s="111">
        <v>8011336564</v>
      </c>
      <c r="V13" s="111">
        <v>2</v>
      </c>
      <c r="W13" s="114">
        <v>44694</v>
      </c>
      <c r="X13" s="113">
        <v>1735</v>
      </c>
    </row>
    <row r="14" spans="2:24" x14ac:dyDescent="0.3">
      <c r="B14" s="111" t="s">
        <v>516</v>
      </c>
      <c r="C14" s="111" t="s">
        <v>517</v>
      </c>
      <c r="D14" s="111">
        <v>210230</v>
      </c>
      <c r="E14" s="111" t="s">
        <v>489</v>
      </c>
      <c r="F14" s="111" t="s">
        <v>511</v>
      </c>
      <c r="G14" s="113">
        <v>49022159</v>
      </c>
      <c r="H14" s="113">
        <v>500167</v>
      </c>
      <c r="I14" s="113">
        <v>500167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3">
        <v>48521992</v>
      </c>
      <c r="Q14" s="111">
        <v>0</v>
      </c>
      <c r="R14" s="113">
        <v>48521992</v>
      </c>
      <c r="S14" s="111">
        <v>0</v>
      </c>
      <c r="T14" s="114">
        <v>44694</v>
      </c>
      <c r="U14" s="111">
        <v>8011336572</v>
      </c>
      <c r="V14" s="111">
        <v>2</v>
      </c>
      <c r="W14" s="114">
        <v>44694</v>
      </c>
      <c r="X14" s="113">
        <v>1744</v>
      </c>
    </row>
    <row r="15" spans="2:24" x14ac:dyDescent="0.3">
      <c r="B15" s="111" t="s">
        <v>518</v>
      </c>
      <c r="C15" s="111" t="s">
        <v>519</v>
      </c>
      <c r="D15" s="111">
        <v>210230</v>
      </c>
      <c r="E15" s="111" t="s">
        <v>489</v>
      </c>
      <c r="F15" s="111" t="s">
        <v>511</v>
      </c>
      <c r="G15" s="113">
        <v>63697171</v>
      </c>
      <c r="H15" s="113">
        <v>650217</v>
      </c>
      <c r="I15" s="113">
        <v>650217</v>
      </c>
      <c r="J15" s="111">
        <v>0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3">
        <v>63046954</v>
      </c>
      <c r="Q15" s="111">
        <v>0</v>
      </c>
      <c r="R15" s="113">
        <v>63046954</v>
      </c>
      <c r="S15" s="111">
        <v>0</v>
      </c>
      <c r="T15" s="114">
        <v>44694</v>
      </c>
      <c r="U15" s="111">
        <v>8011336580</v>
      </c>
      <c r="V15" s="111">
        <v>2</v>
      </c>
      <c r="W15" s="114">
        <v>44694</v>
      </c>
      <c r="X15" s="113">
        <v>1771</v>
      </c>
    </row>
    <row r="16" spans="2:24" x14ac:dyDescent="0.3">
      <c r="B16" s="111" t="s">
        <v>520</v>
      </c>
      <c r="C16" s="111" t="s">
        <v>521</v>
      </c>
      <c r="D16" s="111">
        <v>210230</v>
      </c>
      <c r="E16" s="111" t="s">
        <v>489</v>
      </c>
      <c r="F16" s="111" t="s">
        <v>511</v>
      </c>
      <c r="G16" s="113">
        <v>34410507</v>
      </c>
      <c r="H16" s="113">
        <v>350116</v>
      </c>
      <c r="I16" s="113">
        <v>350116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3">
        <v>34060391</v>
      </c>
      <c r="Q16" s="111">
        <v>0</v>
      </c>
      <c r="R16" s="113">
        <v>34060391</v>
      </c>
      <c r="S16" s="111">
        <v>0</v>
      </c>
      <c r="T16" s="114">
        <v>44694</v>
      </c>
      <c r="U16" s="111">
        <v>8011336598</v>
      </c>
      <c r="V16" s="111">
        <v>2</v>
      </c>
      <c r="W16" s="114">
        <v>44694</v>
      </c>
      <c r="X16" s="113">
        <v>1777</v>
      </c>
    </row>
    <row r="17" spans="2:24" x14ac:dyDescent="0.3">
      <c r="B17" s="111" t="s">
        <v>522</v>
      </c>
      <c r="C17" s="111" t="s">
        <v>523</v>
      </c>
      <c r="D17" s="111">
        <v>210230</v>
      </c>
      <c r="E17" s="111" t="s">
        <v>489</v>
      </c>
      <c r="F17" s="111" t="s">
        <v>511</v>
      </c>
      <c r="G17" s="113">
        <v>49185031</v>
      </c>
      <c r="H17" s="113">
        <v>500167</v>
      </c>
      <c r="I17" s="113">
        <v>500167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>
        <v>0</v>
      </c>
      <c r="P17" s="113">
        <v>48684864</v>
      </c>
      <c r="Q17" s="111">
        <v>0</v>
      </c>
      <c r="R17" s="113">
        <v>48684864</v>
      </c>
      <c r="S17" s="111">
        <v>0</v>
      </c>
      <c r="T17" s="114">
        <v>44694</v>
      </c>
      <c r="U17" s="111">
        <v>8011336606</v>
      </c>
      <c r="V17" s="111">
        <v>2</v>
      </c>
      <c r="W17" s="114">
        <v>44694</v>
      </c>
      <c r="X17" s="113">
        <v>1688</v>
      </c>
    </row>
    <row r="18" spans="2:24" x14ac:dyDescent="0.3">
      <c r="B18" s="111" t="s">
        <v>524</v>
      </c>
      <c r="C18" s="111" t="s">
        <v>525</v>
      </c>
      <c r="D18" s="111">
        <v>210230</v>
      </c>
      <c r="E18" s="111" t="s">
        <v>489</v>
      </c>
      <c r="F18" s="111" t="s">
        <v>511</v>
      </c>
      <c r="G18" s="113">
        <v>63915461</v>
      </c>
      <c r="H18" s="113">
        <v>650217</v>
      </c>
      <c r="I18" s="113">
        <v>650217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3">
        <v>63265244</v>
      </c>
      <c r="Q18" s="111">
        <v>0</v>
      </c>
      <c r="R18" s="113">
        <v>63265244</v>
      </c>
      <c r="S18" s="111">
        <v>0</v>
      </c>
      <c r="T18" s="114">
        <v>44694</v>
      </c>
      <c r="U18" s="111">
        <v>8011336614</v>
      </c>
      <c r="V18" s="111">
        <v>2</v>
      </c>
      <c r="W18" s="114">
        <v>44694</v>
      </c>
      <c r="X18" s="113">
        <v>1694</v>
      </c>
    </row>
    <row r="19" spans="2:24" x14ac:dyDescent="0.3">
      <c r="B19" s="111" t="s">
        <v>526</v>
      </c>
      <c r="C19" s="111" t="s">
        <v>527</v>
      </c>
      <c r="D19" s="111">
        <v>210230</v>
      </c>
      <c r="E19" s="111" t="s">
        <v>489</v>
      </c>
      <c r="F19" s="111" t="s">
        <v>511</v>
      </c>
      <c r="G19" s="113">
        <v>35060988</v>
      </c>
      <c r="H19" s="113">
        <v>350116</v>
      </c>
      <c r="I19" s="113">
        <v>350116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3">
        <v>34710872</v>
      </c>
      <c r="Q19" s="111">
        <v>0</v>
      </c>
      <c r="R19" s="113">
        <v>34710872</v>
      </c>
      <c r="S19" s="111">
        <v>0</v>
      </c>
      <c r="T19" s="114">
        <v>44694</v>
      </c>
      <c r="U19" s="111">
        <v>8011336622</v>
      </c>
      <c r="V19" s="111">
        <v>2</v>
      </c>
      <c r="W19" s="114">
        <v>44694</v>
      </c>
      <c r="X19" s="113">
        <v>1860</v>
      </c>
    </row>
    <row r="20" spans="2:24" x14ac:dyDescent="0.3">
      <c r="B20" s="111" t="s">
        <v>528</v>
      </c>
      <c r="C20" s="111" t="s">
        <v>529</v>
      </c>
      <c r="D20" s="111">
        <v>210230</v>
      </c>
      <c r="E20" s="111" t="s">
        <v>489</v>
      </c>
      <c r="F20" s="111" t="s">
        <v>511</v>
      </c>
      <c r="G20" s="113">
        <v>49999649</v>
      </c>
      <c r="H20" s="113">
        <v>500167</v>
      </c>
      <c r="I20" s="113">
        <v>500167</v>
      </c>
      <c r="J20" s="111">
        <v>0</v>
      </c>
      <c r="K20" s="111">
        <v>0</v>
      </c>
      <c r="L20" s="111">
        <v>0</v>
      </c>
      <c r="M20" s="111">
        <v>0</v>
      </c>
      <c r="N20" s="111">
        <v>0</v>
      </c>
      <c r="O20" s="111">
        <v>0</v>
      </c>
      <c r="P20" s="113">
        <v>49499482</v>
      </c>
      <c r="Q20" s="111">
        <v>0</v>
      </c>
      <c r="R20" s="113">
        <v>49499482</v>
      </c>
      <c r="S20" s="111">
        <v>0</v>
      </c>
      <c r="T20" s="114">
        <v>44694</v>
      </c>
      <c r="U20" s="111">
        <v>8011336630</v>
      </c>
      <c r="V20" s="111">
        <v>2</v>
      </c>
      <c r="W20" s="114">
        <v>44694</v>
      </c>
      <c r="X20" s="113">
        <v>1870</v>
      </c>
    </row>
    <row r="21" spans="2:24" x14ac:dyDescent="0.3">
      <c r="B21" s="111" t="s">
        <v>530</v>
      </c>
      <c r="C21" s="111" t="s">
        <v>531</v>
      </c>
      <c r="D21" s="111">
        <v>210230</v>
      </c>
      <c r="E21" s="111" t="s">
        <v>489</v>
      </c>
      <c r="F21" s="111" t="s">
        <v>511</v>
      </c>
      <c r="G21" s="113">
        <v>64981890</v>
      </c>
      <c r="H21" s="113">
        <v>650217</v>
      </c>
      <c r="I21" s="113">
        <v>650217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3">
        <v>64331673</v>
      </c>
      <c r="Q21" s="111">
        <v>0</v>
      </c>
      <c r="R21" s="113">
        <v>64331673</v>
      </c>
      <c r="S21" s="111">
        <v>0</v>
      </c>
      <c r="T21" s="114">
        <v>44694</v>
      </c>
      <c r="U21" s="111">
        <v>8011336648</v>
      </c>
      <c r="V21" s="111">
        <v>2</v>
      </c>
      <c r="W21" s="114">
        <v>44694</v>
      </c>
      <c r="X21" s="113">
        <v>1897</v>
      </c>
    </row>
    <row r="22" spans="2:24" x14ac:dyDescent="0.3">
      <c r="B22" s="111" t="s">
        <v>532</v>
      </c>
      <c r="C22" s="111" t="s">
        <v>533</v>
      </c>
      <c r="D22" s="111">
        <v>210230</v>
      </c>
      <c r="E22" s="111" t="s">
        <v>489</v>
      </c>
      <c r="F22" s="111" t="s">
        <v>511</v>
      </c>
      <c r="G22" s="113">
        <v>47153800</v>
      </c>
      <c r="H22" s="113">
        <v>708833</v>
      </c>
      <c r="I22" s="113">
        <v>708833</v>
      </c>
      <c r="J22" s="111">
        <v>0</v>
      </c>
      <c r="K22" s="113">
        <v>46444967</v>
      </c>
      <c r="L22" s="111">
        <v>0</v>
      </c>
      <c r="M22" s="111">
        <v>0</v>
      </c>
      <c r="N22" s="111">
        <v>0</v>
      </c>
      <c r="O22" s="111">
        <v>0</v>
      </c>
      <c r="P22" s="111">
        <v>0</v>
      </c>
      <c r="Q22" s="111">
        <v>0</v>
      </c>
      <c r="R22" s="113">
        <v>46444967</v>
      </c>
      <c r="S22" s="113">
        <v>100401722</v>
      </c>
      <c r="T22" s="114">
        <v>44694</v>
      </c>
      <c r="U22" s="111">
        <v>8011336655</v>
      </c>
      <c r="V22" s="111">
        <v>2</v>
      </c>
      <c r="W22" s="114">
        <v>44694</v>
      </c>
      <c r="X22" s="113">
        <v>1721</v>
      </c>
    </row>
    <row r="23" spans="2:24" x14ac:dyDescent="0.3">
      <c r="B23" s="111" t="s">
        <v>864</v>
      </c>
      <c r="C23" s="111" t="s">
        <v>865</v>
      </c>
      <c r="D23" s="111">
        <v>210230</v>
      </c>
      <c r="E23" s="111" t="s">
        <v>489</v>
      </c>
      <c r="F23" s="111" t="s">
        <v>511</v>
      </c>
      <c r="G23" s="113">
        <v>17039040</v>
      </c>
      <c r="H23" s="113">
        <v>434420</v>
      </c>
      <c r="I23" s="113">
        <v>434420</v>
      </c>
      <c r="J23" s="111">
        <v>0</v>
      </c>
      <c r="K23" s="113">
        <v>16604620</v>
      </c>
      <c r="L23" s="111">
        <v>0</v>
      </c>
      <c r="M23" s="111">
        <v>0</v>
      </c>
      <c r="N23" s="111">
        <v>0</v>
      </c>
      <c r="O23" s="111">
        <v>0</v>
      </c>
      <c r="P23" s="111">
        <v>0</v>
      </c>
      <c r="Q23" s="111">
        <v>0</v>
      </c>
      <c r="R23" s="113">
        <v>16604620</v>
      </c>
      <c r="S23" s="113">
        <v>34121000</v>
      </c>
      <c r="T23" s="114">
        <v>44694</v>
      </c>
      <c r="U23" s="111">
        <v>8011339832</v>
      </c>
      <c r="V23" s="111">
        <v>2</v>
      </c>
      <c r="W23" s="114">
        <v>44694</v>
      </c>
      <c r="X23" s="113">
        <v>1900</v>
      </c>
    </row>
    <row r="24" spans="2:24" x14ac:dyDescent="0.3">
      <c r="B24" s="111" t="s">
        <v>883</v>
      </c>
      <c r="C24" s="111" t="s">
        <v>884</v>
      </c>
      <c r="D24" s="111">
        <v>210230</v>
      </c>
      <c r="E24" s="111" t="s">
        <v>489</v>
      </c>
      <c r="F24" s="111" t="s">
        <v>511</v>
      </c>
      <c r="G24" s="113">
        <v>24336760</v>
      </c>
      <c r="H24" s="113">
        <v>373405</v>
      </c>
      <c r="I24" s="113">
        <v>373405</v>
      </c>
      <c r="J24" s="111">
        <v>0</v>
      </c>
      <c r="K24" s="113">
        <v>23963355</v>
      </c>
      <c r="L24" s="111">
        <v>0</v>
      </c>
      <c r="M24" s="111">
        <v>0</v>
      </c>
      <c r="N24" s="111">
        <v>0</v>
      </c>
      <c r="O24" s="111">
        <v>0</v>
      </c>
      <c r="P24" s="111">
        <v>0</v>
      </c>
      <c r="Q24" s="111">
        <v>0</v>
      </c>
      <c r="R24" s="113">
        <v>23963355</v>
      </c>
      <c r="S24" s="113">
        <v>49238530</v>
      </c>
      <c r="T24" s="114">
        <v>44694</v>
      </c>
      <c r="U24" s="111">
        <v>8011339840</v>
      </c>
      <c r="V24" s="111">
        <v>2</v>
      </c>
      <c r="W24" s="114">
        <v>44694</v>
      </c>
      <c r="X24" s="113">
        <v>1836</v>
      </c>
    </row>
    <row r="25" spans="2:24" x14ac:dyDescent="0.3">
      <c r="B25" s="111" t="s">
        <v>885</v>
      </c>
      <c r="C25" s="111" t="s">
        <v>886</v>
      </c>
      <c r="D25" s="111">
        <v>210230</v>
      </c>
      <c r="E25" s="111" t="s">
        <v>489</v>
      </c>
      <c r="F25" s="111" t="s">
        <v>511</v>
      </c>
      <c r="G25" s="113">
        <v>31638015</v>
      </c>
      <c r="H25" s="113">
        <v>575005</v>
      </c>
      <c r="I25" s="113">
        <v>575005</v>
      </c>
      <c r="J25" s="111">
        <v>0</v>
      </c>
      <c r="K25" s="113">
        <v>31063010</v>
      </c>
      <c r="L25" s="111">
        <v>0</v>
      </c>
      <c r="M25" s="111">
        <v>0</v>
      </c>
      <c r="N25" s="111">
        <v>0</v>
      </c>
      <c r="O25" s="111">
        <v>0</v>
      </c>
      <c r="P25" s="111">
        <v>0</v>
      </c>
      <c r="Q25" s="111">
        <v>0</v>
      </c>
      <c r="R25" s="113">
        <v>31063010</v>
      </c>
      <c r="S25" s="113">
        <v>63830930</v>
      </c>
      <c r="T25" s="114">
        <v>44694</v>
      </c>
      <c r="U25" s="111">
        <v>8011339857</v>
      </c>
      <c r="V25" s="111">
        <v>2</v>
      </c>
      <c r="W25" s="114">
        <v>44694</v>
      </c>
      <c r="X25" s="113">
        <v>1866</v>
      </c>
    </row>
    <row r="26" spans="2:24" x14ac:dyDescent="0.3">
      <c r="B26" s="111" t="s">
        <v>887</v>
      </c>
      <c r="C26" s="111" t="s">
        <v>888</v>
      </c>
      <c r="D26" s="111">
        <v>210230</v>
      </c>
      <c r="E26" s="111" t="s">
        <v>489</v>
      </c>
      <c r="F26" s="111" t="s">
        <v>511</v>
      </c>
      <c r="G26" s="113">
        <v>17338220</v>
      </c>
      <c r="H26" s="113">
        <v>370420</v>
      </c>
      <c r="I26" s="113">
        <v>370420</v>
      </c>
      <c r="J26" s="111">
        <v>0</v>
      </c>
      <c r="K26" s="113">
        <v>16967800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111">
        <v>0</v>
      </c>
      <c r="R26" s="113">
        <v>16967800</v>
      </c>
      <c r="S26" s="113">
        <v>34249000</v>
      </c>
      <c r="T26" s="114">
        <v>44694</v>
      </c>
      <c r="U26" s="111">
        <v>8011339865</v>
      </c>
      <c r="V26" s="111">
        <v>2</v>
      </c>
      <c r="W26" s="114">
        <v>44694</v>
      </c>
      <c r="X26" s="113">
        <v>1893</v>
      </c>
    </row>
    <row r="27" spans="2:24" x14ac:dyDescent="0.3">
      <c r="B27" s="111" t="s">
        <v>891</v>
      </c>
      <c r="C27" s="111" t="s">
        <v>892</v>
      </c>
      <c r="D27" s="111">
        <v>210230</v>
      </c>
      <c r="E27" s="111" t="s">
        <v>489</v>
      </c>
      <c r="F27" s="111" t="s">
        <v>511</v>
      </c>
      <c r="G27" s="113">
        <v>24767970</v>
      </c>
      <c r="H27" s="113">
        <v>295435</v>
      </c>
      <c r="I27" s="113">
        <v>295435</v>
      </c>
      <c r="J27" s="111">
        <v>0</v>
      </c>
      <c r="K27" s="113">
        <v>24472535</v>
      </c>
      <c r="L27" s="111">
        <v>0</v>
      </c>
      <c r="M27" s="111">
        <v>0</v>
      </c>
      <c r="N27" s="111">
        <v>0</v>
      </c>
      <c r="O27" s="111">
        <v>0</v>
      </c>
      <c r="P27" s="111">
        <v>0</v>
      </c>
      <c r="Q27" s="111">
        <v>0</v>
      </c>
      <c r="R27" s="113">
        <v>24472535</v>
      </c>
      <c r="S27" s="113">
        <v>49394430</v>
      </c>
      <c r="T27" s="114">
        <v>44694</v>
      </c>
      <c r="U27" s="111">
        <v>8011339873</v>
      </c>
      <c r="V27" s="111">
        <v>2</v>
      </c>
      <c r="W27" s="114">
        <v>44694</v>
      </c>
      <c r="X27" s="113">
        <v>1899</v>
      </c>
    </row>
    <row r="28" spans="2:24" x14ac:dyDescent="0.3">
      <c r="B28" s="111" t="s">
        <v>893</v>
      </c>
      <c r="C28" s="111" t="s">
        <v>894</v>
      </c>
      <c r="D28" s="111">
        <v>210230</v>
      </c>
      <c r="E28" s="111" t="s">
        <v>489</v>
      </c>
      <c r="F28" s="111" t="s">
        <v>511</v>
      </c>
      <c r="G28" s="113">
        <v>32195260</v>
      </c>
      <c r="H28" s="113">
        <v>449750</v>
      </c>
      <c r="I28" s="113">
        <v>449750</v>
      </c>
      <c r="J28" s="111">
        <v>0</v>
      </c>
      <c r="K28" s="113">
        <v>31745510</v>
      </c>
      <c r="L28" s="111">
        <v>0</v>
      </c>
      <c r="M28" s="111">
        <v>0</v>
      </c>
      <c r="N28" s="111">
        <v>0</v>
      </c>
      <c r="O28" s="111">
        <v>0</v>
      </c>
      <c r="P28" s="111">
        <v>0</v>
      </c>
      <c r="Q28" s="111">
        <v>0</v>
      </c>
      <c r="R28" s="113">
        <v>31745510</v>
      </c>
      <c r="S28" s="113">
        <v>64081400</v>
      </c>
      <c r="T28" s="114">
        <v>44694</v>
      </c>
      <c r="U28" s="111">
        <v>8011339881</v>
      </c>
      <c r="V28" s="111">
        <v>2</v>
      </c>
      <c r="W28" s="114">
        <v>44694</v>
      </c>
      <c r="X28" s="113">
        <v>1867</v>
      </c>
    </row>
    <row r="29" spans="2:24" x14ac:dyDescent="0.3">
      <c r="B29" s="111" t="s">
        <v>895</v>
      </c>
      <c r="C29" s="111" t="s">
        <v>896</v>
      </c>
      <c r="D29" s="111">
        <v>210230</v>
      </c>
      <c r="E29" s="111" t="s">
        <v>489</v>
      </c>
      <c r="F29" s="111" t="s">
        <v>511</v>
      </c>
      <c r="G29" s="113">
        <v>17393650</v>
      </c>
      <c r="H29" s="113">
        <v>258950</v>
      </c>
      <c r="I29" s="113">
        <v>258950</v>
      </c>
      <c r="J29" s="111">
        <v>0</v>
      </c>
      <c r="K29" s="113">
        <v>17134700</v>
      </c>
      <c r="L29" s="111">
        <v>0</v>
      </c>
      <c r="M29" s="111">
        <v>0</v>
      </c>
      <c r="N29" s="111">
        <v>0</v>
      </c>
      <c r="O29" s="111">
        <v>0</v>
      </c>
      <c r="P29" s="111">
        <v>0</v>
      </c>
      <c r="Q29" s="111">
        <v>0</v>
      </c>
      <c r="R29" s="113">
        <v>17134700</v>
      </c>
      <c r="S29" s="113">
        <v>34471860</v>
      </c>
      <c r="T29" s="114">
        <v>44694</v>
      </c>
      <c r="U29" s="111">
        <v>8011339899</v>
      </c>
      <c r="V29" s="111">
        <v>2</v>
      </c>
      <c r="W29" s="114">
        <v>44694</v>
      </c>
      <c r="X29" s="113">
        <v>1874</v>
      </c>
    </row>
    <row r="30" spans="2:24" x14ac:dyDescent="0.3">
      <c r="B30" s="111" t="s">
        <v>897</v>
      </c>
      <c r="C30" s="111" t="s">
        <v>898</v>
      </c>
      <c r="D30" s="111">
        <v>210230</v>
      </c>
      <c r="E30" s="111" t="s">
        <v>489</v>
      </c>
      <c r="F30" s="111" t="s">
        <v>511</v>
      </c>
      <c r="G30" s="113">
        <v>24848815</v>
      </c>
      <c r="H30" s="113">
        <v>256585</v>
      </c>
      <c r="I30" s="113">
        <v>256585</v>
      </c>
      <c r="J30" s="111">
        <v>0</v>
      </c>
      <c r="K30" s="113">
        <v>24592230</v>
      </c>
      <c r="L30" s="111">
        <v>0</v>
      </c>
      <c r="M30" s="111">
        <v>0</v>
      </c>
      <c r="N30" s="111">
        <v>0</v>
      </c>
      <c r="O30" s="111">
        <v>0</v>
      </c>
      <c r="P30" s="111">
        <v>0</v>
      </c>
      <c r="Q30" s="111">
        <v>0</v>
      </c>
      <c r="R30" s="113">
        <v>24592230</v>
      </c>
      <c r="S30" s="113">
        <v>49472090</v>
      </c>
      <c r="T30" s="114">
        <v>44694</v>
      </c>
      <c r="U30" s="111">
        <v>8011339907</v>
      </c>
      <c r="V30" s="111">
        <v>2</v>
      </c>
      <c r="W30" s="114">
        <v>44694</v>
      </c>
      <c r="X30" s="113">
        <v>1837</v>
      </c>
    </row>
    <row r="31" spans="2:24" x14ac:dyDescent="0.3">
      <c r="B31" s="111" t="s">
        <v>899</v>
      </c>
      <c r="C31" s="111" t="s">
        <v>900</v>
      </c>
      <c r="D31" s="111">
        <v>210230</v>
      </c>
      <c r="E31" s="111" t="s">
        <v>489</v>
      </c>
      <c r="F31" s="111" t="s">
        <v>511</v>
      </c>
      <c r="G31" s="113">
        <v>32303090</v>
      </c>
      <c r="H31" s="113">
        <v>410705</v>
      </c>
      <c r="I31" s="113">
        <v>410705</v>
      </c>
      <c r="J31" s="111">
        <v>0</v>
      </c>
      <c r="K31" s="113">
        <v>31892385</v>
      </c>
      <c r="L31" s="111">
        <v>0</v>
      </c>
      <c r="M31" s="111">
        <v>0</v>
      </c>
      <c r="N31" s="111">
        <v>0</v>
      </c>
      <c r="O31" s="111">
        <v>0</v>
      </c>
      <c r="P31" s="111">
        <v>0</v>
      </c>
      <c r="Q31" s="111">
        <v>0</v>
      </c>
      <c r="R31" s="113">
        <v>31892385</v>
      </c>
      <c r="S31" s="113">
        <v>64159470</v>
      </c>
      <c r="T31" s="114">
        <v>44694</v>
      </c>
      <c r="U31" s="111">
        <v>8011339915</v>
      </c>
      <c r="V31" s="111">
        <v>2</v>
      </c>
      <c r="W31" s="114">
        <v>44694</v>
      </c>
      <c r="X31" s="113">
        <v>1906</v>
      </c>
    </row>
    <row r="32" spans="2:24" x14ac:dyDescent="0.3">
      <c r="B32" s="111" t="s">
        <v>901</v>
      </c>
      <c r="C32" s="111" t="s">
        <v>902</v>
      </c>
      <c r="D32" s="111">
        <v>210230</v>
      </c>
      <c r="E32" s="111" t="s">
        <v>489</v>
      </c>
      <c r="F32" s="111" t="s">
        <v>511</v>
      </c>
      <c r="G32" s="113">
        <v>34740113</v>
      </c>
      <c r="H32" s="111">
        <v>0</v>
      </c>
      <c r="I32" s="111">
        <v>0</v>
      </c>
      <c r="J32" s="111">
        <v>0</v>
      </c>
      <c r="K32" s="111">
        <v>0</v>
      </c>
      <c r="L32" s="111">
        <v>0</v>
      </c>
      <c r="M32" s="111">
        <v>0</v>
      </c>
      <c r="N32" s="111">
        <v>0</v>
      </c>
      <c r="O32" s="111">
        <v>0</v>
      </c>
      <c r="P32" s="113">
        <v>34740113</v>
      </c>
      <c r="Q32" s="111">
        <v>0</v>
      </c>
      <c r="R32" s="113">
        <v>34740113</v>
      </c>
      <c r="S32" s="111">
        <v>0</v>
      </c>
      <c r="T32" s="114">
        <v>44694</v>
      </c>
      <c r="U32" s="111">
        <v>8011339634</v>
      </c>
      <c r="V32" s="111">
        <v>2</v>
      </c>
      <c r="W32" s="114">
        <v>44694</v>
      </c>
      <c r="X32" s="113">
        <v>1800</v>
      </c>
    </row>
    <row r="33" spans="2:24" x14ac:dyDescent="0.3">
      <c r="B33" s="111" t="s">
        <v>903</v>
      </c>
      <c r="C33" s="111" t="s">
        <v>904</v>
      </c>
      <c r="D33" s="111">
        <v>210230</v>
      </c>
      <c r="E33" s="111" t="s">
        <v>489</v>
      </c>
      <c r="F33" s="111" t="s">
        <v>511</v>
      </c>
      <c r="G33" s="113">
        <v>49636676</v>
      </c>
      <c r="H33" s="111">
        <v>0</v>
      </c>
      <c r="I33" s="111">
        <v>0</v>
      </c>
      <c r="J33" s="111">
        <v>0</v>
      </c>
      <c r="K33" s="111">
        <v>0</v>
      </c>
      <c r="L33" s="111">
        <v>0</v>
      </c>
      <c r="M33" s="111">
        <v>0</v>
      </c>
      <c r="N33" s="111">
        <v>0</v>
      </c>
      <c r="O33" s="111">
        <v>0</v>
      </c>
      <c r="P33" s="113">
        <v>49636676</v>
      </c>
      <c r="Q33" s="111">
        <v>0</v>
      </c>
      <c r="R33" s="113">
        <v>49636676</v>
      </c>
      <c r="S33" s="111">
        <v>0</v>
      </c>
      <c r="T33" s="114">
        <v>44694</v>
      </c>
      <c r="U33" s="111">
        <v>8011339642</v>
      </c>
      <c r="V33" s="111">
        <v>2</v>
      </c>
      <c r="W33" s="114">
        <v>44694</v>
      </c>
      <c r="X33" s="113">
        <v>1864</v>
      </c>
    </row>
    <row r="34" spans="2:24" x14ac:dyDescent="0.3">
      <c r="B34" s="111" t="s">
        <v>905</v>
      </c>
      <c r="C34" s="111" t="s">
        <v>906</v>
      </c>
      <c r="D34" s="111">
        <v>210230</v>
      </c>
      <c r="E34" s="111" t="s">
        <v>489</v>
      </c>
      <c r="F34" s="111" t="s">
        <v>511</v>
      </c>
      <c r="G34" s="113">
        <v>64504913</v>
      </c>
      <c r="H34" s="111">
        <v>0</v>
      </c>
      <c r="I34" s="111">
        <v>0</v>
      </c>
      <c r="J34" s="111">
        <v>0</v>
      </c>
      <c r="K34" s="111">
        <v>0</v>
      </c>
      <c r="L34" s="111">
        <v>0</v>
      </c>
      <c r="M34" s="111">
        <v>0</v>
      </c>
      <c r="N34" s="111">
        <v>0</v>
      </c>
      <c r="O34" s="111">
        <v>0</v>
      </c>
      <c r="P34" s="113">
        <v>64504913</v>
      </c>
      <c r="Q34" s="111">
        <v>0</v>
      </c>
      <c r="R34" s="113">
        <v>64504913</v>
      </c>
      <c r="S34" s="111">
        <v>0</v>
      </c>
      <c r="T34" s="114">
        <v>44694</v>
      </c>
      <c r="U34" s="111">
        <v>8011339659</v>
      </c>
      <c r="V34" s="111">
        <v>2</v>
      </c>
      <c r="W34" s="114">
        <v>44694</v>
      </c>
      <c r="X34" s="113">
        <v>1873</v>
      </c>
    </row>
    <row r="35" spans="2:24" x14ac:dyDescent="0.3">
      <c r="B35" s="111" t="s">
        <v>907</v>
      </c>
      <c r="C35" s="111" t="s">
        <v>908</v>
      </c>
      <c r="D35" s="111">
        <v>210230</v>
      </c>
      <c r="E35" s="111" t="s">
        <v>489</v>
      </c>
      <c r="F35" s="111" t="s">
        <v>511</v>
      </c>
      <c r="G35" s="113">
        <v>35137161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0</v>
      </c>
      <c r="N35" s="111">
        <v>0</v>
      </c>
      <c r="O35" s="111">
        <v>0</v>
      </c>
      <c r="P35" s="113">
        <v>35137161</v>
      </c>
      <c r="Q35" s="111">
        <v>0</v>
      </c>
      <c r="R35" s="113">
        <v>35137161</v>
      </c>
      <c r="S35" s="111">
        <v>0</v>
      </c>
      <c r="T35" s="114">
        <v>44694</v>
      </c>
      <c r="U35" s="111">
        <v>8011339667</v>
      </c>
      <c r="V35" s="111">
        <v>2</v>
      </c>
      <c r="W35" s="114">
        <v>44694</v>
      </c>
      <c r="X35" s="113">
        <v>1869</v>
      </c>
    </row>
    <row r="36" spans="2:24" x14ac:dyDescent="0.3">
      <c r="B36" s="111" t="s">
        <v>909</v>
      </c>
      <c r="C36" s="111" t="s">
        <v>910</v>
      </c>
      <c r="D36" s="111">
        <v>210230</v>
      </c>
      <c r="E36" s="111" t="s">
        <v>489</v>
      </c>
      <c r="F36" s="111" t="s">
        <v>511</v>
      </c>
      <c r="G36" s="113">
        <v>50158543</v>
      </c>
      <c r="H36" s="111">
        <v>0</v>
      </c>
      <c r="I36" s="111">
        <v>0</v>
      </c>
      <c r="J36" s="111">
        <v>0</v>
      </c>
      <c r="K36" s="111">
        <v>0</v>
      </c>
      <c r="L36" s="111">
        <v>0</v>
      </c>
      <c r="M36" s="111">
        <v>0</v>
      </c>
      <c r="N36" s="111">
        <v>0</v>
      </c>
      <c r="O36" s="111">
        <v>0</v>
      </c>
      <c r="P36" s="113">
        <v>50158543</v>
      </c>
      <c r="Q36" s="111">
        <v>0</v>
      </c>
      <c r="R36" s="113">
        <v>50158543</v>
      </c>
      <c r="S36" s="111">
        <v>0</v>
      </c>
      <c r="T36" s="114">
        <v>44694</v>
      </c>
      <c r="U36" s="111">
        <v>8011339675</v>
      </c>
      <c r="V36" s="111">
        <v>2</v>
      </c>
      <c r="W36" s="114">
        <v>44694</v>
      </c>
      <c r="X36" s="113">
        <v>1903</v>
      </c>
    </row>
    <row r="37" spans="2:24" x14ac:dyDescent="0.3">
      <c r="B37" s="111" t="s">
        <v>911</v>
      </c>
      <c r="C37" s="111" t="s">
        <v>912</v>
      </c>
      <c r="D37" s="111">
        <v>210230</v>
      </c>
      <c r="E37" s="111" t="s">
        <v>489</v>
      </c>
      <c r="F37" s="111" t="s">
        <v>511</v>
      </c>
      <c r="G37" s="113">
        <v>65201022</v>
      </c>
      <c r="H37" s="111">
        <v>0</v>
      </c>
      <c r="I37" s="111">
        <v>0</v>
      </c>
      <c r="J37" s="111">
        <v>0</v>
      </c>
      <c r="K37" s="111">
        <v>0</v>
      </c>
      <c r="L37" s="111">
        <v>0</v>
      </c>
      <c r="M37" s="111">
        <v>0</v>
      </c>
      <c r="N37" s="111">
        <v>0</v>
      </c>
      <c r="O37" s="111">
        <v>0</v>
      </c>
      <c r="P37" s="113">
        <v>65201022</v>
      </c>
      <c r="Q37" s="111">
        <v>0</v>
      </c>
      <c r="R37" s="113">
        <v>65201022</v>
      </c>
      <c r="S37" s="111">
        <v>0</v>
      </c>
      <c r="T37" s="114">
        <v>44694</v>
      </c>
      <c r="U37" s="111">
        <v>8011339683</v>
      </c>
      <c r="V37" s="111">
        <v>2</v>
      </c>
      <c r="W37" s="114">
        <v>44694</v>
      </c>
      <c r="X37" s="113">
        <v>1905</v>
      </c>
    </row>
    <row r="38" spans="2:24" x14ac:dyDescent="0.3">
      <c r="B38" s="111" t="s">
        <v>913</v>
      </c>
      <c r="C38" s="111" t="s">
        <v>914</v>
      </c>
      <c r="D38" s="111">
        <v>210230</v>
      </c>
      <c r="E38" s="111" t="s">
        <v>489</v>
      </c>
      <c r="F38" s="111" t="s">
        <v>511</v>
      </c>
      <c r="G38" s="113">
        <v>35248951</v>
      </c>
      <c r="H38" s="111">
        <v>0</v>
      </c>
      <c r="I38" s="111">
        <v>0</v>
      </c>
      <c r="J38" s="111">
        <v>0</v>
      </c>
      <c r="K38" s="111">
        <v>0</v>
      </c>
      <c r="L38" s="111">
        <v>0</v>
      </c>
      <c r="M38" s="111">
        <v>0</v>
      </c>
      <c r="N38" s="111">
        <v>0</v>
      </c>
      <c r="O38" s="111">
        <v>0</v>
      </c>
      <c r="P38" s="113">
        <v>35248951</v>
      </c>
      <c r="Q38" s="111">
        <v>0</v>
      </c>
      <c r="R38" s="113">
        <v>35248951</v>
      </c>
      <c r="S38" s="111">
        <v>0</v>
      </c>
      <c r="T38" s="114">
        <v>44694</v>
      </c>
      <c r="U38" s="111">
        <v>8011339691</v>
      </c>
      <c r="V38" s="111">
        <v>2</v>
      </c>
      <c r="W38" s="114">
        <v>44694</v>
      </c>
      <c r="X38" s="113">
        <v>1901</v>
      </c>
    </row>
    <row r="39" spans="2:24" x14ac:dyDescent="0.3">
      <c r="B39" s="111" t="s">
        <v>915</v>
      </c>
      <c r="C39" s="111" t="s">
        <v>916</v>
      </c>
      <c r="D39" s="111">
        <v>210230</v>
      </c>
      <c r="E39" s="111" t="s">
        <v>489</v>
      </c>
      <c r="F39" s="111" t="s">
        <v>511</v>
      </c>
      <c r="G39" s="113">
        <v>50313133</v>
      </c>
      <c r="H39" s="111">
        <v>0</v>
      </c>
      <c r="I39" s="111">
        <v>0</v>
      </c>
      <c r="J39" s="111">
        <v>0</v>
      </c>
      <c r="K39" s="111">
        <v>0</v>
      </c>
      <c r="L39" s="111">
        <v>0</v>
      </c>
      <c r="M39" s="111">
        <v>0</v>
      </c>
      <c r="N39" s="111">
        <v>0</v>
      </c>
      <c r="O39" s="111">
        <v>0</v>
      </c>
      <c r="P39" s="113">
        <v>50313133</v>
      </c>
      <c r="Q39" s="111">
        <v>0</v>
      </c>
      <c r="R39" s="113">
        <v>50313133</v>
      </c>
      <c r="S39" s="111">
        <v>0</v>
      </c>
      <c r="T39" s="114">
        <v>44694</v>
      </c>
      <c r="U39" s="111">
        <v>8011339709</v>
      </c>
      <c r="V39" s="111">
        <v>2</v>
      </c>
      <c r="W39" s="114">
        <v>44694</v>
      </c>
      <c r="X39" s="113">
        <v>1909</v>
      </c>
    </row>
    <row r="40" spans="2:24" x14ac:dyDescent="0.3">
      <c r="B40" s="111" t="s">
        <v>917</v>
      </c>
      <c r="C40" s="111" t="s">
        <v>918</v>
      </c>
      <c r="D40" s="111">
        <v>210230</v>
      </c>
      <c r="E40" s="111" t="s">
        <v>489</v>
      </c>
      <c r="F40" s="111" t="s">
        <v>511</v>
      </c>
      <c r="G40" s="113">
        <v>65375101</v>
      </c>
      <c r="H40" s="111">
        <v>0</v>
      </c>
      <c r="I40" s="111">
        <v>0</v>
      </c>
      <c r="J40" s="111">
        <v>0</v>
      </c>
      <c r="K40" s="111">
        <v>0</v>
      </c>
      <c r="L40" s="111">
        <v>0</v>
      </c>
      <c r="M40" s="111">
        <v>0</v>
      </c>
      <c r="N40" s="111">
        <v>0</v>
      </c>
      <c r="O40" s="111">
        <v>0</v>
      </c>
      <c r="P40" s="113">
        <v>65375101</v>
      </c>
      <c r="Q40" s="111">
        <v>0</v>
      </c>
      <c r="R40" s="113">
        <v>65375101</v>
      </c>
      <c r="S40" s="111">
        <v>0</v>
      </c>
      <c r="T40" s="114">
        <v>44694</v>
      </c>
      <c r="U40" s="111">
        <v>8011339717</v>
      </c>
      <c r="V40" s="111">
        <v>2</v>
      </c>
      <c r="W40" s="114">
        <v>44694</v>
      </c>
      <c r="X40" s="113">
        <v>1830</v>
      </c>
    </row>
    <row r="41" spans="2:24" x14ac:dyDescent="0.3">
      <c r="B41" s="111" t="s">
        <v>465</v>
      </c>
      <c r="C41" s="111" t="s">
        <v>466</v>
      </c>
      <c r="D41" s="111">
        <v>210200</v>
      </c>
      <c r="E41" s="111" t="s">
        <v>512</v>
      </c>
      <c r="F41" s="111" t="s">
        <v>511</v>
      </c>
      <c r="G41" s="113">
        <v>5179993</v>
      </c>
      <c r="H41" s="113">
        <v>234813</v>
      </c>
      <c r="I41" s="113">
        <v>234813</v>
      </c>
      <c r="J41" s="111">
        <v>0</v>
      </c>
      <c r="K41" s="113">
        <v>4945180</v>
      </c>
      <c r="L41" s="111">
        <v>0</v>
      </c>
      <c r="M41" s="111">
        <v>0</v>
      </c>
      <c r="N41" s="111">
        <v>0</v>
      </c>
      <c r="O41" s="111">
        <v>0</v>
      </c>
      <c r="P41" s="111">
        <v>0</v>
      </c>
      <c r="Q41" s="111">
        <v>0</v>
      </c>
      <c r="R41" s="113">
        <v>4945180</v>
      </c>
      <c r="S41" s="113">
        <v>4975765</v>
      </c>
      <c r="T41" s="114">
        <v>44694</v>
      </c>
      <c r="U41" s="111">
        <v>220222525499</v>
      </c>
      <c r="V41" s="111">
        <v>2</v>
      </c>
      <c r="W41" s="114">
        <v>44694</v>
      </c>
      <c r="X41" s="113">
        <v>2054</v>
      </c>
    </row>
    <row r="42" spans="2:24" x14ac:dyDescent="0.3">
      <c r="B42" s="111" t="s">
        <v>474</v>
      </c>
      <c r="C42" s="111" t="s">
        <v>475</v>
      </c>
      <c r="D42" s="111">
        <v>210200</v>
      </c>
      <c r="E42" s="111" t="s">
        <v>512</v>
      </c>
      <c r="F42" s="111" t="s">
        <v>511</v>
      </c>
      <c r="G42" s="113">
        <v>5490402</v>
      </c>
      <c r="H42" s="113">
        <v>299062</v>
      </c>
      <c r="I42" s="113">
        <v>299062</v>
      </c>
      <c r="J42" s="111">
        <v>0</v>
      </c>
      <c r="K42" s="113">
        <v>5191340</v>
      </c>
      <c r="L42" s="111">
        <v>0</v>
      </c>
      <c r="M42" s="111">
        <v>0</v>
      </c>
      <c r="N42" s="111">
        <v>0</v>
      </c>
      <c r="O42" s="111">
        <v>0</v>
      </c>
      <c r="P42" s="111">
        <v>0</v>
      </c>
      <c r="Q42" s="111">
        <v>0</v>
      </c>
      <c r="R42" s="113">
        <v>5191340</v>
      </c>
      <c r="S42" s="113">
        <v>5264373</v>
      </c>
      <c r="T42" s="114">
        <v>44694</v>
      </c>
      <c r="U42" s="111">
        <v>220222525887</v>
      </c>
      <c r="V42" s="111">
        <v>2</v>
      </c>
      <c r="W42" s="114">
        <v>44694</v>
      </c>
      <c r="X42" s="113">
        <v>2155</v>
      </c>
    </row>
    <row r="43" spans="2:24" x14ac:dyDescent="0.3">
      <c r="B43" s="111" t="s">
        <v>478</v>
      </c>
      <c r="C43" s="111" t="s">
        <v>479</v>
      </c>
      <c r="D43" s="111">
        <v>210200</v>
      </c>
      <c r="E43" s="111" t="s">
        <v>512</v>
      </c>
      <c r="F43" s="111" t="s">
        <v>511</v>
      </c>
      <c r="G43" s="113">
        <v>5880893</v>
      </c>
      <c r="H43" s="113">
        <v>349603</v>
      </c>
      <c r="I43" s="113">
        <v>349603</v>
      </c>
      <c r="J43" s="111">
        <v>0</v>
      </c>
      <c r="K43" s="113">
        <v>5531290</v>
      </c>
      <c r="L43" s="111">
        <v>0</v>
      </c>
      <c r="M43" s="111">
        <v>0</v>
      </c>
      <c r="N43" s="111">
        <v>0</v>
      </c>
      <c r="O43" s="111">
        <v>0</v>
      </c>
      <c r="P43" s="111">
        <v>0</v>
      </c>
      <c r="Q43" s="111">
        <v>0</v>
      </c>
      <c r="R43" s="113">
        <v>5531290</v>
      </c>
      <c r="S43" s="113">
        <v>5596784</v>
      </c>
      <c r="T43" s="114">
        <v>44694</v>
      </c>
      <c r="U43" s="111">
        <v>220222526224</v>
      </c>
      <c r="V43" s="111">
        <v>2</v>
      </c>
      <c r="W43" s="114">
        <v>44694</v>
      </c>
      <c r="X43" s="113">
        <v>2194</v>
      </c>
    </row>
    <row r="44" spans="2:24" x14ac:dyDescent="0.3">
      <c r="B44" s="105"/>
      <c r="C44" s="105"/>
      <c r="D44" s="105"/>
      <c r="E44" s="105"/>
      <c r="F44" s="105"/>
      <c r="G44" s="106"/>
      <c r="H44" s="106"/>
      <c r="I44" s="106"/>
      <c r="J44" s="105"/>
      <c r="K44" s="106"/>
      <c r="L44" s="105"/>
      <c r="M44" s="105"/>
      <c r="N44" s="105"/>
      <c r="O44" s="105"/>
      <c r="P44" s="105"/>
      <c r="Q44" s="105"/>
      <c r="R44" s="106"/>
      <c r="S44" s="106"/>
      <c r="T44" s="107"/>
      <c r="U44" s="105"/>
      <c r="V44" s="105"/>
      <c r="W44" s="107"/>
      <c r="X44" s="106"/>
    </row>
    <row r="45" spans="2:24" x14ac:dyDescent="0.3">
      <c r="B45" s="105"/>
      <c r="C45" s="105"/>
      <c r="D45" s="105"/>
      <c r="E45" s="105"/>
      <c r="F45" s="105"/>
      <c r="G45" s="106"/>
      <c r="H45" s="106"/>
      <c r="I45" s="106"/>
      <c r="J45" s="105"/>
      <c r="K45" s="106"/>
      <c r="L45" s="105"/>
      <c r="M45" s="105"/>
      <c r="N45" s="105"/>
      <c r="O45" s="105"/>
      <c r="P45" s="105"/>
      <c r="Q45" s="105"/>
      <c r="R45" s="106"/>
      <c r="S45" s="106"/>
      <c r="T45" s="107"/>
      <c r="U45" s="105"/>
      <c r="V45" s="105"/>
      <c r="W45" s="107"/>
      <c r="X45" s="106"/>
    </row>
    <row r="46" spans="2:24" x14ac:dyDescent="0.3">
      <c r="B46" s="105"/>
      <c r="C46" s="105"/>
      <c r="D46" s="105"/>
      <c r="E46" s="105"/>
      <c r="F46" s="105"/>
      <c r="G46" s="106"/>
      <c r="H46" s="106"/>
      <c r="I46" s="106"/>
      <c r="J46" s="105"/>
      <c r="K46" s="106"/>
      <c r="L46" s="105"/>
      <c r="M46" s="105"/>
      <c r="N46" s="105"/>
      <c r="O46" s="105"/>
      <c r="P46" s="105"/>
      <c r="Q46" s="105"/>
      <c r="R46" s="106"/>
      <c r="S46" s="106"/>
      <c r="T46" s="107"/>
      <c r="U46" s="105"/>
      <c r="V46" s="105"/>
      <c r="W46" s="107"/>
      <c r="X46" s="106"/>
    </row>
    <row r="47" spans="2:24" x14ac:dyDescent="0.3">
      <c r="B47" s="105"/>
      <c r="C47" s="105"/>
      <c r="D47" s="105"/>
      <c r="E47" s="105"/>
      <c r="F47" s="105"/>
      <c r="G47" s="106"/>
      <c r="H47" s="106"/>
      <c r="I47" s="106"/>
      <c r="J47" s="105"/>
      <c r="K47" s="106"/>
      <c r="L47" s="105"/>
      <c r="M47" s="105"/>
      <c r="N47" s="105"/>
      <c r="O47" s="105"/>
      <c r="P47" s="105"/>
      <c r="Q47" s="105"/>
      <c r="R47" s="106"/>
      <c r="S47" s="106"/>
      <c r="T47" s="107"/>
      <c r="U47" s="105"/>
      <c r="V47" s="105"/>
      <c r="W47" s="107"/>
      <c r="X47" s="106"/>
    </row>
    <row r="48" spans="2:24" x14ac:dyDescent="0.3">
      <c r="B48" s="105"/>
      <c r="C48" s="105"/>
      <c r="D48" s="105"/>
      <c r="E48" s="105"/>
      <c r="F48" s="105"/>
      <c r="G48" s="106"/>
      <c r="H48" s="106"/>
      <c r="I48" s="106"/>
      <c r="J48" s="105"/>
      <c r="K48" s="106"/>
      <c r="L48" s="105"/>
      <c r="M48" s="105"/>
      <c r="N48" s="105"/>
      <c r="O48" s="105"/>
      <c r="P48" s="105"/>
      <c r="Q48" s="105"/>
      <c r="R48" s="106"/>
      <c r="S48" s="106"/>
      <c r="T48" s="107"/>
      <c r="U48" s="105"/>
      <c r="V48" s="105"/>
      <c r="W48" s="107"/>
      <c r="X48" s="106"/>
    </row>
    <row r="49" spans="2:24" x14ac:dyDescent="0.3">
      <c r="B49" s="105"/>
      <c r="C49" s="105"/>
      <c r="D49" s="105"/>
      <c r="E49" s="105"/>
      <c r="F49" s="105"/>
      <c r="G49" s="106"/>
      <c r="H49" s="106"/>
      <c r="I49" s="106"/>
      <c r="J49" s="105"/>
      <c r="K49" s="106"/>
      <c r="L49" s="105"/>
      <c r="M49" s="105"/>
      <c r="N49" s="105"/>
      <c r="O49" s="105"/>
      <c r="P49" s="105"/>
      <c r="Q49" s="105"/>
      <c r="R49" s="106"/>
      <c r="S49" s="106"/>
      <c r="T49" s="107"/>
      <c r="U49" s="105"/>
      <c r="V49" s="105"/>
      <c r="W49" s="107"/>
      <c r="X49" s="106"/>
    </row>
    <row r="50" spans="2:24" x14ac:dyDescent="0.3">
      <c r="B50" s="105"/>
      <c r="C50" s="105"/>
      <c r="D50" s="105"/>
      <c r="E50" s="105"/>
      <c r="F50" s="105"/>
      <c r="G50" s="106"/>
      <c r="H50" s="105"/>
      <c r="I50" s="105"/>
      <c r="J50" s="105"/>
      <c r="K50" s="105"/>
      <c r="L50" s="105"/>
      <c r="M50" s="105"/>
      <c r="N50" s="105"/>
      <c r="O50" s="105"/>
      <c r="P50" s="106"/>
      <c r="Q50" s="105"/>
      <c r="R50" s="106"/>
      <c r="S50" s="105"/>
      <c r="T50" s="107"/>
      <c r="U50" s="105"/>
      <c r="V50" s="105"/>
      <c r="W50" s="107"/>
      <c r="X50" s="106"/>
    </row>
    <row r="51" spans="2:24" x14ac:dyDescent="0.3">
      <c r="B51" s="105"/>
      <c r="C51" s="105"/>
      <c r="D51" s="105"/>
      <c r="E51" s="105"/>
      <c r="F51" s="105"/>
      <c r="G51" s="106"/>
      <c r="H51" s="105"/>
      <c r="I51" s="105"/>
      <c r="J51" s="105"/>
      <c r="K51" s="105"/>
      <c r="L51" s="105"/>
      <c r="M51" s="105"/>
      <c r="N51" s="105"/>
      <c r="O51" s="105"/>
      <c r="P51" s="106"/>
      <c r="Q51" s="105"/>
      <c r="R51" s="106"/>
      <c r="S51" s="105"/>
      <c r="T51" s="107"/>
      <c r="U51" s="105"/>
      <c r="V51" s="105"/>
      <c r="W51" s="107"/>
      <c r="X51" s="106"/>
    </row>
    <row r="52" spans="2:24" x14ac:dyDescent="0.3">
      <c r="B52" s="105"/>
      <c r="C52" s="105"/>
      <c r="D52" s="105"/>
      <c r="E52" s="105"/>
      <c r="F52" s="105"/>
      <c r="G52" s="106"/>
      <c r="H52" s="105"/>
      <c r="I52" s="105"/>
      <c r="J52" s="105"/>
      <c r="K52" s="105"/>
      <c r="L52" s="105"/>
      <c r="M52" s="105"/>
      <c r="N52" s="105"/>
      <c r="O52" s="105"/>
      <c r="P52" s="106"/>
      <c r="Q52" s="105"/>
      <c r="R52" s="106"/>
      <c r="S52" s="105"/>
      <c r="T52" s="107"/>
      <c r="U52" s="105"/>
      <c r="V52" s="105"/>
      <c r="W52" s="107"/>
      <c r="X52" s="106"/>
    </row>
    <row r="53" spans="2:24" x14ac:dyDescent="0.3">
      <c r="B53" s="105"/>
      <c r="C53" s="105"/>
      <c r="D53" s="105"/>
      <c r="E53" s="105"/>
      <c r="F53" s="105"/>
      <c r="G53" s="106"/>
      <c r="H53" s="105"/>
      <c r="I53" s="105"/>
      <c r="J53" s="105"/>
      <c r="K53" s="105"/>
      <c r="L53" s="105"/>
      <c r="M53" s="105"/>
      <c r="N53" s="105"/>
      <c r="O53" s="105"/>
      <c r="P53" s="106"/>
      <c r="Q53" s="105"/>
      <c r="R53" s="106"/>
      <c r="S53" s="105"/>
      <c r="T53" s="107"/>
      <c r="U53" s="105"/>
      <c r="V53" s="105"/>
      <c r="W53" s="107"/>
      <c r="X53" s="106"/>
    </row>
    <row r="54" spans="2:24" x14ac:dyDescent="0.3">
      <c r="B54" s="105"/>
      <c r="C54" s="105"/>
      <c r="D54" s="105"/>
      <c r="E54" s="105"/>
      <c r="F54" s="105"/>
      <c r="G54" s="106"/>
      <c r="H54" s="105"/>
      <c r="I54" s="105"/>
      <c r="J54" s="105"/>
      <c r="K54" s="105"/>
      <c r="L54" s="105"/>
      <c r="M54" s="105"/>
      <c r="N54" s="105"/>
      <c r="O54" s="105"/>
      <c r="P54" s="106"/>
      <c r="Q54" s="105"/>
      <c r="R54" s="106"/>
      <c r="S54" s="105"/>
      <c r="T54" s="107"/>
      <c r="U54" s="105"/>
      <c r="V54" s="105"/>
      <c r="W54" s="107"/>
      <c r="X54" s="106"/>
    </row>
    <row r="55" spans="2:24" x14ac:dyDescent="0.3">
      <c r="B55" s="105"/>
      <c r="C55" s="105"/>
      <c r="D55" s="105"/>
      <c r="E55" s="105"/>
      <c r="F55" s="105"/>
      <c r="G55" s="106"/>
      <c r="H55" s="105"/>
      <c r="I55" s="105"/>
      <c r="J55" s="105"/>
      <c r="K55" s="105"/>
      <c r="L55" s="105"/>
      <c r="M55" s="105"/>
      <c r="N55" s="105"/>
      <c r="O55" s="105"/>
      <c r="P55" s="106"/>
      <c r="Q55" s="105"/>
      <c r="R55" s="106"/>
      <c r="S55" s="105"/>
      <c r="T55" s="107"/>
      <c r="U55" s="105"/>
      <c r="V55" s="105"/>
      <c r="W55" s="107"/>
      <c r="X55" s="106"/>
    </row>
    <row r="56" spans="2:24" x14ac:dyDescent="0.3">
      <c r="B56" s="105"/>
      <c r="C56" s="105"/>
      <c r="D56" s="105"/>
      <c r="E56" s="105"/>
      <c r="F56" s="105"/>
      <c r="G56" s="106"/>
      <c r="H56" s="105"/>
      <c r="I56" s="105"/>
      <c r="J56" s="105"/>
      <c r="K56" s="105"/>
      <c r="L56" s="105"/>
      <c r="M56" s="105"/>
      <c r="N56" s="105"/>
      <c r="O56" s="105"/>
      <c r="P56" s="106"/>
      <c r="Q56" s="105"/>
      <c r="R56" s="106"/>
      <c r="S56" s="105"/>
      <c r="T56" s="107"/>
      <c r="U56" s="105"/>
      <c r="V56" s="105"/>
      <c r="W56" s="107"/>
      <c r="X56" s="106"/>
    </row>
    <row r="57" spans="2:24" x14ac:dyDescent="0.3">
      <c r="B57" s="105"/>
      <c r="C57" s="105"/>
      <c r="D57" s="105"/>
      <c r="E57" s="105"/>
      <c r="F57" s="105"/>
      <c r="G57" s="106"/>
      <c r="H57" s="105"/>
      <c r="I57" s="105"/>
      <c r="J57" s="105"/>
      <c r="K57" s="105"/>
      <c r="L57" s="105"/>
      <c r="M57" s="105"/>
      <c r="N57" s="105"/>
      <c r="O57" s="105"/>
      <c r="P57" s="106"/>
      <c r="Q57" s="105"/>
      <c r="R57" s="106"/>
      <c r="S57" s="105"/>
      <c r="T57" s="107"/>
      <c r="U57" s="105"/>
      <c r="V57" s="105"/>
      <c r="W57" s="107"/>
      <c r="X57" s="106"/>
    </row>
    <row r="58" spans="2:24" x14ac:dyDescent="0.3">
      <c r="B58" s="105"/>
      <c r="C58" s="105"/>
      <c r="D58" s="105"/>
      <c r="E58" s="105"/>
      <c r="F58" s="105"/>
      <c r="G58" s="106"/>
      <c r="H58" s="105"/>
      <c r="I58" s="105"/>
      <c r="J58" s="105"/>
      <c r="K58" s="105"/>
      <c r="L58" s="105"/>
      <c r="M58" s="105"/>
      <c r="N58" s="105"/>
      <c r="O58" s="105"/>
      <c r="P58" s="106"/>
      <c r="Q58" s="105"/>
      <c r="R58" s="106"/>
      <c r="S58" s="105"/>
      <c r="T58" s="107"/>
      <c r="U58" s="105"/>
      <c r="V58" s="105"/>
      <c r="W58" s="107"/>
      <c r="X58" s="106"/>
    </row>
    <row r="59" spans="2:24" x14ac:dyDescent="0.3">
      <c r="B59" s="105"/>
      <c r="C59" s="105"/>
      <c r="D59" s="105"/>
      <c r="E59" s="105"/>
      <c r="F59" s="105"/>
      <c r="G59" s="106"/>
      <c r="H59" s="106"/>
      <c r="I59" s="106"/>
      <c r="J59" s="105"/>
      <c r="K59" s="106"/>
      <c r="L59" s="105"/>
      <c r="M59" s="105"/>
      <c r="N59" s="105"/>
      <c r="O59" s="105"/>
      <c r="P59" s="105"/>
      <c r="Q59" s="105"/>
      <c r="R59" s="106"/>
      <c r="S59" s="106"/>
      <c r="T59" s="107"/>
      <c r="U59" s="105"/>
      <c r="V59" s="105"/>
      <c r="W59" s="107"/>
      <c r="X59" s="106"/>
    </row>
    <row r="60" spans="2:24" x14ac:dyDescent="0.3">
      <c r="B60" s="105"/>
      <c r="C60" s="105"/>
      <c r="D60" s="105"/>
      <c r="E60" s="105"/>
      <c r="F60" s="105"/>
      <c r="G60" s="106"/>
      <c r="H60" s="106"/>
      <c r="I60" s="106"/>
      <c r="J60" s="105"/>
      <c r="K60" s="106"/>
      <c r="L60" s="105"/>
      <c r="M60" s="105"/>
      <c r="N60" s="105"/>
      <c r="O60" s="105"/>
      <c r="P60" s="105"/>
      <c r="Q60" s="105"/>
      <c r="R60" s="106"/>
      <c r="S60" s="106"/>
      <c r="T60" s="107"/>
      <c r="U60" s="105"/>
      <c r="V60" s="105"/>
      <c r="W60" s="107"/>
      <c r="X60" s="106"/>
    </row>
    <row r="61" spans="2:24" x14ac:dyDescent="0.3">
      <c r="B61" s="105"/>
      <c r="C61" s="105"/>
      <c r="D61" s="105"/>
      <c r="E61" s="105"/>
      <c r="F61" s="105"/>
      <c r="G61" s="106"/>
      <c r="H61" s="106"/>
      <c r="I61" s="106"/>
      <c r="J61" s="105"/>
      <c r="K61" s="106"/>
      <c r="L61" s="105"/>
      <c r="M61" s="105"/>
      <c r="N61" s="105"/>
      <c r="O61" s="105"/>
      <c r="P61" s="105"/>
      <c r="Q61" s="105"/>
      <c r="R61" s="106"/>
      <c r="S61" s="106"/>
      <c r="T61" s="107"/>
      <c r="U61" s="105"/>
      <c r="V61" s="105"/>
      <c r="W61" s="107"/>
      <c r="X61" s="10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B10"/>
  <sheetViews>
    <sheetView workbookViewId="0">
      <selection activeCell="G29" sqref="G29"/>
    </sheetView>
  </sheetViews>
  <sheetFormatPr defaultRowHeight="16.5" x14ac:dyDescent="0.3"/>
  <cols>
    <col min="1" max="1" width="2.5" customWidth="1"/>
  </cols>
  <sheetData>
    <row r="3" spans="2:2" ht="20.25" x14ac:dyDescent="0.3">
      <c r="B3" s="26" t="s">
        <v>95</v>
      </c>
    </row>
    <row r="4" spans="2:2" ht="20.25" x14ac:dyDescent="0.3">
      <c r="B4" s="27" t="s">
        <v>26</v>
      </c>
    </row>
    <row r="5" spans="2:2" ht="20.25" x14ac:dyDescent="0.3">
      <c r="B5" s="27" t="s">
        <v>58</v>
      </c>
    </row>
    <row r="6" spans="2:2" ht="20.25" x14ac:dyDescent="0.3">
      <c r="B6" s="27" t="s">
        <v>59</v>
      </c>
    </row>
    <row r="7" spans="2:2" ht="20.25" x14ac:dyDescent="0.3">
      <c r="B7" s="27" t="s">
        <v>60</v>
      </c>
    </row>
    <row r="8" spans="2:2" ht="20.25" x14ac:dyDescent="0.3">
      <c r="B8" s="27" t="s">
        <v>61</v>
      </c>
    </row>
    <row r="9" spans="2:2" ht="20.25" x14ac:dyDescent="0.3">
      <c r="B9" s="27" t="s">
        <v>62</v>
      </c>
    </row>
    <row r="10" spans="2:2" ht="20.25" x14ac:dyDescent="0.3">
      <c r="B10" s="27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14"/>
  <sheetViews>
    <sheetView workbookViewId="0">
      <selection activeCell="G94" sqref="G94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23.125" bestFit="1" customWidth="1"/>
    <col min="4" max="4" width="14.375" bestFit="1" customWidth="1"/>
    <col min="6" max="6" width="14.625" bestFit="1" customWidth="1"/>
    <col min="7" max="7" width="23.125" customWidth="1"/>
    <col min="8" max="9" width="12.5" customWidth="1"/>
    <col min="10" max="10" width="13.375" customWidth="1"/>
    <col min="11" max="11" width="23.25" customWidth="1"/>
  </cols>
  <sheetData>
    <row r="1" spans="1:11" x14ac:dyDescent="0.3">
      <c r="A1" s="49" t="s">
        <v>34</v>
      </c>
      <c r="B1" s="49" t="s">
        <v>9</v>
      </c>
      <c r="C1" s="50" t="s">
        <v>42</v>
      </c>
      <c r="D1" s="49" t="s">
        <v>35</v>
      </c>
      <c r="E1" s="49" t="s">
        <v>21</v>
      </c>
      <c r="F1" s="49" t="s">
        <v>36</v>
      </c>
      <c r="G1" s="49" t="s">
        <v>22</v>
      </c>
      <c r="H1" s="49" t="s">
        <v>37</v>
      </c>
      <c r="I1" s="49" t="s">
        <v>41</v>
      </c>
      <c r="J1" s="49" t="s">
        <v>38</v>
      </c>
      <c r="K1" s="65" t="s">
        <v>100</v>
      </c>
    </row>
    <row r="2" spans="1:11" x14ac:dyDescent="0.3">
      <c r="A2" s="66">
        <f>'50578'!$R$1</f>
        <v>44694</v>
      </c>
      <c r="B2" s="79" t="s">
        <v>295</v>
      </c>
      <c r="C2" s="80" t="str">
        <f>IF(MID(K2,6,2)="공격", "변동성 공격투자형", IF(MID(K2,6,2)="안정", "변동성 안정형", "변동성 위험수익중립형"))</f>
        <v>변동성 공격투자형</v>
      </c>
      <c r="D2" s="10" t="str">
        <f>IF(RIGHT(K2,3)="공격1","080-11-332571",IF(RIGHT(K2,3)="공격2","080-11-332746",IF(RIGHT(K2,3)="공격3","080-11-332753",IF(RIGHT(K2,3)="안정1","080-11-332761",IF(RIGHT(K2,3)="안정2","080-11-332779",IF(RIGHT(K2,3)="안정3","080-11-332787",IF(RIGHT(K2,3)="중립1","080-11-332795",IF(RIGHT(K2,3)="중립2","080-11-332803",IF(RIGHT(K2,3)="중립3","080-11-332811","")))))))))</f>
        <v>080-11-332571</v>
      </c>
      <c r="E2" s="16" t="str">
        <f>IF(H2&lt;0,"매도",IF(H2&gt;0,"매수",""))</f>
        <v>매수</v>
      </c>
      <c r="F2" s="16" t="str">
        <f>'50578'!M4</f>
        <v>A069500</v>
      </c>
      <c r="G2" s="16" t="str">
        <f>'50578'!E4</f>
        <v>KODEX 200</v>
      </c>
      <c r="H2" s="16">
        <f>'50578'!F4</f>
        <v>1</v>
      </c>
      <c r="I2" s="73">
        <f>SUMIFS('12501'!H:H,'12501'!C:C,전체매매내역!K2,'12501'!F:F,전체매매내역!G2)</f>
        <v>0</v>
      </c>
      <c r="J2" s="40">
        <f>'50578'!G4</f>
        <v>53</v>
      </c>
      <c r="K2" s="74" t="str">
        <f>'50578'!C4</f>
        <v>미래변동성공격1</v>
      </c>
    </row>
    <row r="3" spans="1:11" x14ac:dyDescent="0.3">
      <c r="A3" s="66">
        <f>'50578'!$R$1</f>
        <v>44694</v>
      </c>
      <c r="B3" s="79" t="s">
        <v>295</v>
      </c>
      <c r="C3" s="80" t="str">
        <f t="shared" ref="C3:C19" si="0">IF(MID(K3,6,2)="공격", "변동성 공격투자형", IF(MID(K3,6,2)="안정", "변동성 안정형", "변동성 위험수익중립형"))</f>
        <v>변동성 공격투자형</v>
      </c>
      <c r="D3" s="10" t="str">
        <f t="shared" ref="D3:D19" si="1">IF(RIGHT(K3,3)="공격1","080-11-332571",IF(RIGHT(K3,3)="공격2","080-11-332746",IF(RIGHT(K3,3)="공격3","080-11-332753",IF(RIGHT(K3,3)="안정1","080-11-332761",IF(RIGHT(K3,3)="안정2","080-11-332779",IF(RIGHT(K3,3)="안정3","080-11-332787",IF(RIGHT(K3,3)="중립1","080-11-332795",IF(RIGHT(K3,3)="중립2","080-11-332803",IF(RIGHT(K3,3)="중립3","080-11-332811","")))))))))</f>
        <v>080-11-332571</v>
      </c>
      <c r="E3" s="16" t="str">
        <f t="shared" ref="E3:E19" si="2">IF(H3&lt;0,"매도",IF(H3&gt;0,"매수",""))</f>
        <v>매수</v>
      </c>
      <c r="F3" s="16" t="str">
        <f>'50578'!M5</f>
        <v>A102110</v>
      </c>
      <c r="G3" s="16" t="str">
        <f>'50578'!E5</f>
        <v>TIGER 200</v>
      </c>
      <c r="H3" s="16">
        <f>'50578'!F5</f>
        <v>1</v>
      </c>
      <c r="I3" s="73">
        <f>SUMIFS('12501'!H:H,'12501'!C:C,전체매매내역!K3,'12501'!F:F,전체매매내역!G3)</f>
        <v>0</v>
      </c>
      <c r="J3" s="40">
        <f>'50578'!G5</f>
        <v>53</v>
      </c>
      <c r="K3" s="74" t="str">
        <f>'50578'!C5</f>
        <v>미래변동성공격1</v>
      </c>
    </row>
    <row r="4" spans="1:11" hidden="1" x14ac:dyDescent="0.3">
      <c r="A4" s="66">
        <f>'50578'!$R$1</f>
        <v>44694</v>
      </c>
      <c r="B4" s="79" t="s">
        <v>295</v>
      </c>
      <c r="C4" s="80" t="str">
        <f t="shared" si="0"/>
        <v>변동성 공격투자형</v>
      </c>
      <c r="D4" s="10" t="str">
        <f t="shared" si="1"/>
        <v>080-11-332571</v>
      </c>
      <c r="E4" s="16" t="str">
        <f t="shared" si="2"/>
        <v/>
      </c>
      <c r="F4" s="16" t="str">
        <f>'50578'!M6</f>
        <v>A130730</v>
      </c>
      <c r="G4" s="16" t="str">
        <f>'50578'!E6</f>
        <v>KOSEF 단기자금</v>
      </c>
      <c r="H4" s="16">
        <f>'50578'!F6</f>
        <v>0</v>
      </c>
      <c r="I4" s="73">
        <f>SUMIFS('12501'!H:H,'12501'!C:C,전체매매내역!K4,'12501'!F:F,전체매매내역!G4)</f>
        <v>0</v>
      </c>
      <c r="J4" s="40">
        <f>'50578'!G6</f>
        <v>3</v>
      </c>
      <c r="K4" s="74" t="str">
        <f>'50578'!C6</f>
        <v>미래변동성공격1</v>
      </c>
    </row>
    <row r="5" spans="1:11" x14ac:dyDescent="0.3">
      <c r="A5" s="66">
        <f>'50578'!$R$1</f>
        <v>44694</v>
      </c>
      <c r="B5" s="79" t="s">
        <v>295</v>
      </c>
      <c r="C5" s="80" t="str">
        <f t="shared" si="0"/>
        <v>변동성 공격투자형</v>
      </c>
      <c r="D5" s="10" t="str">
        <f t="shared" si="1"/>
        <v>080-11-332571</v>
      </c>
      <c r="E5" s="16" t="str">
        <f t="shared" si="2"/>
        <v>매수</v>
      </c>
      <c r="F5" s="16" t="str">
        <f>'50578'!M7</f>
        <v>A148020</v>
      </c>
      <c r="G5" s="16" t="str">
        <f>'50578'!E7</f>
        <v>KBSTAR 200</v>
      </c>
      <c r="H5" s="16">
        <f>'50578'!F7</f>
        <v>1</v>
      </c>
      <c r="I5" s="73">
        <f>SUMIFS('12501'!H:H,'12501'!C:C,전체매매내역!K5,'12501'!F:F,전체매매내역!G5)</f>
        <v>0</v>
      </c>
      <c r="J5" s="40">
        <f>'50578'!G7</f>
        <v>52</v>
      </c>
      <c r="K5" s="74" t="str">
        <f>'50578'!C7</f>
        <v>미래변동성공격1</v>
      </c>
    </row>
    <row r="6" spans="1:11" hidden="1" x14ac:dyDescent="0.3">
      <c r="A6" s="66">
        <f>'50578'!$R$1</f>
        <v>44694</v>
      </c>
      <c r="B6" s="79" t="s">
        <v>295</v>
      </c>
      <c r="C6" s="80" t="str">
        <f t="shared" si="0"/>
        <v>변동성 공격투자형</v>
      </c>
      <c r="D6" s="10" t="str">
        <f t="shared" si="1"/>
        <v>080-11-332571</v>
      </c>
      <c r="E6" s="16" t="str">
        <f t="shared" si="2"/>
        <v/>
      </c>
      <c r="F6" s="16" t="str">
        <f>'50578'!M8</f>
        <v>A196230</v>
      </c>
      <c r="G6" s="16" t="str">
        <f>'50578'!E8</f>
        <v>KBSTAR 단기통안채</v>
      </c>
      <c r="H6" s="16">
        <f>'50578'!F8</f>
        <v>0</v>
      </c>
      <c r="I6" s="73">
        <f>SUMIFS('12501'!H:H,'12501'!C:C,전체매매내역!K6,'12501'!F:F,전체매매내역!G6)</f>
        <v>0</v>
      </c>
      <c r="J6" s="40">
        <f>'50578'!G8</f>
        <v>3</v>
      </c>
      <c r="K6" s="74" t="str">
        <f>'50578'!C8</f>
        <v>미래변동성공격1</v>
      </c>
    </row>
    <row r="7" spans="1:11" hidden="1" x14ac:dyDescent="0.3">
      <c r="A7" s="66">
        <f>'50578'!$R$1</f>
        <v>44694</v>
      </c>
      <c r="B7" s="79" t="s">
        <v>295</v>
      </c>
      <c r="C7" s="80" t="str">
        <f t="shared" si="0"/>
        <v>변동성 공격투자형</v>
      </c>
      <c r="D7" s="10" t="str">
        <f t="shared" si="1"/>
        <v>080-11-332571</v>
      </c>
      <c r="E7" s="16" t="str">
        <f t="shared" si="2"/>
        <v/>
      </c>
      <c r="F7" s="16" t="str">
        <f>'50578'!M9</f>
        <v>A272580</v>
      </c>
      <c r="G7" s="16" t="str">
        <f>'50578'!E9</f>
        <v>TIGER 단기채권액티브</v>
      </c>
      <c r="H7" s="16">
        <f>'50578'!F9</f>
        <v>0</v>
      </c>
      <c r="I7" s="73">
        <f>SUMIFS('12501'!H:H,'12501'!C:C,전체매매내역!K7,'12501'!F:F,전체매매내역!G7)</f>
        <v>0</v>
      </c>
      <c r="J7" s="40">
        <f>'50578'!G9</f>
        <v>5</v>
      </c>
      <c r="K7" s="74" t="str">
        <f>'50578'!C9</f>
        <v>미래변동성공격1</v>
      </c>
    </row>
    <row r="8" spans="1:11" hidden="1" x14ac:dyDescent="0.3">
      <c r="A8" s="66">
        <f>'50578'!$R$1</f>
        <v>44694</v>
      </c>
      <c r="B8" s="79" t="s">
        <v>295</v>
      </c>
      <c r="C8" s="80" t="str">
        <f t="shared" si="0"/>
        <v>변동성 공격투자형</v>
      </c>
      <c r="D8" s="10" t="str">
        <f t="shared" si="1"/>
        <v>080-11-332571</v>
      </c>
      <c r="E8" s="16" t="str">
        <f t="shared" si="2"/>
        <v/>
      </c>
      <c r="F8" s="16">
        <f>'50578'!M10</f>
        <v>0</v>
      </c>
      <c r="G8" s="16" t="str">
        <f>'50578'!E10</f>
        <v>원화예금</v>
      </c>
      <c r="H8" s="16">
        <f>'50578'!F10</f>
        <v>0</v>
      </c>
      <c r="I8" s="73">
        <f>SUMIFS('12501'!H:H,'12501'!C:C,전체매매내역!K8,'12501'!F:F,전체매매내역!G8)</f>
        <v>0</v>
      </c>
      <c r="J8" s="40">
        <f>'50578'!G10</f>
        <v>223533</v>
      </c>
      <c r="K8" s="74" t="str">
        <f>'50578'!C10</f>
        <v>미래변동성공격1</v>
      </c>
    </row>
    <row r="9" spans="1:11" hidden="1" x14ac:dyDescent="0.3">
      <c r="A9" s="66">
        <f>'50578'!$R$1</f>
        <v>44694</v>
      </c>
      <c r="B9" s="79" t="s">
        <v>295</v>
      </c>
      <c r="C9" s="80" t="str">
        <f t="shared" si="0"/>
        <v>변동성 공격투자형</v>
      </c>
      <c r="D9" s="10" t="str">
        <f t="shared" si="1"/>
        <v>080-11-332571</v>
      </c>
      <c r="E9" s="16" t="str">
        <f t="shared" si="2"/>
        <v>매수</v>
      </c>
      <c r="F9" s="16">
        <f>'50578'!M11</f>
        <v>0</v>
      </c>
      <c r="G9" s="16">
        <f>'50578'!E11</f>
        <v>0</v>
      </c>
      <c r="H9" s="16">
        <f>'50578'!F11</f>
        <v>3</v>
      </c>
      <c r="I9" s="73">
        <f>SUMIFS('12501'!H:H,'12501'!C:C,전체매매내역!K9,'12501'!F:F,전체매매내역!G9)</f>
        <v>0</v>
      </c>
      <c r="J9" s="40">
        <f>'50578'!G11</f>
        <v>223702</v>
      </c>
      <c r="K9" s="74" t="str">
        <f>'50578'!C11</f>
        <v>미래변동성공격1</v>
      </c>
    </row>
    <row r="10" spans="1:11" x14ac:dyDescent="0.3">
      <c r="A10" s="66">
        <f>'50578'!$R$1</f>
        <v>44694</v>
      </c>
      <c r="B10" s="79" t="s">
        <v>295</v>
      </c>
      <c r="C10" s="80" t="str">
        <f t="shared" si="0"/>
        <v>변동성 공격투자형</v>
      </c>
      <c r="D10" s="10" t="str">
        <f t="shared" si="1"/>
        <v>080-11-332746</v>
      </c>
      <c r="E10" s="16" t="str">
        <f t="shared" si="2"/>
        <v>매수</v>
      </c>
      <c r="F10" s="16" t="str">
        <f>'50578'!M12</f>
        <v>A069500</v>
      </c>
      <c r="G10" s="16" t="str">
        <f>'50578'!E12</f>
        <v>KODEX 200</v>
      </c>
      <c r="H10" s="16">
        <f>'50578'!F12</f>
        <v>1</v>
      </c>
      <c r="I10" s="73">
        <f>SUMIFS('12501'!H:H,'12501'!C:C,전체매매내역!K10,'12501'!F:F,전체매매내역!G10)</f>
        <v>34605</v>
      </c>
      <c r="J10" s="40">
        <f>'50578'!G12</f>
        <v>75</v>
      </c>
      <c r="K10" s="74" t="str">
        <f>'50578'!C12</f>
        <v>미래변동성공격2</v>
      </c>
    </row>
    <row r="11" spans="1:11" x14ac:dyDescent="0.3">
      <c r="A11" s="66">
        <f>'50578'!$R$1</f>
        <v>44694</v>
      </c>
      <c r="B11" s="79" t="s">
        <v>295</v>
      </c>
      <c r="C11" s="80" t="str">
        <f t="shared" si="0"/>
        <v>변동성 공격투자형</v>
      </c>
      <c r="D11" s="10" t="str">
        <f t="shared" si="1"/>
        <v>080-11-332746</v>
      </c>
      <c r="E11" s="16" t="str">
        <f t="shared" si="2"/>
        <v>매수</v>
      </c>
      <c r="F11" s="16" t="str">
        <f>'50578'!M13</f>
        <v>A102110</v>
      </c>
      <c r="G11" s="16" t="str">
        <f>'50578'!E13</f>
        <v>TIGER 200</v>
      </c>
      <c r="H11" s="16">
        <f>'50578'!F13</f>
        <v>1</v>
      </c>
      <c r="I11" s="73">
        <f>SUMIFS('12501'!H:H,'12501'!C:C,전체매매내역!K11,'12501'!F:F,전체매매내역!G11)</f>
        <v>34670</v>
      </c>
      <c r="J11" s="40">
        <f>'50578'!G13</f>
        <v>75</v>
      </c>
      <c r="K11" s="74" t="str">
        <f>'50578'!C13</f>
        <v>미래변동성공격2</v>
      </c>
    </row>
    <row r="12" spans="1:11" hidden="1" x14ac:dyDescent="0.3">
      <c r="A12" s="66">
        <f>'50578'!$R$1</f>
        <v>44694</v>
      </c>
      <c r="B12" s="79" t="s">
        <v>295</v>
      </c>
      <c r="C12" s="80" t="str">
        <f t="shared" si="0"/>
        <v>변동성 공격투자형</v>
      </c>
      <c r="D12" s="10" t="str">
        <f t="shared" si="1"/>
        <v>080-11-332746</v>
      </c>
      <c r="E12" s="16" t="str">
        <f t="shared" si="2"/>
        <v/>
      </c>
      <c r="F12" s="16" t="str">
        <f>'50578'!M14</f>
        <v>A130730</v>
      </c>
      <c r="G12" s="16" t="str">
        <f>'50578'!E14</f>
        <v>KOSEF 단기자금</v>
      </c>
      <c r="H12" s="16">
        <f>'50578'!F14</f>
        <v>0</v>
      </c>
      <c r="I12" s="73">
        <f>SUMIFS('12501'!H:H,'12501'!C:C,전체매매내역!K12,'12501'!F:F,전체매매내역!G12)</f>
        <v>0</v>
      </c>
      <c r="J12" s="40">
        <f>'50578'!G14</f>
        <v>4</v>
      </c>
      <c r="K12" s="74" t="str">
        <f>'50578'!C14</f>
        <v>미래변동성공격2</v>
      </c>
    </row>
    <row r="13" spans="1:11" x14ac:dyDescent="0.3">
      <c r="A13" s="66">
        <f>'50578'!$R$1</f>
        <v>44694</v>
      </c>
      <c r="B13" s="79" t="s">
        <v>295</v>
      </c>
      <c r="C13" s="80" t="str">
        <f t="shared" si="0"/>
        <v>변동성 공격투자형</v>
      </c>
      <c r="D13" s="10" t="str">
        <f t="shared" si="1"/>
        <v>080-11-332746</v>
      </c>
      <c r="E13" s="16" t="str">
        <f t="shared" si="2"/>
        <v>매수</v>
      </c>
      <c r="F13" s="16" t="str">
        <f>'50578'!M15</f>
        <v>A148020</v>
      </c>
      <c r="G13" s="16" t="str">
        <f>'50578'!E15</f>
        <v>KBSTAR 200</v>
      </c>
      <c r="H13" s="16">
        <f>'50578'!F15</f>
        <v>1</v>
      </c>
      <c r="I13" s="73">
        <f>SUMIFS('12501'!H:H,'12501'!C:C,전체매매내역!K13,'12501'!F:F,전체매매내역!G13)</f>
        <v>34775</v>
      </c>
      <c r="J13" s="40">
        <f>'50578'!G15</f>
        <v>75</v>
      </c>
      <c r="K13" s="74" t="str">
        <f>'50578'!C15</f>
        <v>미래변동성공격2</v>
      </c>
    </row>
    <row r="14" spans="1:11" hidden="1" x14ac:dyDescent="0.3">
      <c r="A14" s="66">
        <f>'50578'!$R$1</f>
        <v>44694</v>
      </c>
      <c r="B14" s="79" t="s">
        <v>295</v>
      </c>
      <c r="C14" s="80" t="str">
        <f t="shared" si="0"/>
        <v>변동성 공격투자형</v>
      </c>
      <c r="D14" s="10" t="str">
        <f t="shared" si="1"/>
        <v>080-11-332746</v>
      </c>
      <c r="E14" s="16" t="str">
        <f t="shared" si="2"/>
        <v/>
      </c>
      <c r="F14" s="16" t="str">
        <f>'50578'!M16</f>
        <v>A196230</v>
      </c>
      <c r="G14" s="16" t="str">
        <f>'50578'!E16</f>
        <v>KBSTAR 단기통안채</v>
      </c>
      <c r="H14" s="16">
        <f>'50578'!F16</f>
        <v>0</v>
      </c>
      <c r="I14" s="73">
        <f>SUMIFS('12501'!H:H,'12501'!C:C,전체매매내역!K14,'12501'!F:F,전체매매내역!G14)</f>
        <v>0</v>
      </c>
      <c r="J14" s="40">
        <f>'50578'!G16</f>
        <v>4</v>
      </c>
      <c r="K14" s="74" t="str">
        <f>'50578'!C16</f>
        <v>미래변동성공격2</v>
      </c>
    </row>
    <row r="15" spans="1:11" hidden="1" x14ac:dyDescent="0.3">
      <c r="A15" s="66">
        <f>'50578'!$R$1</f>
        <v>44694</v>
      </c>
      <c r="B15" s="79" t="s">
        <v>295</v>
      </c>
      <c r="C15" s="80" t="str">
        <f t="shared" si="0"/>
        <v>변동성 공격투자형</v>
      </c>
      <c r="D15" s="10" t="str">
        <f t="shared" si="1"/>
        <v>080-11-332746</v>
      </c>
      <c r="E15" s="16" t="str">
        <f t="shared" si="2"/>
        <v/>
      </c>
      <c r="F15" s="16" t="str">
        <f>'50578'!M17</f>
        <v>A272580</v>
      </c>
      <c r="G15" s="16" t="str">
        <f>'50578'!E17</f>
        <v>TIGER 단기채권액티브</v>
      </c>
      <c r="H15" s="16">
        <f>'50578'!F17</f>
        <v>0</v>
      </c>
      <c r="I15" s="73">
        <f>SUMIFS('12501'!H:H,'12501'!C:C,전체매매내역!K15,'12501'!F:F,전체매매내역!G15)</f>
        <v>0</v>
      </c>
      <c r="J15" s="40">
        <f>'50578'!G17</f>
        <v>8</v>
      </c>
      <c r="K15" s="74" t="str">
        <f>'50578'!C17</f>
        <v>미래변동성공격2</v>
      </c>
    </row>
    <row r="16" spans="1:11" hidden="1" x14ac:dyDescent="0.3">
      <c r="A16" s="66">
        <f>'50578'!$R$1</f>
        <v>44694</v>
      </c>
      <c r="B16" s="79" t="s">
        <v>295</v>
      </c>
      <c r="C16" s="80" t="str">
        <f t="shared" si="0"/>
        <v>변동성 공격투자형</v>
      </c>
      <c r="D16" s="10" t="str">
        <f t="shared" si="1"/>
        <v>080-11-332746</v>
      </c>
      <c r="E16" s="16" t="str">
        <f t="shared" si="2"/>
        <v/>
      </c>
      <c r="F16" s="16">
        <f>'50578'!M18</f>
        <v>0</v>
      </c>
      <c r="G16" s="16" t="str">
        <f>'50578'!E18</f>
        <v>원화예금</v>
      </c>
      <c r="H16" s="16">
        <f>'50578'!F18</f>
        <v>0</v>
      </c>
      <c r="I16" s="73">
        <f>SUMIFS('12501'!H:H,'12501'!C:C,전체매매내역!K16,'12501'!F:F,전체매매내역!G16)</f>
        <v>0</v>
      </c>
      <c r="J16" s="40">
        <f>'50578'!G18</f>
        <v>316866</v>
      </c>
      <c r="K16" s="74" t="str">
        <f>'50578'!C18</f>
        <v>미래변동성공격2</v>
      </c>
    </row>
    <row r="17" spans="1:11" hidden="1" x14ac:dyDescent="0.3">
      <c r="A17" s="66">
        <f>'50578'!$R$1</f>
        <v>44694</v>
      </c>
      <c r="B17" s="79" t="s">
        <v>295</v>
      </c>
      <c r="C17" s="80" t="str">
        <f t="shared" si="0"/>
        <v>변동성 공격투자형</v>
      </c>
      <c r="D17" s="10" t="str">
        <f t="shared" si="1"/>
        <v>080-11-332746</v>
      </c>
      <c r="E17" s="16" t="str">
        <f t="shared" si="2"/>
        <v>매수</v>
      </c>
      <c r="F17" s="16">
        <f>'50578'!M19</f>
        <v>0</v>
      </c>
      <c r="G17" s="16">
        <f>'50578'!E19</f>
        <v>0</v>
      </c>
      <c r="H17" s="16">
        <f>'50578'!F19</f>
        <v>3</v>
      </c>
      <c r="I17" s="73">
        <f>SUMIFS('12501'!H:H,'12501'!C:C,전체매매내역!K17,'12501'!F:F,전체매매내역!G17)</f>
        <v>0</v>
      </c>
      <c r="J17" s="40">
        <f>'50578'!G19</f>
        <v>317107</v>
      </c>
      <c r="K17" s="74" t="str">
        <f>'50578'!C19</f>
        <v>미래변동성공격2</v>
      </c>
    </row>
    <row r="18" spans="1:11" x14ac:dyDescent="0.3">
      <c r="A18" s="66">
        <f>'50578'!$R$1</f>
        <v>44694</v>
      </c>
      <c r="B18" s="79" t="s">
        <v>295</v>
      </c>
      <c r="C18" s="80" t="str">
        <f t="shared" si="0"/>
        <v>변동성 공격투자형</v>
      </c>
      <c r="D18" s="10" t="str">
        <f t="shared" si="1"/>
        <v>080-11-332753</v>
      </c>
      <c r="E18" s="16" t="str">
        <f t="shared" si="2"/>
        <v>매수</v>
      </c>
      <c r="F18" s="16" t="str">
        <f>'50578'!M20</f>
        <v>A069500</v>
      </c>
      <c r="G18" s="16" t="str">
        <f>'50578'!E20</f>
        <v>KODEX 200</v>
      </c>
      <c r="H18" s="16">
        <f>'50578'!F20</f>
        <v>2</v>
      </c>
      <c r="I18" s="73">
        <f>SUMIFS('12501'!H:H,'12501'!C:C,전체매매내역!K18,'12501'!F:F,전체매매내역!G18)</f>
        <v>0</v>
      </c>
      <c r="J18" s="40">
        <f>'50578'!G20</f>
        <v>98</v>
      </c>
      <c r="K18" s="74" t="str">
        <f>'50578'!C20</f>
        <v>미래변동성공격3</v>
      </c>
    </row>
    <row r="19" spans="1:11" x14ac:dyDescent="0.3">
      <c r="A19" s="66">
        <f>'50578'!$R$1</f>
        <v>44694</v>
      </c>
      <c r="B19" s="79" t="s">
        <v>295</v>
      </c>
      <c r="C19" s="80" t="str">
        <f t="shared" si="0"/>
        <v>변동성 공격투자형</v>
      </c>
      <c r="D19" s="10" t="str">
        <f t="shared" si="1"/>
        <v>080-11-332753</v>
      </c>
      <c r="E19" s="16" t="str">
        <f t="shared" si="2"/>
        <v>매수</v>
      </c>
      <c r="F19" s="16" t="str">
        <f>'50578'!M21</f>
        <v>A102110</v>
      </c>
      <c r="G19" s="16" t="str">
        <f>'50578'!E21</f>
        <v>TIGER 200</v>
      </c>
      <c r="H19" s="16">
        <f>'50578'!F21</f>
        <v>2</v>
      </c>
      <c r="I19" s="73">
        <f>SUMIFS('12501'!H:H,'12501'!C:C,전체매매내역!K19,'12501'!F:F,전체매매내역!G19)</f>
        <v>0</v>
      </c>
      <c r="J19" s="40">
        <f>'50578'!G21</f>
        <v>98</v>
      </c>
      <c r="K19" s="74" t="str">
        <f>'50578'!C21</f>
        <v>미래변동성공격3</v>
      </c>
    </row>
    <row r="20" spans="1:11" hidden="1" x14ac:dyDescent="0.3">
      <c r="A20" s="66">
        <f>'50578'!$R$1</f>
        <v>44694</v>
      </c>
      <c r="B20" s="79" t="s">
        <v>295</v>
      </c>
      <c r="C20" s="80" t="str">
        <f t="shared" ref="C20:C52" si="3">IF(MID(K20,6,2)="공격", "변동성 공격투자형", IF(MID(K20,6,2)="안정", "변동성 안정형", "변동성 위험수익중립형"))</f>
        <v>변동성 공격투자형</v>
      </c>
      <c r="D20" s="10" t="str">
        <f t="shared" ref="D20:D52" si="4">IF(RIGHT(K20,3)="공격1","080-11-332571",IF(RIGHT(K20,3)="공격2","080-11-332746",IF(RIGHT(K20,3)="공격3","080-11-332753",IF(RIGHT(K20,3)="안정1","080-11-332761",IF(RIGHT(K20,3)="안정2","080-11-332779",IF(RIGHT(K20,3)="안정3","080-11-332787",IF(RIGHT(K20,3)="중립1","080-11-332795",IF(RIGHT(K20,3)="중립2","080-11-332803",IF(RIGHT(K20,3)="중립3","080-11-332811","")))))))))</f>
        <v>080-11-332753</v>
      </c>
      <c r="E20" s="16" t="str">
        <f t="shared" ref="E20:E52" si="5">IF(H20&lt;0,"매도",IF(H20&gt;0,"매수",""))</f>
        <v/>
      </c>
      <c r="F20" s="16" t="str">
        <f>'50578'!M22</f>
        <v>A130730</v>
      </c>
      <c r="G20" s="16" t="str">
        <f>'50578'!E22</f>
        <v>KOSEF 단기자금</v>
      </c>
      <c r="H20" s="16">
        <f>'50578'!F22</f>
        <v>0</v>
      </c>
      <c r="I20" s="73">
        <f>SUMIFS('12501'!H:H,'12501'!C:C,전체매매내역!K20,'12501'!F:F,전체매매내역!G20)</f>
        <v>0</v>
      </c>
      <c r="J20" s="40">
        <f>'50578'!G22</f>
        <v>5</v>
      </c>
      <c r="K20" s="74" t="str">
        <f>'50578'!C22</f>
        <v>미래변동성공격3</v>
      </c>
    </row>
    <row r="21" spans="1:11" x14ac:dyDescent="0.3">
      <c r="A21" s="66">
        <f>'50578'!$R$1</f>
        <v>44694</v>
      </c>
      <c r="B21" s="79" t="s">
        <v>295</v>
      </c>
      <c r="C21" s="80" t="str">
        <f t="shared" si="3"/>
        <v>변동성 공격투자형</v>
      </c>
      <c r="D21" s="10" t="str">
        <f t="shared" si="4"/>
        <v>080-11-332753</v>
      </c>
      <c r="E21" s="16" t="str">
        <f t="shared" si="5"/>
        <v>매수</v>
      </c>
      <c r="F21" s="16" t="str">
        <f>'50578'!M23</f>
        <v>A148020</v>
      </c>
      <c r="G21" s="16" t="str">
        <f>'50578'!E23</f>
        <v>KBSTAR 200</v>
      </c>
      <c r="H21" s="16">
        <f>'50578'!F23</f>
        <v>1</v>
      </c>
      <c r="I21" s="73">
        <f>SUMIFS('12501'!H:H,'12501'!C:C,전체매매내역!K21,'12501'!F:F,전체매매내역!G21)</f>
        <v>0</v>
      </c>
      <c r="J21" s="40">
        <f>'50578'!G23</f>
        <v>97</v>
      </c>
      <c r="K21" s="74" t="str">
        <f>'50578'!C23</f>
        <v>미래변동성공격3</v>
      </c>
    </row>
    <row r="22" spans="1:11" hidden="1" x14ac:dyDescent="0.3">
      <c r="A22" s="66">
        <f>'50578'!$R$1</f>
        <v>44694</v>
      </c>
      <c r="B22" s="79" t="s">
        <v>295</v>
      </c>
      <c r="C22" s="80" t="str">
        <f t="shared" si="3"/>
        <v>변동성 공격투자형</v>
      </c>
      <c r="D22" s="10" t="str">
        <f t="shared" si="4"/>
        <v>080-11-332753</v>
      </c>
      <c r="E22" s="16" t="str">
        <f t="shared" si="5"/>
        <v/>
      </c>
      <c r="F22" s="16" t="str">
        <f>'50578'!M24</f>
        <v>A196230</v>
      </c>
      <c r="G22" s="16" t="str">
        <f>'50578'!E24</f>
        <v>KBSTAR 단기통안채</v>
      </c>
      <c r="H22" s="16">
        <f>'50578'!F24</f>
        <v>0</v>
      </c>
      <c r="I22" s="73">
        <f>SUMIFS('12501'!H:H,'12501'!C:C,전체매매내역!K22,'12501'!F:F,전체매매내역!G22)</f>
        <v>0</v>
      </c>
      <c r="J22" s="40">
        <f>'50578'!G24</f>
        <v>5</v>
      </c>
      <c r="K22" s="74" t="str">
        <f>'50578'!C24</f>
        <v>미래변동성공격3</v>
      </c>
    </row>
    <row r="23" spans="1:11" hidden="1" x14ac:dyDescent="0.3">
      <c r="A23" s="66">
        <f>'50578'!$R$1</f>
        <v>44694</v>
      </c>
      <c r="B23" s="79" t="s">
        <v>295</v>
      </c>
      <c r="C23" s="80" t="str">
        <f t="shared" si="3"/>
        <v>변동성 공격투자형</v>
      </c>
      <c r="D23" s="10" t="str">
        <f t="shared" si="4"/>
        <v>080-11-332753</v>
      </c>
      <c r="E23" s="16" t="str">
        <f t="shared" si="5"/>
        <v/>
      </c>
      <c r="F23" s="16" t="str">
        <f>'50578'!M25</f>
        <v>A272580</v>
      </c>
      <c r="G23" s="16" t="str">
        <f>'50578'!E25</f>
        <v>TIGER 단기채권액티브</v>
      </c>
      <c r="H23" s="16">
        <f>'50578'!F25</f>
        <v>0</v>
      </c>
      <c r="I23" s="73">
        <f>SUMIFS('12501'!H:H,'12501'!C:C,전체매매내역!K23,'12501'!F:F,전체매매내역!G23)</f>
        <v>0</v>
      </c>
      <c r="J23" s="40">
        <f>'50578'!G25</f>
        <v>10</v>
      </c>
      <c r="K23" s="74" t="str">
        <f>'50578'!C25</f>
        <v>미래변동성공격3</v>
      </c>
    </row>
    <row r="24" spans="1:11" hidden="1" x14ac:dyDescent="0.3">
      <c r="A24" s="66">
        <f>'50578'!$R$1</f>
        <v>44694</v>
      </c>
      <c r="B24" s="79" t="s">
        <v>295</v>
      </c>
      <c r="C24" s="80" t="str">
        <f t="shared" si="3"/>
        <v>변동성 공격투자형</v>
      </c>
      <c r="D24" s="10" t="str">
        <f t="shared" si="4"/>
        <v>080-11-332753</v>
      </c>
      <c r="E24" s="16" t="str">
        <f t="shared" si="5"/>
        <v/>
      </c>
      <c r="F24" s="16">
        <f>'50578'!M26</f>
        <v>0</v>
      </c>
      <c r="G24" s="16" t="str">
        <f>'50578'!E26</f>
        <v>원화예금</v>
      </c>
      <c r="H24" s="16">
        <f>'50578'!F26</f>
        <v>0</v>
      </c>
      <c r="I24" s="73">
        <f>SUMIFS('12501'!H:H,'12501'!C:C,전체매매내역!K24,'12501'!F:F,전체매매내역!G24)</f>
        <v>0</v>
      </c>
      <c r="J24" s="40">
        <f>'50578'!G26</f>
        <v>492001</v>
      </c>
      <c r="K24" s="74" t="str">
        <f>'50578'!C26</f>
        <v>미래변동성공격3</v>
      </c>
    </row>
    <row r="25" spans="1:11" hidden="1" x14ac:dyDescent="0.3">
      <c r="A25" s="66">
        <f>'50578'!$R$1</f>
        <v>44694</v>
      </c>
      <c r="B25" s="79" t="s">
        <v>295</v>
      </c>
      <c r="C25" s="80" t="str">
        <f t="shared" si="3"/>
        <v>변동성 공격투자형</v>
      </c>
      <c r="D25" s="10" t="str">
        <f t="shared" si="4"/>
        <v>080-11-332753</v>
      </c>
      <c r="E25" s="16" t="str">
        <f t="shared" si="5"/>
        <v>매수</v>
      </c>
      <c r="F25" s="16">
        <f>'50578'!M27</f>
        <v>0</v>
      </c>
      <c r="G25" s="16">
        <f>'50578'!E27</f>
        <v>0</v>
      </c>
      <c r="H25" s="16">
        <f>'50578'!F27</f>
        <v>5</v>
      </c>
      <c r="I25" s="73">
        <f>SUMIFS('12501'!H:H,'12501'!C:C,전체매매내역!K25,'12501'!F:F,전체매매내역!G25)</f>
        <v>0</v>
      </c>
      <c r="J25" s="40">
        <f>'50578'!G27</f>
        <v>492314</v>
      </c>
      <c r="K25" s="74" t="str">
        <f>'50578'!C27</f>
        <v>미래변동성공격3</v>
      </c>
    </row>
    <row r="26" spans="1:11" hidden="1" x14ac:dyDescent="0.3">
      <c r="A26" s="66">
        <f>'50578'!$R$1</f>
        <v>44694</v>
      </c>
      <c r="B26" s="79" t="s">
        <v>295</v>
      </c>
      <c r="C26" s="80" t="str">
        <f t="shared" si="3"/>
        <v>변동성 위험수익중립형</v>
      </c>
      <c r="D26" s="10" t="str">
        <f t="shared" si="4"/>
        <v>080-11-332795</v>
      </c>
      <c r="E26" s="16" t="str">
        <f t="shared" si="5"/>
        <v/>
      </c>
      <c r="F26" s="16" t="str">
        <f>'50578'!M28</f>
        <v>A069500</v>
      </c>
      <c r="G26" s="16" t="str">
        <f>'50578'!E28</f>
        <v>KODEX 200</v>
      </c>
      <c r="H26" s="16">
        <f>'50578'!F28</f>
        <v>0</v>
      </c>
      <c r="I26" s="73">
        <f>SUMIFS('12501'!H:H,'12501'!C:C,전체매매내역!K26,'12501'!F:F,전체매매내역!G26)</f>
        <v>0</v>
      </c>
      <c r="J26" s="40">
        <f>'50578'!G28</f>
        <v>43</v>
      </c>
      <c r="K26" s="74" t="str">
        <f>'50578'!C28</f>
        <v>미래변동성위험중립1</v>
      </c>
    </row>
    <row r="27" spans="1:11" hidden="1" x14ac:dyDescent="0.3">
      <c r="A27" s="66">
        <f>'50578'!$R$1</f>
        <v>44694</v>
      </c>
      <c r="B27" s="79" t="s">
        <v>295</v>
      </c>
      <c r="C27" s="80" t="str">
        <f t="shared" si="3"/>
        <v>변동성 위험수익중립형</v>
      </c>
      <c r="D27" s="10" t="str">
        <f t="shared" si="4"/>
        <v>080-11-332795</v>
      </c>
      <c r="E27" s="16" t="str">
        <f t="shared" si="5"/>
        <v/>
      </c>
      <c r="F27" s="16" t="str">
        <f>'50578'!M29</f>
        <v>A102110</v>
      </c>
      <c r="G27" s="16" t="str">
        <f>'50578'!E29</f>
        <v>TIGER 200</v>
      </c>
      <c r="H27" s="16">
        <f>'50578'!F29</f>
        <v>0</v>
      </c>
      <c r="I27" s="73">
        <f>SUMIFS('12501'!H:H,'12501'!C:C,전체매매내역!K27,'12501'!F:F,전체매매내역!G27)</f>
        <v>0</v>
      </c>
      <c r="J27" s="40">
        <f>'50578'!G29</f>
        <v>43</v>
      </c>
      <c r="K27" s="74" t="str">
        <f>'50578'!C29</f>
        <v>미래변동성위험중립1</v>
      </c>
    </row>
    <row r="28" spans="1:11" hidden="1" x14ac:dyDescent="0.3">
      <c r="A28" s="66">
        <f>'50578'!$R$1</f>
        <v>44694</v>
      </c>
      <c r="B28" s="79" t="s">
        <v>295</v>
      </c>
      <c r="C28" s="80" t="str">
        <f t="shared" si="3"/>
        <v>변동성 위험수익중립형</v>
      </c>
      <c r="D28" s="10" t="str">
        <f t="shared" si="4"/>
        <v>080-11-332795</v>
      </c>
      <c r="E28" s="16" t="str">
        <f t="shared" si="5"/>
        <v/>
      </c>
      <c r="F28" s="16" t="str">
        <f>'50578'!M30</f>
        <v>A130730</v>
      </c>
      <c r="G28" s="16" t="str">
        <f>'50578'!E30</f>
        <v>KOSEF 단기자금</v>
      </c>
      <c r="H28" s="16">
        <f>'50578'!F30</f>
        <v>0</v>
      </c>
      <c r="I28" s="73">
        <f>SUMIFS('12501'!H:H,'12501'!C:C,전체매매내역!K28,'12501'!F:F,전체매매내역!G28)</f>
        <v>0</v>
      </c>
      <c r="J28" s="40">
        <f>'50578'!G30</f>
        <v>6</v>
      </c>
      <c r="K28" s="74" t="str">
        <f>'50578'!C30</f>
        <v>미래변동성위험중립1</v>
      </c>
    </row>
    <row r="29" spans="1:11" hidden="1" x14ac:dyDescent="0.3">
      <c r="A29" s="66">
        <f>'50578'!$R$1</f>
        <v>44694</v>
      </c>
      <c r="B29" s="79" t="s">
        <v>295</v>
      </c>
      <c r="C29" s="80" t="str">
        <f t="shared" si="3"/>
        <v>변동성 위험수익중립형</v>
      </c>
      <c r="D29" s="10" t="str">
        <f t="shared" si="4"/>
        <v>080-11-332795</v>
      </c>
      <c r="E29" s="16" t="str">
        <f t="shared" si="5"/>
        <v/>
      </c>
      <c r="F29" s="16" t="str">
        <f>'50578'!M31</f>
        <v>A148020</v>
      </c>
      <c r="G29" s="16" t="str">
        <f>'50578'!E31</f>
        <v>KBSTAR 200</v>
      </c>
      <c r="H29" s="16">
        <f>'50578'!F31</f>
        <v>0</v>
      </c>
      <c r="I29" s="73">
        <f>SUMIFS('12501'!H:H,'12501'!C:C,전체매매내역!K29,'12501'!F:F,전체매매내역!G29)</f>
        <v>0</v>
      </c>
      <c r="J29" s="40">
        <f>'50578'!G31</f>
        <v>42</v>
      </c>
      <c r="K29" s="74" t="str">
        <f>'50578'!C31</f>
        <v>미래변동성위험중립1</v>
      </c>
    </row>
    <row r="30" spans="1:11" hidden="1" x14ac:dyDescent="0.3">
      <c r="A30" s="66">
        <f>'50578'!$R$1</f>
        <v>44694</v>
      </c>
      <c r="B30" s="79" t="s">
        <v>295</v>
      </c>
      <c r="C30" s="80" t="str">
        <f t="shared" si="3"/>
        <v>변동성 위험수익중립형</v>
      </c>
      <c r="D30" s="10" t="str">
        <f t="shared" si="4"/>
        <v>080-11-332795</v>
      </c>
      <c r="E30" s="16" t="str">
        <f t="shared" si="5"/>
        <v/>
      </c>
      <c r="F30" s="16" t="str">
        <f>'50578'!M32</f>
        <v>A196230</v>
      </c>
      <c r="G30" s="16" t="str">
        <f>'50578'!E32</f>
        <v>KBSTAR 단기통안채</v>
      </c>
      <c r="H30" s="16">
        <f>'50578'!F32</f>
        <v>0</v>
      </c>
      <c r="I30" s="73">
        <f>SUMIFS('12501'!H:H,'12501'!C:C,전체매매내역!K30,'12501'!F:F,전체매매내역!G30)</f>
        <v>0</v>
      </c>
      <c r="J30" s="40">
        <f>'50578'!G32</f>
        <v>6</v>
      </c>
      <c r="K30" s="74" t="str">
        <f>'50578'!C32</f>
        <v>미래변동성위험중립1</v>
      </c>
    </row>
    <row r="31" spans="1:11" hidden="1" x14ac:dyDescent="0.3">
      <c r="A31" s="66">
        <f>'50578'!$R$1</f>
        <v>44694</v>
      </c>
      <c r="B31" s="79" t="s">
        <v>295</v>
      </c>
      <c r="C31" s="80" t="str">
        <f t="shared" si="3"/>
        <v>변동성 위험수익중립형</v>
      </c>
      <c r="D31" s="10" t="str">
        <f t="shared" si="4"/>
        <v>080-11-332795</v>
      </c>
      <c r="E31" s="16" t="str">
        <f t="shared" si="5"/>
        <v/>
      </c>
      <c r="F31" s="16" t="str">
        <f>'50578'!M33</f>
        <v>A272580</v>
      </c>
      <c r="G31" s="16" t="str">
        <f>'50578'!E33</f>
        <v>TIGER 단기채권액티브</v>
      </c>
      <c r="H31" s="16">
        <f>'50578'!F33</f>
        <v>0</v>
      </c>
      <c r="I31" s="73">
        <f>SUMIFS('12501'!H:H,'12501'!C:C,전체매매내역!K31,'12501'!F:F,전체매매내역!G31)</f>
        <v>0</v>
      </c>
      <c r="J31" s="40">
        <f>'50578'!G33</f>
        <v>13</v>
      </c>
      <c r="K31" s="74" t="str">
        <f>'50578'!C33</f>
        <v>미래변동성위험중립1</v>
      </c>
    </row>
    <row r="32" spans="1:11" hidden="1" x14ac:dyDescent="0.3">
      <c r="A32" s="66">
        <f>'50578'!$R$1</f>
        <v>44694</v>
      </c>
      <c r="B32" s="79" t="s">
        <v>295</v>
      </c>
      <c r="C32" s="80" t="str">
        <f t="shared" si="3"/>
        <v>변동성 위험수익중립형</v>
      </c>
      <c r="D32" s="10" t="str">
        <f t="shared" si="4"/>
        <v>080-11-332795</v>
      </c>
      <c r="E32" s="16" t="str">
        <f t="shared" si="5"/>
        <v/>
      </c>
      <c r="F32" s="16">
        <f>'50578'!M34</f>
        <v>0</v>
      </c>
      <c r="G32" s="16" t="str">
        <f>'50578'!E34</f>
        <v>원화예금</v>
      </c>
      <c r="H32" s="16">
        <f>'50578'!F34</f>
        <v>0</v>
      </c>
      <c r="I32" s="73">
        <f>SUMIFS('12501'!H:H,'12501'!C:C,전체매매내역!K32,'12501'!F:F,전체매매내역!G32)</f>
        <v>0</v>
      </c>
      <c r="J32" s="40">
        <f>'50578'!G34</f>
        <v>250559</v>
      </c>
      <c r="K32" s="74" t="str">
        <f>'50578'!C34</f>
        <v>미래변동성위험중립1</v>
      </c>
    </row>
    <row r="33" spans="1:11" hidden="1" x14ac:dyDescent="0.3">
      <c r="A33" s="66">
        <f>'50578'!$R$1</f>
        <v>44694</v>
      </c>
      <c r="B33" s="79" t="s">
        <v>295</v>
      </c>
      <c r="C33" s="80" t="str">
        <f t="shared" si="3"/>
        <v>변동성 위험수익중립형</v>
      </c>
      <c r="D33" s="10" t="str">
        <f t="shared" si="4"/>
        <v>080-11-332795</v>
      </c>
      <c r="E33" s="16" t="str">
        <f t="shared" si="5"/>
        <v/>
      </c>
      <c r="F33" s="16">
        <f>'50578'!M35</f>
        <v>0</v>
      </c>
      <c r="G33" s="16">
        <f>'50578'!E35</f>
        <v>0</v>
      </c>
      <c r="H33" s="16">
        <f>'50578'!F35</f>
        <v>0</v>
      </c>
      <c r="I33" s="73">
        <f>SUMIFS('12501'!H:H,'12501'!C:C,전체매매내역!K33,'12501'!F:F,전체매매내역!G33)</f>
        <v>0</v>
      </c>
      <c r="J33" s="40">
        <f>'50578'!G35</f>
        <v>250712</v>
      </c>
      <c r="K33" s="74" t="str">
        <f>'50578'!C35</f>
        <v>미래변동성위험중립1</v>
      </c>
    </row>
    <row r="34" spans="1:11" hidden="1" x14ac:dyDescent="0.3">
      <c r="A34" s="66">
        <f>'50578'!$R$1</f>
        <v>44694</v>
      </c>
      <c r="B34" s="79" t="s">
        <v>295</v>
      </c>
      <c r="C34" s="80" t="str">
        <f t="shared" si="3"/>
        <v>변동성 위험수익중립형</v>
      </c>
      <c r="D34" s="10" t="str">
        <f t="shared" si="4"/>
        <v>080-11-332803</v>
      </c>
      <c r="E34" s="16" t="str">
        <f t="shared" si="5"/>
        <v/>
      </c>
      <c r="F34" s="16" t="str">
        <f>'50578'!M36</f>
        <v>A069500</v>
      </c>
      <c r="G34" s="16" t="str">
        <f>'50578'!E36</f>
        <v>KODEX 200</v>
      </c>
      <c r="H34" s="16">
        <f>'50578'!F36</f>
        <v>0</v>
      </c>
      <c r="I34" s="73">
        <f>SUMIFS('12501'!H:H,'12501'!C:C,전체매매내역!K34,'12501'!F:F,전체매매내역!G34)</f>
        <v>34605</v>
      </c>
      <c r="J34" s="40">
        <f>'50578'!G36</f>
        <v>61</v>
      </c>
      <c r="K34" s="74" t="str">
        <f>'50578'!C36</f>
        <v>미래변동성위험중립2</v>
      </c>
    </row>
    <row r="35" spans="1:11" hidden="1" x14ac:dyDescent="0.3">
      <c r="A35" s="66">
        <f>'50578'!$R$1</f>
        <v>44694</v>
      </c>
      <c r="B35" s="79" t="s">
        <v>295</v>
      </c>
      <c r="C35" s="80" t="str">
        <f t="shared" si="3"/>
        <v>변동성 위험수익중립형</v>
      </c>
      <c r="D35" s="10" t="str">
        <f t="shared" si="4"/>
        <v>080-11-332803</v>
      </c>
      <c r="E35" s="16" t="str">
        <f t="shared" si="5"/>
        <v/>
      </c>
      <c r="F35" s="16" t="str">
        <f>'50578'!M37</f>
        <v>A102110</v>
      </c>
      <c r="G35" s="16" t="str">
        <f>'50578'!E37</f>
        <v>TIGER 200</v>
      </c>
      <c r="H35" s="16">
        <f>'50578'!F37</f>
        <v>0</v>
      </c>
      <c r="I35" s="73">
        <f>SUMIFS('12501'!H:H,'12501'!C:C,전체매매내역!K35,'12501'!F:F,전체매매내역!G35)</f>
        <v>34670</v>
      </c>
      <c r="J35" s="40">
        <f>'50578'!G37</f>
        <v>61</v>
      </c>
      <c r="K35" s="74" t="str">
        <f>'50578'!C37</f>
        <v>미래변동성위험중립2</v>
      </c>
    </row>
    <row r="36" spans="1:11" hidden="1" x14ac:dyDescent="0.3">
      <c r="A36" s="66">
        <f>'50578'!$R$1</f>
        <v>44694</v>
      </c>
      <c r="B36" s="79" t="s">
        <v>295</v>
      </c>
      <c r="C36" s="80" t="str">
        <f t="shared" si="3"/>
        <v>변동성 위험수익중립형</v>
      </c>
      <c r="D36" s="10" t="str">
        <f t="shared" si="4"/>
        <v>080-11-332803</v>
      </c>
      <c r="E36" s="16" t="str">
        <f t="shared" si="5"/>
        <v/>
      </c>
      <c r="F36" s="16" t="str">
        <f>'50578'!M38</f>
        <v>A130730</v>
      </c>
      <c r="G36" s="16" t="str">
        <f>'50578'!E38</f>
        <v>KOSEF 단기자금</v>
      </c>
      <c r="H36" s="16">
        <f>'50578'!F38</f>
        <v>0</v>
      </c>
      <c r="I36" s="73">
        <f>SUMIFS('12501'!H:H,'12501'!C:C,전체매매내역!K36,'12501'!F:F,전체매매내역!G36)</f>
        <v>101385</v>
      </c>
      <c r="J36" s="40">
        <f>'50578'!G38</f>
        <v>9</v>
      </c>
      <c r="K36" s="74" t="str">
        <f>'50578'!C38</f>
        <v>미래변동성위험중립2</v>
      </c>
    </row>
    <row r="37" spans="1:11" hidden="1" x14ac:dyDescent="0.3">
      <c r="A37" s="66">
        <f>'50578'!$R$1</f>
        <v>44694</v>
      </c>
      <c r="B37" s="79" t="s">
        <v>295</v>
      </c>
      <c r="C37" s="80" t="str">
        <f t="shared" si="3"/>
        <v>변동성 위험수익중립형</v>
      </c>
      <c r="D37" s="10" t="str">
        <f t="shared" si="4"/>
        <v>080-11-332803</v>
      </c>
      <c r="E37" s="16" t="str">
        <f t="shared" si="5"/>
        <v/>
      </c>
      <c r="F37" s="16" t="str">
        <f>'50578'!M39</f>
        <v>A148020</v>
      </c>
      <c r="G37" s="16" t="str">
        <f>'50578'!E39</f>
        <v>KBSTAR 200</v>
      </c>
      <c r="H37" s="16">
        <f>'50578'!F39</f>
        <v>0</v>
      </c>
      <c r="I37" s="73">
        <f>SUMIFS('12501'!H:H,'12501'!C:C,전체매매내역!K37,'12501'!F:F,전체매매내역!G37)</f>
        <v>34775</v>
      </c>
      <c r="J37" s="40">
        <f>'50578'!G39</f>
        <v>61</v>
      </c>
      <c r="K37" s="74" t="str">
        <f>'50578'!C39</f>
        <v>미래변동성위험중립2</v>
      </c>
    </row>
    <row r="38" spans="1:11" hidden="1" x14ac:dyDescent="0.3">
      <c r="A38" s="66">
        <f>'50578'!$R$1</f>
        <v>44694</v>
      </c>
      <c r="B38" s="79" t="s">
        <v>295</v>
      </c>
      <c r="C38" s="80" t="str">
        <f t="shared" si="3"/>
        <v>변동성 위험수익중립형</v>
      </c>
      <c r="D38" s="10" t="str">
        <f t="shared" si="4"/>
        <v>080-11-332803</v>
      </c>
      <c r="E38" s="16" t="str">
        <f t="shared" si="5"/>
        <v/>
      </c>
      <c r="F38" s="16" t="str">
        <f>'50578'!M40</f>
        <v>A196230</v>
      </c>
      <c r="G38" s="16" t="str">
        <f>'50578'!E40</f>
        <v>KBSTAR 단기통안채</v>
      </c>
      <c r="H38" s="16">
        <f>'50578'!F40</f>
        <v>0</v>
      </c>
      <c r="I38" s="73">
        <f>SUMIFS('12501'!H:H,'12501'!C:C,전체매매내역!K38,'12501'!F:F,전체매매내역!G38)</f>
        <v>0</v>
      </c>
      <c r="J38" s="40">
        <f>'50578'!G40</f>
        <v>9</v>
      </c>
      <c r="K38" s="74" t="str">
        <f>'50578'!C40</f>
        <v>미래변동성위험중립2</v>
      </c>
    </row>
    <row r="39" spans="1:11" hidden="1" x14ac:dyDescent="0.3">
      <c r="A39" s="66">
        <f>'50578'!$R$1</f>
        <v>44694</v>
      </c>
      <c r="B39" s="79" t="s">
        <v>295</v>
      </c>
      <c r="C39" s="80" t="str">
        <f t="shared" si="3"/>
        <v>변동성 위험수익중립형</v>
      </c>
      <c r="D39" s="10" t="str">
        <f t="shared" si="4"/>
        <v>080-11-332803</v>
      </c>
      <c r="E39" s="16" t="str">
        <f t="shared" si="5"/>
        <v/>
      </c>
      <c r="F39" s="16" t="str">
        <f>'50578'!M41</f>
        <v>A272580</v>
      </c>
      <c r="G39" s="16" t="str">
        <f>'50578'!E41</f>
        <v>TIGER 단기채권액티브</v>
      </c>
      <c r="H39" s="16">
        <f>'50578'!F41</f>
        <v>0</v>
      </c>
      <c r="I39" s="73">
        <f>SUMIFS('12501'!H:H,'12501'!C:C,전체매매내역!K39,'12501'!F:F,전체매매내역!G39)</f>
        <v>50520</v>
      </c>
      <c r="J39" s="40">
        <f>'50578'!G41</f>
        <v>18</v>
      </c>
      <c r="K39" s="74" t="str">
        <f>'50578'!C41</f>
        <v>미래변동성위험중립2</v>
      </c>
    </row>
    <row r="40" spans="1:11" hidden="1" x14ac:dyDescent="0.3">
      <c r="A40" s="66">
        <f>'50578'!$R$1</f>
        <v>44694</v>
      </c>
      <c r="B40" s="79" t="s">
        <v>295</v>
      </c>
      <c r="C40" s="80" t="str">
        <f t="shared" si="3"/>
        <v>변동성 위험수익중립형</v>
      </c>
      <c r="D40" s="10" t="str">
        <f t="shared" si="4"/>
        <v>080-11-332803</v>
      </c>
      <c r="E40" s="16" t="str">
        <f t="shared" si="5"/>
        <v/>
      </c>
      <c r="F40" s="16">
        <f>'50578'!M42</f>
        <v>0</v>
      </c>
      <c r="G40" s="16" t="str">
        <f>'50578'!E42</f>
        <v>원화예금</v>
      </c>
      <c r="H40" s="16">
        <f>'50578'!F42</f>
        <v>0</v>
      </c>
      <c r="I40" s="73">
        <f>SUMIFS('12501'!H:H,'12501'!C:C,전체매매내역!K40,'12501'!F:F,전체매매내역!G40)</f>
        <v>0</v>
      </c>
      <c r="J40" s="40">
        <f>'50578'!G42</f>
        <v>290398</v>
      </c>
      <c r="K40" s="74" t="str">
        <f>'50578'!C42</f>
        <v>미래변동성위험중립2</v>
      </c>
    </row>
    <row r="41" spans="1:11" hidden="1" x14ac:dyDescent="0.3">
      <c r="A41" s="66">
        <f>'50578'!$R$1</f>
        <v>44694</v>
      </c>
      <c r="B41" s="79" t="s">
        <v>295</v>
      </c>
      <c r="C41" s="80" t="str">
        <f t="shared" si="3"/>
        <v>변동성 위험수익중립형</v>
      </c>
      <c r="D41" s="10" t="str">
        <f t="shared" si="4"/>
        <v>080-11-332803</v>
      </c>
      <c r="E41" s="16" t="str">
        <f t="shared" si="5"/>
        <v/>
      </c>
      <c r="F41" s="16">
        <f>'50578'!M43</f>
        <v>0</v>
      </c>
      <c r="G41" s="16">
        <f>'50578'!E43</f>
        <v>0</v>
      </c>
      <c r="H41" s="16">
        <f>'50578'!F43</f>
        <v>0</v>
      </c>
      <c r="I41" s="73">
        <f>SUMIFS('12501'!H:H,'12501'!C:C,전체매매내역!K41,'12501'!F:F,전체매매내역!G41)</f>
        <v>0</v>
      </c>
      <c r="J41" s="40">
        <f>'50578'!G43</f>
        <v>290617</v>
      </c>
      <c r="K41" s="74" t="str">
        <f>'50578'!C43</f>
        <v>미래변동성위험중립2</v>
      </c>
    </row>
    <row r="42" spans="1:11" hidden="1" x14ac:dyDescent="0.3">
      <c r="A42" s="66">
        <f>'50578'!$R$1</f>
        <v>44694</v>
      </c>
      <c r="B42" s="79" t="s">
        <v>295</v>
      </c>
      <c r="C42" s="80" t="str">
        <f t="shared" si="3"/>
        <v>변동성 위험수익중립형</v>
      </c>
      <c r="D42" s="10" t="str">
        <f t="shared" si="4"/>
        <v>080-11-332811</v>
      </c>
      <c r="E42" s="16" t="str">
        <f t="shared" si="5"/>
        <v/>
      </c>
      <c r="F42" s="16" t="str">
        <f>'50578'!M44</f>
        <v>A069500</v>
      </c>
      <c r="G42" s="16" t="str">
        <f>'50578'!E44</f>
        <v>KODEX 200</v>
      </c>
      <c r="H42" s="16">
        <f>'50578'!F44</f>
        <v>0</v>
      </c>
      <c r="I42" s="73">
        <f>SUMIFS('12501'!H:H,'12501'!C:C,전체매매내역!K42,'12501'!F:F,전체매매내역!G42)</f>
        <v>0</v>
      </c>
      <c r="J42" s="40">
        <f>'50578'!G44</f>
        <v>79</v>
      </c>
      <c r="K42" s="74" t="str">
        <f>'50578'!C44</f>
        <v>미래변동성위험중립3</v>
      </c>
    </row>
    <row r="43" spans="1:11" hidden="1" x14ac:dyDescent="0.3">
      <c r="A43" s="66">
        <f>'50578'!$R$1</f>
        <v>44694</v>
      </c>
      <c r="B43" s="79" t="s">
        <v>295</v>
      </c>
      <c r="C43" s="80" t="str">
        <f t="shared" si="3"/>
        <v>변동성 위험수익중립형</v>
      </c>
      <c r="D43" s="10" t="str">
        <f t="shared" si="4"/>
        <v>080-11-332811</v>
      </c>
      <c r="E43" s="16" t="str">
        <f t="shared" si="5"/>
        <v/>
      </c>
      <c r="F43" s="16" t="str">
        <f>'50578'!M45</f>
        <v>A102110</v>
      </c>
      <c r="G43" s="16" t="str">
        <f>'50578'!E45</f>
        <v>TIGER 200</v>
      </c>
      <c r="H43" s="16">
        <f>'50578'!F45</f>
        <v>0</v>
      </c>
      <c r="I43" s="73">
        <f>SUMIFS('12501'!H:H,'12501'!C:C,전체매매내역!K43,'12501'!F:F,전체매매내역!G43)</f>
        <v>0</v>
      </c>
      <c r="J43" s="40">
        <f>'50578'!G45</f>
        <v>79</v>
      </c>
      <c r="K43" s="74" t="str">
        <f>'50578'!C45</f>
        <v>미래변동성위험중립3</v>
      </c>
    </row>
    <row r="44" spans="1:11" hidden="1" x14ac:dyDescent="0.3">
      <c r="A44" s="66">
        <f>'50578'!$R$1</f>
        <v>44694</v>
      </c>
      <c r="B44" s="79" t="s">
        <v>295</v>
      </c>
      <c r="C44" s="80" t="str">
        <f t="shared" si="3"/>
        <v>변동성 위험수익중립형</v>
      </c>
      <c r="D44" s="10" t="str">
        <f t="shared" si="4"/>
        <v>080-11-332811</v>
      </c>
      <c r="E44" s="16" t="str">
        <f t="shared" si="5"/>
        <v/>
      </c>
      <c r="F44" s="16" t="str">
        <f>'50578'!M46</f>
        <v>A130730</v>
      </c>
      <c r="G44" s="16" t="str">
        <f>'50578'!E46</f>
        <v>KOSEF 단기자금</v>
      </c>
      <c r="H44" s="16">
        <f>'50578'!F46</f>
        <v>0</v>
      </c>
      <c r="I44" s="73">
        <f>SUMIFS('12501'!H:H,'12501'!C:C,전체매매내역!K44,'12501'!F:F,전체매매내역!G44)</f>
        <v>0</v>
      </c>
      <c r="J44" s="40">
        <f>'50578'!G46</f>
        <v>12</v>
      </c>
      <c r="K44" s="74" t="str">
        <f>'50578'!C46</f>
        <v>미래변동성위험중립3</v>
      </c>
    </row>
    <row r="45" spans="1:11" hidden="1" x14ac:dyDescent="0.3">
      <c r="A45" s="66">
        <f>'50578'!$R$1</f>
        <v>44694</v>
      </c>
      <c r="B45" s="79" t="s">
        <v>295</v>
      </c>
      <c r="C45" s="80" t="str">
        <f t="shared" si="3"/>
        <v>변동성 위험수익중립형</v>
      </c>
      <c r="D45" s="10" t="str">
        <f t="shared" si="4"/>
        <v>080-11-332811</v>
      </c>
      <c r="E45" s="16" t="str">
        <f t="shared" si="5"/>
        <v/>
      </c>
      <c r="F45" s="16" t="str">
        <f>'50578'!M47</f>
        <v>A148020</v>
      </c>
      <c r="G45" s="16" t="str">
        <f>'50578'!E47</f>
        <v>KBSTAR 200</v>
      </c>
      <c r="H45" s="16">
        <f>'50578'!F47</f>
        <v>0</v>
      </c>
      <c r="I45" s="73">
        <f>SUMIFS('12501'!H:H,'12501'!C:C,전체매매내역!K45,'12501'!F:F,전체매매내역!G45)</f>
        <v>0</v>
      </c>
      <c r="J45" s="40">
        <f>'50578'!G47</f>
        <v>79</v>
      </c>
      <c r="K45" s="74" t="str">
        <f>'50578'!C47</f>
        <v>미래변동성위험중립3</v>
      </c>
    </row>
    <row r="46" spans="1:11" hidden="1" x14ac:dyDescent="0.3">
      <c r="A46" s="66">
        <f>'50578'!$R$1</f>
        <v>44694</v>
      </c>
      <c r="B46" s="79" t="s">
        <v>295</v>
      </c>
      <c r="C46" s="80" t="str">
        <f t="shared" si="3"/>
        <v>변동성 위험수익중립형</v>
      </c>
      <c r="D46" s="10" t="str">
        <f t="shared" si="4"/>
        <v>080-11-332811</v>
      </c>
      <c r="E46" s="16" t="str">
        <f t="shared" si="5"/>
        <v/>
      </c>
      <c r="F46" s="16" t="str">
        <f>'50578'!M48</f>
        <v>A196230</v>
      </c>
      <c r="G46" s="16" t="str">
        <f>'50578'!E48</f>
        <v>KBSTAR 단기통안채</v>
      </c>
      <c r="H46" s="16">
        <f>'50578'!F48</f>
        <v>0</v>
      </c>
      <c r="I46" s="73">
        <f>SUMIFS('12501'!H:H,'12501'!C:C,전체매매내역!K46,'12501'!F:F,전체매매내역!G46)</f>
        <v>0</v>
      </c>
      <c r="J46" s="40">
        <f>'50578'!G48</f>
        <v>11</v>
      </c>
      <c r="K46" s="74" t="str">
        <f>'50578'!C48</f>
        <v>미래변동성위험중립3</v>
      </c>
    </row>
    <row r="47" spans="1:11" hidden="1" x14ac:dyDescent="0.3">
      <c r="A47" s="66">
        <f>'50578'!$R$1</f>
        <v>44694</v>
      </c>
      <c r="B47" s="79" t="s">
        <v>295</v>
      </c>
      <c r="C47" s="80" t="str">
        <f t="shared" si="3"/>
        <v>변동성 위험수익중립형</v>
      </c>
      <c r="D47" s="10" t="str">
        <f t="shared" si="4"/>
        <v>080-11-332811</v>
      </c>
      <c r="E47" s="16" t="str">
        <f t="shared" si="5"/>
        <v/>
      </c>
      <c r="F47" s="16" t="str">
        <f>'50578'!M49</f>
        <v>A272580</v>
      </c>
      <c r="G47" s="16" t="str">
        <f>'50578'!E49</f>
        <v>TIGER 단기채권액티브</v>
      </c>
      <c r="H47" s="16">
        <f>'50578'!F49</f>
        <v>0</v>
      </c>
      <c r="I47" s="73">
        <f>SUMIFS('12501'!H:H,'12501'!C:C,전체매매내역!K47,'12501'!F:F,전체매매내역!G47)</f>
        <v>0</v>
      </c>
      <c r="J47" s="40">
        <f>'50578'!G49</f>
        <v>23</v>
      </c>
      <c r="K47" s="74" t="str">
        <f>'50578'!C49</f>
        <v>미래변동성위험중립3</v>
      </c>
    </row>
    <row r="48" spans="1:11" hidden="1" x14ac:dyDescent="0.3">
      <c r="A48" s="66">
        <f>'50578'!$R$1</f>
        <v>44694</v>
      </c>
      <c r="B48" s="79" t="s">
        <v>295</v>
      </c>
      <c r="C48" s="80" t="str">
        <f t="shared" si="3"/>
        <v>변동성 위험수익중립형</v>
      </c>
      <c r="D48" s="10" t="str">
        <f t="shared" si="4"/>
        <v>080-11-332811</v>
      </c>
      <c r="E48" s="16" t="str">
        <f t="shared" si="5"/>
        <v/>
      </c>
      <c r="F48" s="16">
        <f>'50578'!M50</f>
        <v>0</v>
      </c>
      <c r="G48" s="16" t="str">
        <f>'50578'!E50</f>
        <v>원화예금</v>
      </c>
      <c r="H48" s="16">
        <f>'50578'!F50</f>
        <v>0</v>
      </c>
      <c r="I48" s="73">
        <f>SUMIFS('12501'!H:H,'12501'!C:C,전체매매내역!K48,'12501'!F:F,전체매매내역!G48)</f>
        <v>0</v>
      </c>
      <c r="J48" s="40">
        <f>'50578'!G50</f>
        <v>472597</v>
      </c>
      <c r="K48" s="74" t="str">
        <f>'50578'!C50</f>
        <v>미래변동성위험중립3</v>
      </c>
    </row>
    <row r="49" spans="1:11" hidden="1" x14ac:dyDescent="0.3">
      <c r="A49" s="66">
        <f>'50578'!$R$1</f>
        <v>44694</v>
      </c>
      <c r="B49" s="79" t="s">
        <v>295</v>
      </c>
      <c r="C49" s="80" t="str">
        <f t="shared" si="3"/>
        <v>변동성 위험수익중립형</v>
      </c>
      <c r="D49" s="10" t="str">
        <f t="shared" si="4"/>
        <v>080-11-332811</v>
      </c>
      <c r="E49" s="16" t="str">
        <f t="shared" si="5"/>
        <v/>
      </c>
      <c r="F49" s="16">
        <f>'50578'!M51</f>
        <v>0</v>
      </c>
      <c r="G49" s="16">
        <f>'50578'!E51</f>
        <v>0</v>
      </c>
      <c r="H49" s="16">
        <f>'50578'!F51</f>
        <v>0</v>
      </c>
      <c r="I49" s="73">
        <f>SUMIFS('12501'!H:H,'12501'!C:C,전체매매내역!K49,'12501'!F:F,전체매매내역!G49)</f>
        <v>0</v>
      </c>
      <c r="J49" s="40">
        <f>'50578'!G51</f>
        <v>472880</v>
      </c>
      <c r="K49" s="74" t="str">
        <f>'50578'!C51</f>
        <v>미래변동성위험중립3</v>
      </c>
    </row>
    <row r="50" spans="1:11" hidden="1" x14ac:dyDescent="0.3">
      <c r="A50" s="66">
        <f>'50578'!$R$1</f>
        <v>44694</v>
      </c>
      <c r="B50" s="79" t="s">
        <v>295</v>
      </c>
      <c r="C50" s="80" t="str">
        <f t="shared" si="3"/>
        <v>변동성 안정형</v>
      </c>
      <c r="D50" s="10" t="str">
        <f t="shared" si="4"/>
        <v>080-11-332761</v>
      </c>
      <c r="E50" s="16" t="str">
        <f t="shared" si="5"/>
        <v/>
      </c>
      <c r="F50" s="16" t="str">
        <f>'50578'!M52</f>
        <v>A069500</v>
      </c>
      <c r="G50" s="16" t="str">
        <f>'50578'!E52</f>
        <v>KODEX 200</v>
      </c>
      <c r="H50" s="16">
        <f>'50578'!F52</f>
        <v>0</v>
      </c>
      <c r="I50" s="73">
        <f>SUMIFS('12501'!H:H,'12501'!C:C,전체매매내역!K50,'12501'!F:F,전체매매내역!G50)</f>
        <v>0</v>
      </c>
      <c r="J50" s="40">
        <f>'50578'!G52</f>
        <v>33</v>
      </c>
      <c r="K50" s="74" t="str">
        <f>'50578'!C52</f>
        <v>미래변동성안정1</v>
      </c>
    </row>
    <row r="51" spans="1:11" hidden="1" x14ac:dyDescent="0.3">
      <c r="A51" s="66">
        <f>'50578'!$R$1</f>
        <v>44694</v>
      </c>
      <c r="B51" s="79" t="s">
        <v>295</v>
      </c>
      <c r="C51" s="80" t="str">
        <f t="shared" si="3"/>
        <v>변동성 안정형</v>
      </c>
      <c r="D51" s="10" t="str">
        <f t="shared" si="4"/>
        <v>080-11-332761</v>
      </c>
      <c r="E51" s="16" t="str">
        <f t="shared" si="5"/>
        <v/>
      </c>
      <c r="F51" s="16" t="str">
        <f>'50578'!M53</f>
        <v>A102110</v>
      </c>
      <c r="G51" s="16" t="str">
        <f>'50578'!E53</f>
        <v>TIGER 200</v>
      </c>
      <c r="H51" s="16">
        <f>'50578'!F53</f>
        <v>0</v>
      </c>
      <c r="I51" s="73">
        <f>SUMIFS('12501'!H:H,'12501'!C:C,전체매매내역!K51,'12501'!F:F,전체매매내역!G51)</f>
        <v>0</v>
      </c>
      <c r="J51" s="40">
        <f>'50578'!G53</f>
        <v>32</v>
      </c>
      <c r="K51" s="74" t="str">
        <f>'50578'!C53</f>
        <v>미래변동성안정1</v>
      </c>
    </row>
    <row r="52" spans="1:11" hidden="1" x14ac:dyDescent="0.3">
      <c r="A52" s="66">
        <f>'50578'!$R$1</f>
        <v>44694</v>
      </c>
      <c r="B52" s="79" t="s">
        <v>295</v>
      </c>
      <c r="C52" s="80" t="str">
        <f t="shared" si="3"/>
        <v>변동성 안정형</v>
      </c>
      <c r="D52" s="10" t="str">
        <f t="shared" si="4"/>
        <v>080-11-332761</v>
      </c>
      <c r="E52" s="16" t="str">
        <f t="shared" si="5"/>
        <v/>
      </c>
      <c r="F52" s="16" t="str">
        <f>'50578'!M54</f>
        <v>A130730</v>
      </c>
      <c r="G52" s="16" t="str">
        <f>'50578'!E54</f>
        <v>KOSEF 단기자금</v>
      </c>
      <c r="H52" s="16">
        <f>'50578'!F54</f>
        <v>0</v>
      </c>
      <c r="I52" s="73">
        <f>SUMIFS('12501'!H:H,'12501'!C:C,전체매매내역!K52,'12501'!F:F,전체매매내역!G52)</f>
        <v>0</v>
      </c>
      <c r="J52" s="40">
        <f>'50578'!G54</f>
        <v>10</v>
      </c>
      <c r="K52" s="74" t="str">
        <f>'50578'!C54</f>
        <v>미래변동성안정1</v>
      </c>
    </row>
    <row r="53" spans="1:11" hidden="1" x14ac:dyDescent="0.3">
      <c r="A53" s="66">
        <f>'50578'!$R$1</f>
        <v>44694</v>
      </c>
      <c r="B53" s="79" t="s">
        <v>295</v>
      </c>
      <c r="C53" s="80" t="str">
        <f t="shared" ref="C53:C70" si="6">IF(MID(K53,6,2)="공격", "변동성 공격투자형", IF(MID(K53,6,2)="안정", "변동성 안정형", "변동성 위험수익중립형"))</f>
        <v>변동성 안정형</v>
      </c>
      <c r="D53" s="10" t="str">
        <f t="shared" ref="D53:D70" si="7">IF(RIGHT(K53,3)="공격1","080-11-332571",IF(RIGHT(K53,3)="공격2","080-11-332746",IF(RIGHT(K53,3)="공격3","080-11-332753",IF(RIGHT(K53,3)="안정1","080-11-332761",IF(RIGHT(K53,3)="안정2","080-11-332779",IF(RIGHT(K53,3)="안정3","080-11-332787",IF(RIGHT(K53,3)="중립1","080-11-332795",IF(RIGHT(K53,3)="중립2","080-11-332803",IF(RIGHT(K53,3)="중립3","080-11-332811","")))))))))</f>
        <v>080-11-332761</v>
      </c>
      <c r="E53" s="16" t="str">
        <f t="shared" ref="E53:E70" si="8">IF(H53&lt;0,"매도",IF(H53&gt;0,"매수",""))</f>
        <v/>
      </c>
      <c r="F53" s="16" t="str">
        <f>'50578'!M55</f>
        <v>A148020</v>
      </c>
      <c r="G53" s="16" t="str">
        <f>'50578'!E55</f>
        <v>KBSTAR 200</v>
      </c>
      <c r="H53" s="16">
        <f>'50578'!F55</f>
        <v>0</v>
      </c>
      <c r="I53" s="73">
        <f>SUMIFS('12501'!H:H,'12501'!C:C,전체매매내역!K53,'12501'!F:F,전체매매내역!G53)</f>
        <v>0</v>
      </c>
      <c r="J53" s="40">
        <f>'50578'!G55</f>
        <v>32</v>
      </c>
      <c r="K53" s="74" t="str">
        <f>'50578'!C55</f>
        <v>미래변동성안정1</v>
      </c>
    </row>
    <row r="54" spans="1:11" hidden="1" x14ac:dyDescent="0.3">
      <c r="A54" s="66">
        <f>'50578'!$R$1</f>
        <v>44694</v>
      </c>
      <c r="B54" s="79" t="s">
        <v>295</v>
      </c>
      <c r="C54" s="80" t="str">
        <f t="shared" si="6"/>
        <v>변동성 안정형</v>
      </c>
      <c r="D54" s="10" t="str">
        <f t="shared" si="7"/>
        <v>080-11-332761</v>
      </c>
      <c r="E54" s="16" t="str">
        <f t="shared" si="8"/>
        <v/>
      </c>
      <c r="F54" s="16" t="str">
        <f>'50578'!M56</f>
        <v>A196230</v>
      </c>
      <c r="G54" s="16" t="str">
        <f>'50578'!E56</f>
        <v>KBSTAR 단기통안채</v>
      </c>
      <c r="H54" s="16">
        <f>'50578'!F56</f>
        <v>0</v>
      </c>
      <c r="I54" s="73">
        <f>SUMIFS('12501'!H:H,'12501'!C:C,전체매매내역!K54,'12501'!F:F,전체매매내역!G54)</f>
        <v>0</v>
      </c>
      <c r="J54" s="40">
        <f>'50578'!G56</f>
        <v>10</v>
      </c>
      <c r="K54" s="74" t="str">
        <f>'50578'!C56</f>
        <v>미래변동성안정1</v>
      </c>
    </row>
    <row r="55" spans="1:11" hidden="1" x14ac:dyDescent="0.3">
      <c r="A55" s="66">
        <f>'50578'!$R$1</f>
        <v>44694</v>
      </c>
      <c r="B55" s="79" t="s">
        <v>295</v>
      </c>
      <c r="C55" s="80" t="str">
        <f t="shared" si="6"/>
        <v>변동성 안정형</v>
      </c>
      <c r="D55" s="10" t="str">
        <f t="shared" si="7"/>
        <v>080-11-332761</v>
      </c>
      <c r="E55" s="16" t="str">
        <f t="shared" si="8"/>
        <v/>
      </c>
      <c r="F55" s="16" t="str">
        <f>'50578'!M57</f>
        <v>A272580</v>
      </c>
      <c r="G55" s="16" t="str">
        <f>'50578'!E57</f>
        <v>TIGER 단기채권액티브</v>
      </c>
      <c r="H55" s="16">
        <f>'50578'!F57</f>
        <v>0</v>
      </c>
      <c r="I55" s="73">
        <f>SUMIFS('12501'!H:H,'12501'!C:C,전체매매내역!K55,'12501'!F:F,전체매매내역!G55)</f>
        <v>0</v>
      </c>
      <c r="J55" s="40">
        <f>'50578'!G57</f>
        <v>20</v>
      </c>
      <c r="K55" s="74" t="str">
        <f>'50578'!C57</f>
        <v>미래변동성안정1</v>
      </c>
    </row>
    <row r="56" spans="1:11" hidden="1" x14ac:dyDescent="0.3">
      <c r="A56" s="66">
        <f>'50578'!$R$1</f>
        <v>44694</v>
      </c>
      <c r="B56" s="79" t="s">
        <v>295</v>
      </c>
      <c r="C56" s="80" t="str">
        <f t="shared" si="6"/>
        <v>변동성 안정형</v>
      </c>
      <c r="D56" s="10" t="str">
        <f t="shared" si="7"/>
        <v>080-11-332761</v>
      </c>
      <c r="E56" s="16" t="str">
        <f t="shared" si="8"/>
        <v/>
      </c>
      <c r="F56" s="16">
        <f>'50578'!M58</f>
        <v>0</v>
      </c>
      <c r="G56" s="16" t="str">
        <f>'50578'!E58</f>
        <v>원화예금</v>
      </c>
      <c r="H56" s="16">
        <f>'50578'!F58</f>
        <v>0</v>
      </c>
      <c r="I56" s="73">
        <f>SUMIFS('12501'!H:H,'12501'!C:C,전체매매내역!K56,'12501'!F:F,전체매매내역!G56)</f>
        <v>0</v>
      </c>
      <c r="J56" s="40">
        <f>'50578'!G58</f>
        <v>258689</v>
      </c>
      <c r="K56" s="74" t="str">
        <f>'50578'!C58</f>
        <v>미래변동성안정1</v>
      </c>
    </row>
    <row r="57" spans="1:11" hidden="1" x14ac:dyDescent="0.3">
      <c r="A57" s="66">
        <f>'50578'!$R$1</f>
        <v>44694</v>
      </c>
      <c r="B57" s="79" t="s">
        <v>295</v>
      </c>
      <c r="C57" s="80" t="str">
        <f t="shared" si="6"/>
        <v>변동성 안정형</v>
      </c>
      <c r="D57" s="10" t="str">
        <f t="shared" si="7"/>
        <v>080-11-332761</v>
      </c>
      <c r="E57" s="16" t="str">
        <f t="shared" si="8"/>
        <v/>
      </c>
      <c r="F57" s="16">
        <f>'50578'!M59</f>
        <v>0</v>
      </c>
      <c r="G57" s="16">
        <f>'50578'!E59</f>
        <v>0</v>
      </c>
      <c r="H57" s="16">
        <f>'50578'!F59</f>
        <v>0</v>
      </c>
      <c r="I57" s="73">
        <f>SUMIFS('12501'!H:H,'12501'!C:C,전체매매내역!K57,'12501'!F:F,전체매매내역!G57)</f>
        <v>0</v>
      </c>
      <c r="J57" s="40">
        <f>'50578'!G59</f>
        <v>258826</v>
      </c>
      <c r="K57" s="74" t="str">
        <f>'50578'!C59</f>
        <v>미래변동성안정1</v>
      </c>
    </row>
    <row r="58" spans="1:11" hidden="1" x14ac:dyDescent="0.3">
      <c r="A58" s="66">
        <f>'50578'!$R$1</f>
        <v>44694</v>
      </c>
      <c r="B58" s="79" t="s">
        <v>295</v>
      </c>
      <c r="C58" s="80" t="str">
        <f t="shared" si="6"/>
        <v>변동성 안정형</v>
      </c>
      <c r="D58" s="10" t="str">
        <f t="shared" si="7"/>
        <v>080-11-332779</v>
      </c>
      <c r="E58" s="16" t="str">
        <f t="shared" si="8"/>
        <v/>
      </c>
      <c r="F58" s="16" t="str">
        <f>'50578'!M60</f>
        <v>A069500</v>
      </c>
      <c r="G58" s="16" t="str">
        <f>'50578'!E60</f>
        <v>KODEX 200</v>
      </c>
      <c r="H58" s="16">
        <f>'50578'!F60</f>
        <v>0</v>
      </c>
      <c r="I58" s="73">
        <f>SUMIFS('12501'!H:H,'12501'!C:C,전체매매내역!K58,'12501'!F:F,전체매매내역!G58)</f>
        <v>34605</v>
      </c>
      <c r="J58" s="40">
        <f>'50578'!G60</f>
        <v>46</v>
      </c>
      <c r="K58" s="74" t="str">
        <f>'50578'!C60</f>
        <v>미래변동성안정2</v>
      </c>
    </row>
    <row r="59" spans="1:11" hidden="1" x14ac:dyDescent="0.3">
      <c r="A59" s="66">
        <f>'50578'!$R$1</f>
        <v>44694</v>
      </c>
      <c r="B59" s="79" t="s">
        <v>295</v>
      </c>
      <c r="C59" s="80" t="str">
        <f t="shared" si="6"/>
        <v>변동성 안정형</v>
      </c>
      <c r="D59" s="10" t="str">
        <f t="shared" si="7"/>
        <v>080-11-332779</v>
      </c>
      <c r="E59" s="16" t="str">
        <f t="shared" si="8"/>
        <v/>
      </c>
      <c r="F59" s="16" t="str">
        <f>'50578'!M61</f>
        <v>A102110</v>
      </c>
      <c r="G59" s="16" t="str">
        <f>'50578'!E61</f>
        <v>TIGER 200</v>
      </c>
      <c r="H59" s="16">
        <f>'50578'!F61</f>
        <v>0</v>
      </c>
      <c r="I59" s="73">
        <f>SUMIFS('12501'!H:H,'12501'!C:C,전체매매내역!K59,'12501'!F:F,전체매매내역!G59)</f>
        <v>34670</v>
      </c>
      <c r="J59" s="40">
        <f>'50578'!G61</f>
        <v>46</v>
      </c>
      <c r="K59" s="74" t="str">
        <f>'50578'!C61</f>
        <v>미래변동성안정2</v>
      </c>
    </row>
    <row r="60" spans="1:11" hidden="1" x14ac:dyDescent="0.3">
      <c r="A60" s="66">
        <f>'50578'!$R$1</f>
        <v>44694</v>
      </c>
      <c r="B60" s="79" t="s">
        <v>295</v>
      </c>
      <c r="C60" s="80" t="str">
        <f t="shared" si="6"/>
        <v>변동성 안정형</v>
      </c>
      <c r="D60" s="10" t="str">
        <f t="shared" si="7"/>
        <v>080-11-332779</v>
      </c>
      <c r="E60" s="16" t="str">
        <f t="shared" si="8"/>
        <v/>
      </c>
      <c r="F60" s="16" t="str">
        <f>'50578'!M62</f>
        <v>A130730</v>
      </c>
      <c r="G60" s="16" t="str">
        <f>'50578'!E62</f>
        <v>KOSEF 단기자금</v>
      </c>
      <c r="H60" s="16">
        <f>'50578'!F62</f>
        <v>0</v>
      </c>
      <c r="I60" s="73">
        <f>SUMIFS('12501'!H:H,'12501'!C:C,전체매매내역!K60,'12501'!F:F,전체매매내역!G60)</f>
        <v>0</v>
      </c>
      <c r="J60" s="40">
        <f>'50578'!G62</f>
        <v>14</v>
      </c>
      <c r="K60" s="74" t="str">
        <f>'50578'!C62</f>
        <v>미래변동성안정2</v>
      </c>
    </row>
    <row r="61" spans="1:11" hidden="1" x14ac:dyDescent="0.3">
      <c r="A61" s="66">
        <f>'50578'!$R$1</f>
        <v>44694</v>
      </c>
      <c r="B61" s="79" t="s">
        <v>295</v>
      </c>
      <c r="C61" s="80" t="str">
        <f t="shared" si="6"/>
        <v>변동성 안정형</v>
      </c>
      <c r="D61" s="10" t="str">
        <f t="shared" si="7"/>
        <v>080-11-332779</v>
      </c>
      <c r="E61" s="16" t="str">
        <f t="shared" si="8"/>
        <v/>
      </c>
      <c r="F61" s="16" t="str">
        <f>'50578'!M63</f>
        <v>A148020</v>
      </c>
      <c r="G61" s="16" t="str">
        <f>'50578'!E63</f>
        <v>KBSTAR 200</v>
      </c>
      <c r="H61" s="16">
        <f>'50578'!F63</f>
        <v>0</v>
      </c>
      <c r="I61" s="73">
        <f>SUMIFS('12501'!H:H,'12501'!C:C,전체매매내역!K61,'12501'!F:F,전체매매내역!G61)</f>
        <v>34775</v>
      </c>
      <c r="J61" s="40">
        <f>'50578'!G63</f>
        <v>46</v>
      </c>
      <c r="K61" s="74" t="str">
        <f>'50578'!C63</f>
        <v>미래변동성안정2</v>
      </c>
    </row>
    <row r="62" spans="1:11" hidden="1" x14ac:dyDescent="0.3">
      <c r="A62" s="66">
        <f>'50578'!$R$1</f>
        <v>44694</v>
      </c>
      <c r="B62" s="79" t="s">
        <v>295</v>
      </c>
      <c r="C62" s="80" t="str">
        <f t="shared" si="6"/>
        <v>변동성 안정형</v>
      </c>
      <c r="D62" s="10" t="str">
        <f t="shared" si="7"/>
        <v>080-11-332779</v>
      </c>
      <c r="E62" s="16" t="str">
        <f t="shared" si="8"/>
        <v/>
      </c>
      <c r="F62" s="16" t="str">
        <f>'50578'!M64</f>
        <v>A196230</v>
      </c>
      <c r="G62" s="16" t="str">
        <f>'50578'!E64</f>
        <v>KBSTAR 단기통안채</v>
      </c>
      <c r="H62" s="16">
        <f>'50578'!F64</f>
        <v>0</v>
      </c>
      <c r="I62" s="73">
        <f>SUMIFS('12501'!H:H,'12501'!C:C,전체매매내역!K62,'12501'!F:F,전체매매내역!G62)</f>
        <v>105175</v>
      </c>
      <c r="J62" s="40">
        <f>'50578'!G64</f>
        <v>14</v>
      </c>
      <c r="K62" s="74" t="str">
        <f>'50578'!C64</f>
        <v>미래변동성안정2</v>
      </c>
    </row>
    <row r="63" spans="1:11" hidden="1" x14ac:dyDescent="0.3">
      <c r="A63" s="66">
        <f>'50578'!$R$1</f>
        <v>44694</v>
      </c>
      <c r="B63" s="79" t="s">
        <v>295</v>
      </c>
      <c r="C63" s="80" t="str">
        <f t="shared" si="6"/>
        <v>변동성 안정형</v>
      </c>
      <c r="D63" s="10" t="str">
        <f t="shared" si="7"/>
        <v>080-11-332779</v>
      </c>
      <c r="E63" s="16" t="str">
        <f t="shared" si="8"/>
        <v/>
      </c>
      <c r="F63" s="16" t="str">
        <f>'50578'!M65</f>
        <v>A272580</v>
      </c>
      <c r="G63" s="16" t="str">
        <f>'50578'!E65</f>
        <v>TIGER 단기채권액티브</v>
      </c>
      <c r="H63" s="16">
        <f>'50578'!F65</f>
        <v>0</v>
      </c>
      <c r="I63" s="73">
        <f>SUMIFS('12501'!H:H,'12501'!C:C,전체매매내역!K63,'12501'!F:F,전체매매내역!G63)</f>
        <v>0</v>
      </c>
      <c r="J63" s="40">
        <f>'50578'!G65</f>
        <v>29</v>
      </c>
      <c r="K63" s="74" t="str">
        <f>'50578'!C65</f>
        <v>미래변동성안정2</v>
      </c>
    </row>
    <row r="64" spans="1:11" hidden="1" x14ac:dyDescent="0.3">
      <c r="A64" s="66">
        <f>'50578'!$R$1</f>
        <v>44694</v>
      </c>
      <c r="B64" s="79" t="s">
        <v>295</v>
      </c>
      <c r="C64" s="80" t="str">
        <f t="shared" si="6"/>
        <v>변동성 안정형</v>
      </c>
      <c r="D64" s="10" t="str">
        <f t="shared" si="7"/>
        <v>080-11-332779</v>
      </c>
      <c r="E64" s="16" t="str">
        <f t="shared" si="8"/>
        <v/>
      </c>
      <c r="F64" s="16">
        <f>'50578'!M66</f>
        <v>0</v>
      </c>
      <c r="G64" s="16" t="str">
        <f>'50578'!E66</f>
        <v>원화예금</v>
      </c>
      <c r="H64" s="16">
        <f>'50578'!F66</f>
        <v>0</v>
      </c>
      <c r="I64" s="73">
        <f>SUMIFS('12501'!H:H,'12501'!C:C,전체매매내역!K64,'12501'!F:F,전체매매내역!G64)</f>
        <v>0</v>
      </c>
      <c r="J64" s="40">
        <f>'50578'!G66</f>
        <v>427294</v>
      </c>
      <c r="K64" s="74" t="str">
        <f>'50578'!C66</f>
        <v>미래변동성안정2</v>
      </c>
    </row>
    <row r="65" spans="1:11" hidden="1" x14ac:dyDescent="0.3">
      <c r="A65" s="66">
        <f>'50578'!$R$1</f>
        <v>44694</v>
      </c>
      <c r="B65" s="79" t="s">
        <v>295</v>
      </c>
      <c r="C65" s="80" t="str">
        <f t="shared" si="6"/>
        <v>변동성 안정형</v>
      </c>
      <c r="D65" s="10" t="str">
        <f t="shared" si="7"/>
        <v>080-11-332779</v>
      </c>
      <c r="E65" s="16" t="str">
        <f t="shared" si="8"/>
        <v/>
      </c>
      <c r="F65" s="16">
        <f>'50578'!M67</f>
        <v>0</v>
      </c>
      <c r="G65" s="16">
        <f>'50578'!E67</f>
        <v>0</v>
      </c>
      <c r="H65" s="16">
        <f>'50578'!F67</f>
        <v>0</v>
      </c>
      <c r="I65" s="73">
        <f>SUMIFS('12501'!H:H,'12501'!C:C,전체매매내역!K65,'12501'!F:F,전체매매내역!G65)</f>
        <v>0</v>
      </c>
      <c r="J65" s="40">
        <f>'50578'!G67</f>
        <v>427489</v>
      </c>
      <c r="K65" s="74" t="str">
        <f>'50578'!C67</f>
        <v>미래변동성안정2</v>
      </c>
    </row>
    <row r="66" spans="1:11" hidden="1" x14ac:dyDescent="0.3">
      <c r="A66" s="66">
        <f>'50578'!$R$1</f>
        <v>44694</v>
      </c>
      <c r="B66" s="79" t="s">
        <v>295</v>
      </c>
      <c r="C66" s="80" t="str">
        <f t="shared" si="6"/>
        <v>변동성 안정형</v>
      </c>
      <c r="D66" s="10" t="str">
        <f t="shared" si="7"/>
        <v>080-11-332787</v>
      </c>
      <c r="E66" s="16" t="str">
        <f t="shared" si="8"/>
        <v/>
      </c>
      <c r="F66" s="16" t="str">
        <f>'50578'!M68</f>
        <v>A069500</v>
      </c>
      <c r="G66" s="16" t="str">
        <f>'50578'!E68</f>
        <v>KODEX 200</v>
      </c>
      <c r="H66" s="16">
        <f>'50578'!F68</f>
        <v>0</v>
      </c>
      <c r="I66" s="73">
        <f>SUMIFS('12501'!H:H,'12501'!C:C,전체매매내역!K66,'12501'!F:F,전체매매내역!G66)</f>
        <v>0</v>
      </c>
      <c r="J66" s="40">
        <f>'50578'!G68</f>
        <v>60</v>
      </c>
      <c r="K66" s="74" t="str">
        <f>'50578'!C68</f>
        <v>미래변동성안정3</v>
      </c>
    </row>
    <row r="67" spans="1:11" hidden="1" x14ac:dyDescent="0.3">
      <c r="A67" s="66">
        <f>'50578'!$R$1</f>
        <v>44694</v>
      </c>
      <c r="B67" s="79" t="s">
        <v>295</v>
      </c>
      <c r="C67" s="80" t="str">
        <f t="shared" si="6"/>
        <v>변동성 안정형</v>
      </c>
      <c r="D67" s="10" t="str">
        <f t="shared" si="7"/>
        <v>080-11-332787</v>
      </c>
      <c r="E67" s="16" t="str">
        <f t="shared" si="8"/>
        <v/>
      </c>
      <c r="F67" s="16" t="str">
        <f>'50578'!M69</f>
        <v>A102110</v>
      </c>
      <c r="G67" s="16" t="str">
        <f>'50578'!E69</f>
        <v>TIGER 200</v>
      </c>
      <c r="H67" s="16">
        <f>'50578'!F69</f>
        <v>0</v>
      </c>
      <c r="I67" s="73">
        <f>SUMIFS('12501'!H:H,'12501'!C:C,전체매매내역!K67,'12501'!F:F,전체매매내역!G67)</f>
        <v>0</v>
      </c>
      <c r="J67" s="40">
        <f>'50578'!G69</f>
        <v>60</v>
      </c>
      <c r="K67" s="74" t="str">
        <f>'50578'!C69</f>
        <v>미래변동성안정3</v>
      </c>
    </row>
    <row r="68" spans="1:11" hidden="1" x14ac:dyDescent="0.3">
      <c r="A68" s="66">
        <f>'50578'!$R$1</f>
        <v>44694</v>
      </c>
      <c r="B68" s="79" t="s">
        <v>295</v>
      </c>
      <c r="C68" s="80" t="str">
        <f t="shared" si="6"/>
        <v>변동성 안정형</v>
      </c>
      <c r="D68" s="10" t="str">
        <f t="shared" si="7"/>
        <v>080-11-332787</v>
      </c>
      <c r="E68" s="16" t="str">
        <f t="shared" si="8"/>
        <v/>
      </c>
      <c r="F68" s="16" t="str">
        <f>'50578'!M70</f>
        <v>A130730</v>
      </c>
      <c r="G68" s="16" t="str">
        <f>'50578'!E70</f>
        <v>KOSEF 단기자금</v>
      </c>
      <c r="H68" s="16">
        <f>'50578'!F70</f>
        <v>0</v>
      </c>
      <c r="I68" s="73">
        <f>SUMIFS('12501'!H:H,'12501'!C:C,전체매매내역!K68,'12501'!F:F,전체매매내역!G68)</f>
        <v>0</v>
      </c>
      <c r="J68" s="40">
        <f>'50578'!G70</f>
        <v>19</v>
      </c>
      <c r="K68" s="74" t="str">
        <f>'50578'!C70</f>
        <v>미래변동성안정3</v>
      </c>
    </row>
    <row r="69" spans="1:11" hidden="1" x14ac:dyDescent="0.3">
      <c r="A69" s="66">
        <f>'50578'!$R$1</f>
        <v>44694</v>
      </c>
      <c r="B69" s="79" t="s">
        <v>295</v>
      </c>
      <c r="C69" s="80" t="str">
        <f t="shared" si="6"/>
        <v>변동성 안정형</v>
      </c>
      <c r="D69" s="10" t="str">
        <f t="shared" si="7"/>
        <v>080-11-332787</v>
      </c>
      <c r="E69" s="16" t="str">
        <f t="shared" si="8"/>
        <v/>
      </c>
      <c r="F69" s="16" t="str">
        <f>'50578'!M71</f>
        <v>A148020</v>
      </c>
      <c r="G69" s="16" t="str">
        <f>'50578'!E71</f>
        <v>KBSTAR 200</v>
      </c>
      <c r="H69" s="16">
        <f>'50578'!F71</f>
        <v>0</v>
      </c>
      <c r="I69" s="73">
        <f>SUMIFS('12501'!H:H,'12501'!C:C,전체매매내역!K69,'12501'!F:F,전체매매내역!G69)</f>
        <v>0</v>
      </c>
      <c r="J69" s="40">
        <f>'50578'!G71</f>
        <v>60</v>
      </c>
      <c r="K69" s="74" t="str">
        <f>'50578'!C71</f>
        <v>미래변동성안정3</v>
      </c>
    </row>
    <row r="70" spans="1:11" hidden="1" x14ac:dyDescent="0.3">
      <c r="A70" s="66">
        <f>'50578'!$R$1</f>
        <v>44694</v>
      </c>
      <c r="B70" s="79" t="s">
        <v>295</v>
      </c>
      <c r="C70" s="80" t="str">
        <f t="shared" si="6"/>
        <v>변동성 안정형</v>
      </c>
      <c r="D70" s="10" t="str">
        <f t="shared" si="7"/>
        <v>080-11-332787</v>
      </c>
      <c r="E70" s="16" t="str">
        <f t="shared" si="8"/>
        <v/>
      </c>
      <c r="F70" s="16" t="str">
        <f>'50578'!M72</f>
        <v>A196230</v>
      </c>
      <c r="G70" s="16" t="str">
        <f>'50578'!E72</f>
        <v>KBSTAR 단기통안채</v>
      </c>
      <c r="H70" s="16">
        <f>'50578'!F72</f>
        <v>0</v>
      </c>
      <c r="I70" s="73">
        <f>SUMIFS('12501'!H:H,'12501'!C:C,전체매매내역!K70,'12501'!F:F,전체매매내역!G70)</f>
        <v>0</v>
      </c>
      <c r="J70" s="40">
        <f>'50578'!G72</f>
        <v>18</v>
      </c>
      <c r="K70" s="74" t="str">
        <f>'50578'!C72</f>
        <v>미래변동성안정3</v>
      </c>
    </row>
    <row r="71" spans="1:11" hidden="1" x14ac:dyDescent="0.3">
      <c r="A71" s="66">
        <f>'50578'!$R$1</f>
        <v>44694</v>
      </c>
      <c r="B71" s="79" t="s">
        <v>295</v>
      </c>
      <c r="C71" s="80" t="str">
        <f t="shared" ref="C71:C73" si="9">IF(MID(K71,6,2)="공격", "변동성 공격투자형", IF(MID(K71,6,2)="안정", "변동성 안정형", "변동성 위험수익중립형"))</f>
        <v>변동성 안정형</v>
      </c>
      <c r="D71" s="10" t="str">
        <f t="shared" ref="D71:D73" si="10">IF(RIGHT(K71,3)="공격1","080-11-332571",IF(RIGHT(K71,3)="공격2","080-11-332746",IF(RIGHT(K71,3)="공격3","080-11-332753",IF(RIGHT(K71,3)="안정1","080-11-332761",IF(RIGHT(K71,3)="안정2","080-11-332779",IF(RIGHT(K71,3)="안정3","080-11-332787",IF(RIGHT(K71,3)="중립1","080-11-332795",IF(RIGHT(K71,3)="중립2","080-11-332803",IF(RIGHT(K71,3)="중립3","080-11-332811","")))))))))</f>
        <v>080-11-332787</v>
      </c>
      <c r="E71" s="16" t="str">
        <f t="shared" ref="E71:E73" si="11">IF(H71&lt;0,"매도",IF(H71&gt;0,"매수",""))</f>
        <v/>
      </c>
      <c r="F71" s="16" t="str">
        <f>'50578'!M73</f>
        <v>A272580</v>
      </c>
      <c r="G71" s="16" t="str">
        <f>'50578'!E73</f>
        <v>TIGER 단기채권액티브</v>
      </c>
      <c r="H71" s="16">
        <f>'50578'!F73</f>
        <v>0</v>
      </c>
      <c r="I71" s="73">
        <f>SUMIFS('12501'!H:H,'12501'!C:C,전체매매내역!K71,'12501'!F:F,전체매매내역!G71)</f>
        <v>0</v>
      </c>
      <c r="J71" s="40">
        <f>'50578'!G73</f>
        <v>38</v>
      </c>
      <c r="K71" s="74" t="str">
        <f>'50578'!C73</f>
        <v>미래변동성안정3</v>
      </c>
    </row>
    <row r="72" spans="1:11" hidden="1" x14ac:dyDescent="0.3">
      <c r="A72" s="66">
        <f>'50578'!$R$1</f>
        <v>44694</v>
      </c>
      <c r="B72" s="79" t="s">
        <v>295</v>
      </c>
      <c r="C72" s="80" t="str">
        <f t="shared" si="9"/>
        <v>변동성 안정형</v>
      </c>
      <c r="D72" s="10" t="str">
        <f t="shared" si="10"/>
        <v>080-11-332787</v>
      </c>
      <c r="E72" s="16" t="str">
        <f t="shared" si="11"/>
        <v/>
      </c>
      <c r="F72" s="16">
        <f>'50578'!M74</f>
        <v>0</v>
      </c>
      <c r="G72" s="16" t="str">
        <f>'50578'!E74</f>
        <v>원화예금</v>
      </c>
      <c r="H72" s="16">
        <f>'50578'!F74</f>
        <v>0</v>
      </c>
      <c r="I72" s="73">
        <f>SUMIFS('12501'!H:H,'12501'!C:C,전체매매내역!K72,'12501'!F:F,전체매매내역!G72)</f>
        <v>0</v>
      </c>
      <c r="J72" s="40">
        <f>'50578'!G74</f>
        <v>459853</v>
      </c>
      <c r="K72" s="74" t="str">
        <f>'50578'!C74</f>
        <v>미래변동성안정3</v>
      </c>
    </row>
    <row r="73" spans="1:11" hidden="1" x14ac:dyDescent="0.3">
      <c r="A73" s="66">
        <f>'50578'!$R$1</f>
        <v>44694</v>
      </c>
      <c r="B73" s="79" t="s">
        <v>295</v>
      </c>
      <c r="C73" s="80" t="str">
        <f t="shared" si="9"/>
        <v>변동성 안정형</v>
      </c>
      <c r="D73" s="10" t="str">
        <f t="shared" si="10"/>
        <v>080-11-332787</v>
      </c>
      <c r="E73" s="16" t="str">
        <f t="shared" si="11"/>
        <v/>
      </c>
      <c r="F73" s="16">
        <f>'50578'!M75</f>
        <v>0</v>
      </c>
      <c r="G73" s="16">
        <f>'50578'!E75</f>
        <v>0</v>
      </c>
      <c r="H73" s="16">
        <f>'50578'!F75</f>
        <v>0</v>
      </c>
      <c r="I73" s="73">
        <f>SUMIFS('12501'!H:H,'12501'!C:C,전체매매내역!K73,'12501'!F:F,전체매매내역!G73)</f>
        <v>0</v>
      </c>
      <c r="J73" s="40">
        <f>'50578'!G75</f>
        <v>460108</v>
      </c>
      <c r="K73" s="74" t="str">
        <f>'50578'!C75</f>
        <v>미래변동성안정3</v>
      </c>
    </row>
    <row r="74" spans="1:11" hidden="1" x14ac:dyDescent="0.3">
      <c r="A74" s="66">
        <f>'50578'!$R$1</f>
        <v>44694</v>
      </c>
      <c r="B74" s="79" t="s">
        <v>295</v>
      </c>
      <c r="C74" s="80" t="str">
        <f t="shared" ref="C74" si="12">IF(MID(K74,6,2)="공격", "변동성 공격투자형", IF(MID(K74,6,2)="안정", "변동성 안정형", "변동성 위험수익중립형"))</f>
        <v>변동성 위험수익중립형</v>
      </c>
      <c r="D74" s="10" t="str">
        <f t="shared" ref="D74" si="13">IF(RIGHT(K74,3)="공격1","080-11-332571",IF(RIGHT(K74,3)="공격2","080-11-332746",IF(RIGHT(K74,3)="공격3","080-11-332753",IF(RIGHT(K74,3)="안정1","080-11-332761",IF(RIGHT(K74,3)="안정2","080-11-332779",IF(RIGHT(K74,3)="안정3","080-11-332787",IF(RIGHT(K74,3)="중립1","080-11-332795",IF(RIGHT(K74,3)="중립2","080-11-332803",IF(RIGHT(K74,3)="중립3","080-11-332811","")))))))))</f>
        <v/>
      </c>
      <c r="E74" s="16" t="str">
        <f t="shared" ref="E74" si="14">IF(H74&lt;0,"매도",IF(H74&gt;0,"매수",""))</f>
        <v/>
      </c>
      <c r="F74" s="16">
        <f>'50578'!M76</f>
        <v>0</v>
      </c>
      <c r="G74" s="16" t="str">
        <f>'50578'!E76</f>
        <v>원화예금</v>
      </c>
      <c r="H74" s="16">
        <f>'50578'!F76</f>
        <v>0</v>
      </c>
      <c r="I74" s="73">
        <f>SUMIFS('12501'!H:H,'12501'!C:C,전체매매내역!K74,'12501'!F:F,전체매매내역!G74)</f>
        <v>0</v>
      </c>
      <c r="J74" s="40">
        <f>'50578'!G76</f>
        <v>167</v>
      </c>
      <c r="K74" s="74" t="str">
        <f>'50578'!C76</f>
        <v>미래초개인로보적극1</v>
      </c>
    </row>
    <row r="75" spans="1:11" hidden="1" x14ac:dyDescent="0.3">
      <c r="A75" s="66">
        <f>'50578'!$R$1</f>
        <v>44694</v>
      </c>
      <c r="B75" s="79" t="s">
        <v>295</v>
      </c>
      <c r="C75" s="80" t="str">
        <f t="shared" ref="C75:C82" si="15">IF(MID(K75,6,2)="공격", "변동성 공격투자형", IF(MID(K75,6,2)="안정", "변동성 안정형", "변동성 위험수익중립형"))</f>
        <v>변동성 위험수익중립형</v>
      </c>
      <c r="D75" s="10" t="str">
        <f t="shared" ref="D75:D82" si="16">IF(RIGHT(K75,3)="공격1","080-11-332571",IF(RIGHT(K75,3)="공격2","080-11-332746",IF(RIGHT(K75,3)="공격3","080-11-332753",IF(RIGHT(K75,3)="안정1","080-11-332761",IF(RIGHT(K75,3)="안정2","080-11-332779",IF(RIGHT(K75,3)="안정3","080-11-332787",IF(RIGHT(K75,3)="중립1","080-11-332795",IF(RIGHT(K75,3)="중립2","080-11-332803",IF(RIGHT(K75,3)="중립3","080-11-332811","")))))))))</f>
        <v/>
      </c>
      <c r="E75" s="16" t="str">
        <f t="shared" ref="E75:E82" si="17">IF(H75&lt;0,"매도",IF(H75&gt;0,"매수",""))</f>
        <v/>
      </c>
      <c r="F75" s="16">
        <f>'50578'!M77</f>
        <v>0</v>
      </c>
      <c r="G75" s="16">
        <f>'50578'!E77</f>
        <v>0</v>
      </c>
      <c r="H75" s="16">
        <f>'50578'!F77</f>
        <v>0</v>
      </c>
      <c r="I75" s="73">
        <f>SUMIFS('12501'!H:H,'12501'!C:C,전체매매내역!K75,'12501'!F:F,전체매매내역!G75)</f>
        <v>0</v>
      </c>
      <c r="J75" s="40">
        <f>'50578'!G77</f>
        <v>167</v>
      </c>
      <c r="K75" s="74" t="str">
        <f>'50578'!C77</f>
        <v>미래초개인로보적극1</v>
      </c>
    </row>
    <row r="76" spans="1:11" hidden="1" x14ac:dyDescent="0.3">
      <c r="A76" s="66">
        <f>'50578'!$R$1</f>
        <v>44694</v>
      </c>
      <c r="B76" s="79" t="s">
        <v>295</v>
      </c>
      <c r="C76" s="80" t="str">
        <f t="shared" si="15"/>
        <v>변동성 위험수익중립형</v>
      </c>
      <c r="D76" s="10" t="str">
        <f t="shared" si="16"/>
        <v/>
      </c>
      <c r="E76" s="16" t="str">
        <f t="shared" si="17"/>
        <v/>
      </c>
      <c r="F76" s="16">
        <f>'50578'!M78</f>
        <v>0</v>
      </c>
      <c r="G76" s="16" t="str">
        <f>'50578'!E78</f>
        <v>원화예금</v>
      </c>
      <c r="H76" s="16">
        <f>'50578'!F78</f>
        <v>0</v>
      </c>
      <c r="I76" s="73">
        <f>SUMIFS('12501'!H:H,'12501'!C:C,전체매매내역!K76,'12501'!F:F,전체매매내역!G76)</f>
        <v>0</v>
      </c>
      <c r="J76" s="40">
        <f>'50578'!G78</f>
        <v>336</v>
      </c>
      <c r="K76" s="74" t="str">
        <f>'50578'!C78</f>
        <v>미래초개인로보적극2</v>
      </c>
    </row>
    <row r="77" spans="1:11" hidden="1" x14ac:dyDescent="0.3">
      <c r="A77" s="66">
        <f>'50578'!$R$1</f>
        <v>44694</v>
      </c>
      <c r="B77" s="79" t="s">
        <v>295</v>
      </c>
      <c r="C77" s="80" t="str">
        <f t="shared" si="15"/>
        <v>변동성 위험수익중립형</v>
      </c>
      <c r="D77" s="10" t="str">
        <f t="shared" si="16"/>
        <v/>
      </c>
      <c r="E77" s="16" t="str">
        <f t="shared" si="17"/>
        <v/>
      </c>
      <c r="F77" s="16">
        <f>'50578'!M79</f>
        <v>0</v>
      </c>
      <c r="G77" s="16">
        <f>'50578'!E79</f>
        <v>0</v>
      </c>
      <c r="H77" s="16">
        <f>'50578'!F79</f>
        <v>0</v>
      </c>
      <c r="I77" s="73">
        <f>SUMIFS('12501'!H:H,'12501'!C:C,전체매매내역!K77,'12501'!F:F,전체매매내역!G77)</f>
        <v>0</v>
      </c>
      <c r="J77" s="40">
        <f>'50578'!G79</f>
        <v>336</v>
      </c>
      <c r="K77" s="74" t="str">
        <f>'50578'!C79</f>
        <v>미래초개인로보적극2</v>
      </c>
    </row>
    <row r="78" spans="1:11" hidden="1" x14ac:dyDescent="0.3">
      <c r="A78" s="66">
        <f>'50578'!$R$1</f>
        <v>44694</v>
      </c>
      <c r="B78" s="79" t="s">
        <v>295</v>
      </c>
      <c r="C78" s="80" t="str">
        <f t="shared" si="15"/>
        <v>변동성 위험수익중립형</v>
      </c>
      <c r="D78" s="10" t="str">
        <f t="shared" si="16"/>
        <v/>
      </c>
      <c r="E78" s="16" t="str">
        <f t="shared" si="17"/>
        <v/>
      </c>
      <c r="F78" s="16">
        <f>'50578'!M80</f>
        <v>0</v>
      </c>
      <c r="G78" s="16" t="str">
        <f>'50578'!E80</f>
        <v>원화예금</v>
      </c>
      <c r="H78" s="16">
        <f>'50578'!F80</f>
        <v>0</v>
      </c>
      <c r="I78" s="73">
        <f>SUMIFS('12501'!H:H,'12501'!C:C,전체매매내역!K78,'12501'!F:F,전체매매내역!G78)</f>
        <v>0</v>
      </c>
      <c r="J78" s="40">
        <f>'50578'!G80</f>
        <v>408</v>
      </c>
      <c r="K78" s="74" t="str">
        <f>'50578'!C80</f>
        <v>미래초개인로보적극3</v>
      </c>
    </row>
    <row r="79" spans="1:11" hidden="1" x14ac:dyDescent="0.3">
      <c r="A79" s="66">
        <f>'50578'!$R$1</f>
        <v>44694</v>
      </c>
      <c r="B79" s="79" t="s">
        <v>295</v>
      </c>
      <c r="C79" s="80" t="str">
        <f t="shared" si="15"/>
        <v>변동성 위험수익중립형</v>
      </c>
      <c r="D79" s="10" t="str">
        <f t="shared" si="16"/>
        <v/>
      </c>
      <c r="E79" s="16" t="str">
        <f t="shared" si="17"/>
        <v/>
      </c>
      <c r="F79" s="16">
        <f>'50578'!M81</f>
        <v>0</v>
      </c>
      <c r="G79" s="16">
        <f>'50578'!E81</f>
        <v>0</v>
      </c>
      <c r="H79" s="16">
        <f>'50578'!F81</f>
        <v>0</v>
      </c>
      <c r="I79" s="73">
        <f>SUMIFS('12501'!H:H,'12501'!C:C,전체매매내역!K79,'12501'!F:F,전체매매내역!G79)</f>
        <v>0</v>
      </c>
      <c r="J79" s="40">
        <f>'50578'!G81</f>
        <v>408</v>
      </c>
      <c r="K79" s="74" t="str">
        <f>'50578'!C81</f>
        <v>미래초개인로보적극3</v>
      </c>
    </row>
    <row r="80" spans="1:11" hidden="1" x14ac:dyDescent="0.3">
      <c r="A80" s="66">
        <f>'50578'!$R$1</f>
        <v>44694</v>
      </c>
      <c r="B80" s="79" t="s">
        <v>295</v>
      </c>
      <c r="C80" s="80" t="str">
        <f t="shared" si="15"/>
        <v>변동성 위험수익중립형</v>
      </c>
      <c r="D80" s="10" t="str">
        <f t="shared" si="16"/>
        <v/>
      </c>
      <c r="E80" s="16" t="str">
        <f t="shared" si="17"/>
        <v/>
      </c>
      <c r="F80" s="16">
        <f>'50578'!M82</f>
        <v>0</v>
      </c>
      <c r="G80" s="16" t="str">
        <f>'50578'!E82</f>
        <v>원화예금</v>
      </c>
      <c r="H80" s="16">
        <f>'50578'!F82</f>
        <v>0</v>
      </c>
      <c r="I80" s="73">
        <f>SUMIFS('12501'!H:H,'12501'!C:C,전체매매내역!K80,'12501'!F:F,전체매매내역!G80)</f>
        <v>0</v>
      </c>
      <c r="J80" s="40">
        <f>'50578'!G82</f>
        <v>361</v>
      </c>
      <c r="K80" s="74" t="str">
        <f>'50578'!C82</f>
        <v>미래초개인로보성장1</v>
      </c>
    </row>
    <row r="81" spans="1:11" hidden="1" x14ac:dyDescent="0.3">
      <c r="A81" s="66">
        <f>'50578'!$R$1</f>
        <v>44694</v>
      </c>
      <c r="B81" s="79" t="s">
        <v>295</v>
      </c>
      <c r="C81" s="80" t="str">
        <f t="shared" si="15"/>
        <v>변동성 위험수익중립형</v>
      </c>
      <c r="D81" s="10" t="str">
        <f t="shared" si="16"/>
        <v/>
      </c>
      <c r="E81" s="16" t="str">
        <f t="shared" si="17"/>
        <v/>
      </c>
      <c r="F81" s="16">
        <f>'50578'!M83</f>
        <v>0</v>
      </c>
      <c r="G81" s="16">
        <f>'50578'!E83</f>
        <v>0</v>
      </c>
      <c r="H81" s="16">
        <f>'50578'!F83</f>
        <v>0</v>
      </c>
      <c r="I81" s="73">
        <f>SUMIFS('12501'!H:H,'12501'!C:C,전체매매내역!K81,'12501'!F:F,전체매매내역!G81)</f>
        <v>0</v>
      </c>
      <c r="J81" s="40">
        <f>'50578'!G83</f>
        <v>361</v>
      </c>
      <c r="K81" s="74" t="str">
        <f>'50578'!C83</f>
        <v>미래초개인로보성장1</v>
      </c>
    </row>
    <row r="82" spans="1:11" hidden="1" x14ac:dyDescent="0.3">
      <c r="A82" s="66">
        <f>'50578'!$R$1</f>
        <v>44694</v>
      </c>
      <c r="B82" s="79" t="s">
        <v>295</v>
      </c>
      <c r="C82" s="80" t="str">
        <f t="shared" si="15"/>
        <v>변동성 위험수익중립형</v>
      </c>
      <c r="D82" s="10" t="str">
        <f t="shared" si="16"/>
        <v/>
      </c>
      <c r="E82" s="16" t="str">
        <f t="shared" si="17"/>
        <v/>
      </c>
      <c r="F82" s="16">
        <f>'50578'!M84</f>
        <v>0</v>
      </c>
      <c r="G82" s="16" t="str">
        <f>'50578'!E84</f>
        <v>원화예금</v>
      </c>
      <c r="H82" s="16">
        <f>'50578'!F84</f>
        <v>0</v>
      </c>
      <c r="I82" s="73">
        <f>SUMIFS('12501'!H:H,'12501'!C:C,전체매매내역!K82,'12501'!F:F,전체매매내역!G82)</f>
        <v>0</v>
      </c>
      <c r="J82" s="40">
        <f>'50578'!G84</f>
        <v>530</v>
      </c>
      <c r="K82" s="74" t="str">
        <f>'50578'!C84</f>
        <v>미래초개인로보성장2</v>
      </c>
    </row>
    <row r="83" spans="1:11" x14ac:dyDescent="0.3">
      <c r="A83" s="66"/>
      <c r="B83" s="7"/>
      <c r="C83" s="34"/>
      <c r="D83" s="10"/>
      <c r="E83" s="16"/>
      <c r="F83" s="16"/>
      <c r="G83" s="16"/>
      <c r="H83" s="16"/>
      <c r="I83" s="73"/>
      <c r="J83" s="40"/>
      <c r="K83" s="74"/>
    </row>
    <row r="84" spans="1:11" x14ac:dyDescent="0.3">
      <c r="A84" s="66"/>
      <c r="B84" s="7"/>
      <c r="C84" s="34"/>
      <c r="D84" s="10"/>
      <c r="E84" s="16"/>
      <c r="F84" s="16"/>
      <c r="G84" s="16"/>
      <c r="H84" s="16"/>
      <c r="I84" s="73"/>
      <c r="J84" s="40"/>
      <c r="K84" s="74"/>
    </row>
    <row r="85" spans="1:11" x14ac:dyDescent="0.3">
      <c r="A85" s="66"/>
      <c r="B85" s="7"/>
      <c r="C85" s="34"/>
      <c r="D85" s="10"/>
      <c r="E85" s="16"/>
      <c r="F85" s="16"/>
      <c r="G85" s="16"/>
      <c r="H85" s="16"/>
      <c r="I85" s="73"/>
      <c r="J85" s="40"/>
      <c r="K85" s="74"/>
    </row>
    <row r="86" spans="1:11" x14ac:dyDescent="0.3">
      <c r="A86" s="66"/>
      <c r="B86" s="7"/>
      <c r="C86" s="34"/>
      <c r="D86" s="10"/>
      <c r="E86" s="16"/>
      <c r="F86" s="16"/>
      <c r="G86" s="16"/>
      <c r="H86" s="16"/>
      <c r="I86" s="73"/>
      <c r="J86" s="40"/>
      <c r="K86" s="74"/>
    </row>
    <row r="87" spans="1:11" x14ac:dyDescent="0.3">
      <c r="A87" s="66"/>
      <c r="B87" s="7"/>
      <c r="C87" s="34"/>
      <c r="D87" s="10"/>
      <c r="E87" s="16"/>
      <c r="F87" s="16"/>
      <c r="G87" s="16"/>
      <c r="H87" s="16"/>
      <c r="I87" s="73"/>
      <c r="J87" s="40"/>
      <c r="K87" s="74"/>
    </row>
    <row r="88" spans="1:11" x14ac:dyDescent="0.3">
      <c r="A88" s="66"/>
      <c r="B88" s="7"/>
      <c r="C88" s="34"/>
      <c r="D88" s="10"/>
      <c r="E88" s="16"/>
      <c r="F88" s="16"/>
      <c r="G88" s="16"/>
      <c r="H88" s="16"/>
      <c r="I88" s="73"/>
      <c r="J88" s="40"/>
      <c r="K88" s="74"/>
    </row>
    <row r="89" spans="1:11" x14ac:dyDescent="0.3">
      <c r="A89" s="66"/>
      <c r="B89" s="16"/>
      <c r="C89" s="16"/>
      <c r="D89" s="16"/>
      <c r="E89" s="16"/>
      <c r="F89" s="16"/>
      <c r="G89" s="16"/>
      <c r="H89" s="16"/>
      <c r="I89" s="16"/>
      <c r="J89" s="40"/>
      <c r="K89" s="65"/>
    </row>
    <row r="90" spans="1:11" x14ac:dyDescent="0.3">
      <c r="A90" s="66"/>
      <c r="B90" s="16"/>
      <c r="C90" s="16"/>
      <c r="D90" s="16"/>
      <c r="E90" s="16"/>
      <c r="F90" s="16"/>
      <c r="G90" s="16"/>
      <c r="H90" s="16"/>
      <c r="I90" s="16"/>
      <c r="J90" s="40"/>
      <c r="K90" s="65"/>
    </row>
    <row r="91" spans="1:11" x14ac:dyDescent="0.3">
      <c r="A91" s="66"/>
      <c r="B91" s="16"/>
      <c r="C91" s="16"/>
      <c r="D91" s="16"/>
      <c r="E91" s="16"/>
      <c r="F91" s="16"/>
      <c r="G91" s="16"/>
      <c r="H91" s="16"/>
      <c r="I91" s="16"/>
      <c r="J91" s="40"/>
      <c r="K91" s="65"/>
    </row>
    <row r="92" spans="1:11" x14ac:dyDescent="0.3">
      <c r="A92" s="66"/>
      <c r="B92" s="16"/>
      <c r="C92" s="16"/>
      <c r="D92" s="16"/>
      <c r="E92" s="16"/>
      <c r="F92" s="16"/>
      <c r="G92" s="16"/>
      <c r="H92" s="16"/>
      <c r="I92" s="16"/>
      <c r="J92" s="40"/>
      <c r="K92" s="65"/>
    </row>
    <row r="93" spans="1:11" x14ac:dyDescent="0.3">
      <c r="A93" s="66"/>
      <c r="B93" s="16"/>
      <c r="C93" s="16"/>
      <c r="D93" s="16"/>
      <c r="E93" s="16"/>
      <c r="F93" s="16"/>
      <c r="G93" s="16"/>
      <c r="H93" s="16"/>
      <c r="I93" s="16"/>
      <c r="J93" s="40"/>
      <c r="K93" s="65"/>
    </row>
    <row r="94" spans="1:11" x14ac:dyDescent="0.3">
      <c r="A94" s="66"/>
      <c r="B94" s="16"/>
      <c r="C94" s="16"/>
      <c r="D94" s="16"/>
      <c r="E94" s="16"/>
      <c r="F94" s="16"/>
      <c r="G94" s="16"/>
      <c r="H94" s="16"/>
      <c r="I94" s="16"/>
      <c r="J94" s="40"/>
      <c r="K94" s="65"/>
    </row>
    <row r="95" spans="1:11" x14ac:dyDescent="0.3">
      <c r="A95" s="66"/>
      <c r="B95" s="16"/>
      <c r="C95" s="16"/>
      <c r="D95" s="16"/>
      <c r="E95" s="16"/>
      <c r="F95" s="16"/>
      <c r="G95" s="16"/>
      <c r="H95" s="16"/>
      <c r="I95" s="16"/>
      <c r="J95" s="40"/>
      <c r="K95" s="65"/>
    </row>
    <row r="96" spans="1:11" x14ac:dyDescent="0.3">
      <c r="A96" s="66"/>
      <c r="B96" s="16"/>
      <c r="C96" s="16"/>
      <c r="D96" s="16"/>
      <c r="E96" s="16"/>
      <c r="F96" s="16"/>
      <c r="G96" s="16"/>
      <c r="H96" s="16"/>
      <c r="I96" s="16"/>
      <c r="J96" s="40"/>
      <c r="K96" s="65"/>
    </row>
    <row r="97" spans="1:11" x14ac:dyDescent="0.3">
      <c r="A97" s="66"/>
      <c r="B97" s="16"/>
      <c r="C97" s="16"/>
      <c r="D97" s="16"/>
      <c r="E97" s="16"/>
      <c r="F97" s="16"/>
      <c r="G97" s="16"/>
      <c r="H97" s="16"/>
      <c r="I97" s="16"/>
      <c r="J97" s="40"/>
      <c r="K97" s="65"/>
    </row>
    <row r="98" spans="1:11" x14ac:dyDescent="0.3">
      <c r="A98" s="66"/>
      <c r="B98" s="16"/>
      <c r="C98" s="16"/>
      <c r="D98" s="16"/>
      <c r="E98" s="16"/>
      <c r="F98" s="16"/>
      <c r="G98" s="16"/>
      <c r="H98" s="16"/>
      <c r="I98" s="16"/>
      <c r="J98" s="40"/>
      <c r="K98" s="65"/>
    </row>
    <row r="99" spans="1:11" x14ac:dyDescent="0.3">
      <c r="A99" s="66"/>
      <c r="B99" s="16"/>
      <c r="C99" s="16"/>
      <c r="D99" s="16"/>
      <c r="E99" s="16"/>
      <c r="F99" s="16"/>
      <c r="G99" s="16"/>
      <c r="H99" s="16"/>
      <c r="I99" s="16"/>
      <c r="J99" s="40"/>
      <c r="K99" s="65"/>
    </row>
    <row r="100" spans="1:11" x14ac:dyDescent="0.3">
      <c r="A100" s="66"/>
      <c r="B100" s="16"/>
      <c r="C100" s="16"/>
      <c r="D100" s="16"/>
      <c r="E100" s="16"/>
      <c r="F100" s="16"/>
      <c r="G100" s="16"/>
      <c r="H100" s="16"/>
      <c r="I100" s="16"/>
      <c r="J100" s="40"/>
      <c r="K100" s="65"/>
    </row>
    <row r="101" spans="1:11" x14ac:dyDescent="0.3">
      <c r="A101" s="66"/>
      <c r="B101" s="16"/>
      <c r="C101" s="16"/>
      <c r="D101" s="16"/>
      <c r="E101" s="16"/>
      <c r="F101" s="16"/>
      <c r="G101" s="16"/>
      <c r="H101" s="16"/>
      <c r="I101" s="16"/>
      <c r="J101" s="40"/>
      <c r="K101" s="65"/>
    </row>
    <row r="102" spans="1:11" x14ac:dyDescent="0.3">
      <c r="A102" s="66"/>
      <c r="B102" s="16"/>
      <c r="C102" s="16"/>
      <c r="D102" s="16"/>
      <c r="E102" s="16"/>
      <c r="F102" s="16"/>
      <c r="G102" s="16"/>
      <c r="H102" s="16"/>
      <c r="I102" s="16"/>
      <c r="J102" s="40"/>
      <c r="K102" s="65"/>
    </row>
    <row r="103" spans="1:11" x14ac:dyDescent="0.3">
      <c r="A103" s="66"/>
      <c r="B103" s="16"/>
      <c r="C103" s="16"/>
      <c r="D103" s="16"/>
      <c r="E103" s="16"/>
      <c r="F103" s="16"/>
      <c r="G103" s="16"/>
      <c r="H103" s="16"/>
      <c r="I103" s="16"/>
      <c r="J103" s="40"/>
      <c r="K103" s="65"/>
    </row>
    <row r="104" spans="1:11" x14ac:dyDescent="0.3">
      <c r="A104" s="66"/>
      <c r="B104" s="16"/>
      <c r="C104" s="16"/>
      <c r="D104" s="16"/>
      <c r="E104" s="16"/>
      <c r="F104" s="16"/>
      <c r="G104" s="16"/>
      <c r="H104" s="16"/>
      <c r="I104" s="16"/>
      <c r="J104" s="40"/>
      <c r="K104" s="65"/>
    </row>
    <row r="105" spans="1:11" x14ac:dyDescent="0.3">
      <c r="A105" s="66"/>
      <c r="B105" s="16"/>
      <c r="C105" s="16"/>
      <c r="D105" s="16"/>
      <c r="E105" s="16"/>
      <c r="F105" s="16"/>
      <c r="G105" s="16"/>
      <c r="H105" s="16"/>
      <c r="I105" s="16"/>
      <c r="J105" s="40"/>
      <c r="K105" s="65"/>
    </row>
    <row r="106" spans="1:11" x14ac:dyDescent="0.3">
      <c r="A106" s="66"/>
      <c r="B106" s="16"/>
      <c r="C106" s="16"/>
      <c r="D106" s="16"/>
      <c r="E106" s="16"/>
      <c r="F106" s="16"/>
      <c r="G106" s="16"/>
      <c r="H106" s="16"/>
      <c r="I106" s="16"/>
      <c r="J106" s="40"/>
      <c r="K106" s="65"/>
    </row>
    <row r="107" spans="1:11" x14ac:dyDescent="0.3">
      <c r="A107" s="66"/>
      <c r="B107" s="16"/>
      <c r="C107" s="16"/>
      <c r="D107" s="16"/>
      <c r="E107" s="16"/>
      <c r="F107" s="16"/>
      <c r="G107" s="16"/>
      <c r="H107" s="16"/>
      <c r="I107" s="16"/>
      <c r="J107" s="40"/>
      <c r="K107" s="65"/>
    </row>
    <row r="108" spans="1:11" x14ac:dyDescent="0.3">
      <c r="A108" s="66"/>
      <c r="B108" s="16"/>
      <c r="C108" s="16"/>
      <c r="D108" s="16"/>
      <c r="E108" s="16"/>
      <c r="F108" s="16"/>
      <c r="G108" s="16"/>
      <c r="H108" s="16"/>
      <c r="I108" s="16"/>
      <c r="J108" s="40"/>
      <c r="K108" s="65"/>
    </row>
    <row r="109" spans="1:11" x14ac:dyDescent="0.3">
      <c r="A109" s="66"/>
      <c r="B109" s="16"/>
      <c r="C109" s="16"/>
      <c r="D109" s="16"/>
      <c r="E109" s="16"/>
      <c r="F109" s="16"/>
      <c r="G109" s="16"/>
      <c r="H109" s="16"/>
      <c r="I109" s="16"/>
      <c r="J109" s="40"/>
      <c r="K109" s="65"/>
    </row>
    <row r="110" spans="1:11" x14ac:dyDescent="0.3">
      <c r="A110" s="66"/>
      <c r="B110" s="16"/>
      <c r="C110" s="16"/>
      <c r="D110" s="16"/>
      <c r="E110" s="16"/>
      <c r="F110" s="16"/>
      <c r="G110" s="16"/>
      <c r="H110" s="16"/>
      <c r="I110" s="16"/>
      <c r="J110" s="40"/>
      <c r="K110" s="65"/>
    </row>
    <row r="111" spans="1:11" x14ac:dyDescent="0.3">
      <c r="A111" s="66"/>
      <c r="B111" s="16"/>
      <c r="C111" s="16"/>
      <c r="D111" s="16"/>
      <c r="E111" s="16"/>
      <c r="F111" s="16"/>
      <c r="G111" s="16"/>
      <c r="H111" s="16"/>
      <c r="I111" s="16"/>
      <c r="J111" s="40"/>
      <c r="K111" s="65"/>
    </row>
    <row r="112" spans="1:11" x14ac:dyDescent="0.3">
      <c r="A112" s="66"/>
      <c r="B112" s="16"/>
      <c r="C112" s="16"/>
      <c r="D112" s="16"/>
      <c r="E112" s="16"/>
      <c r="F112" s="16"/>
      <c r="G112" s="16"/>
      <c r="H112" s="16"/>
      <c r="I112" s="16"/>
      <c r="J112" s="40"/>
      <c r="K112" s="65"/>
    </row>
    <row r="113" spans="1:11" x14ac:dyDescent="0.3">
      <c r="A113" s="66"/>
      <c r="B113" s="16"/>
      <c r="C113" s="16"/>
      <c r="D113" s="16"/>
      <c r="E113" s="16"/>
      <c r="F113" s="16"/>
      <c r="G113" s="16"/>
      <c r="H113" s="16"/>
      <c r="I113" s="16"/>
      <c r="J113" s="40"/>
      <c r="K113" s="65"/>
    </row>
    <row r="114" spans="1:11" x14ac:dyDescent="0.3">
      <c r="A114" s="66"/>
      <c r="B114" s="16"/>
      <c r="C114" s="16"/>
      <c r="D114" s="16"/>
      <c r="E114" s="16"/>
      <c r="F114" s="16"/>
      <c r="G114" s="16"/>
      <c r="H114" s="16"/>
      <c r="I114" s="16"/>
      <c r="J114" s="40"/>
      <c r="K114" s="65"/>
    </row>
  </sheetData>
  <autoFilter ref="A1:K82">
    <filterColumn colId="6">
      <filters>
        <filter val="KBSTAR 200"/>
        <filter val="KBSTAR 단기통안채"/>
        <filter val="KODEX 200"/>
        <filter val="KOSEF 단기자금"/>
        <filter val="TIGER 200"/>
        <filter val="TIGER 단기채권액티브"/>
      </filters>
    </filterColumn>
    <filterColumn colId="7">
      <filters>
        <filter val="1"/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pane ySplit="1" topLeftCell="A2" activePane="bottomLeft" state="frozen"/>
      <selection activeCell="H20" sqref="H20"/>
      <selection pane="bottomLeft" activeCell="B20" sqref="B20"/>
    </sheetView>
  </sheetViews>
  <sheetFormatPr defaultColWidth="9" defaultRowHeight="16.5" x14ac:dyDescent="0.3"/>
  <cols>
    <col min="1" max="1" width="18.125" style="3" bestFit="1" customWidth="1"/>
    <col min="2" max="2" width="78.375" style="5" customWidth="1"/>
    <col min="3" max="3" width="9" style="5" bestFit="1" customWidth="1"/>
    <col min="4" max="4" width="7.125" style="5" bestFit="1" customWidth="1"/>
    <col min="5" max="5" width="15.75" style="3" customWidth="1"/>
    <col min="6" max="6" width="10.25" style="6" customWidth="1"/>
    <col min="7" max="7" width="11.625" style="6" bestFit="1" customWidth="1"/>
    <col min="8" max="8" width="11.625" style="6" customWidth="1"/>
    <col min="9" max="9" width="14.625" style="3" customWidth="1"/>
    <col min="10" max="16384" width="9" style="3"/>
  </cols>
  <sheetData>
    <row r="1" spans="1:10" s="6" customFormat="1" x14ac:dyDescent="0.3">
      <c r="A1" s="75" t="s">
        <v>7</v>
      </c>
      <c r="B1" s="75" t="s">
        <v>8</v>
      </c>
      <c r="C1" s="75" t="s">
        <v>98</v>
      </c>
      <c r="D1" s="75" t="s">
        <v>99</v>
      </c>
      <c r="E1" s="75" t="s">
        <v>23</v>
      </c>
      <c r="F1" s="51" t="s">
        <v>45</v>
      </c>
      <c r="G1" s="51" t="s">
        <v>46</v>
      </c>
      <c r="H1" s="51" t="s">
        <v>51</v>
      </c>
      <c r="I1" s="51" t="s">
        <v>6</v>
      </c>
    </row>
    <row r="2" spans="1:10" x14ac:dyDescent="0.3">
      <c r="A2" s="76" t="s">
        <v>105</v>
      </c>
      <c r="B2" s="76" t="s">
        <v>106</v>
      </c>
      <c r="C2" s="76" t="s">
        <v>297</v>
      </c>
      <c r="D2" s="76" t="s">
        <v>298</v>
      </c>
      <c r="E2" s="76" t="s">
        <v>299</v>
      </c>
      <c r="F2" s="76" t="s">
        <v>101</v>
      </c>
      <c r="G2" s="76">
        <v>1</v>
      </c>
      <c r="H2" s="76" t="s">
        <v>300</v>
      </c>
      <c r="I2" s="4"/>
      <c r="J2" s="3" t="str">
        <f>A2</f>
        <v>KR7357870005</v>
      </c>
    </row>
    <row r="3" spans="1:10" x14ac:dyDescent="0.3">
      <c r="A3" s="76" t="s">
        <v>116</v>
      </c>
      <c r="B3" s="76" t="s">
        <v>117</v>
      </c>
      <c r="C3" s="76" t="s">
        <v>297</v>
      </c>
      <c r="D3" s="76" t="s">
        <v>298</v>
      </c>
      <c r="E3" s="76" t="s">
        <v>299</v>
      </c>
      <c r="F3" s="76" t="s">
        <v>102</v>
      </c>
      <c r="G3" s="76">
        <v>2</v>
      </c>
      <c r="H3" s="76" t="s">
        <v>300</v>
      </c>
      <c r="I3" s="4"/>
      <c r="J3" s="3" t="str">
        <f t="shared" ref="J3:J66" si="0">A3</f>
        <v>KR7114820004</v>
      </c>
    </row>
    <row r="4" spans="1:10" x14ac:dyDescent="0.3">
      <c r="A4" s="76" t="s">
        <v>107</v>
      </c>
      <c r="B4" s="76" t="s">
        <v>108</v>
      </c>
      <c r="C4" s="76" t="s">
        <v>297</v>
      </c>
      <c r="D4" s="76" t="s">
        <v>298</v>
      </c>
      <c r="E4" s="76" t="s">
        <v>299</v>
      </c>
      <c r="F4" s="76" t="s">
        <v>101</v>
      </c>
      <c r="G4" s="76">
        <v>1</v>
      </c>
      <c r="H4" s="76" t="s">
        <v>300</v>
      </c>
      <c r="I4" s="4"/>
      <c r="J4" s="3" t="str">
        <f t="shared" si="0"/>
        <v>KR7157450008</v>
      </c>
    </row>
    <row r="5" spans="1:10" x14ac:dyDescent="0.3">
      <c r="A5" s="76" t="s">
        <v>118</v>
      </c>
      <c r="B5" s="76" t="s">
        <v>119</v>
      </c>
      <c r="C5" s="76" t="s">
        <v>297</v>
      </c>
      <c r="D5" s="76" t="s">
        <v>298</v>
      </c>
      <c r="E5" s="76" t="s">
        <v>299</v>
      </c>
      <c r="F5" s="76" t="s">
        <v>102</v>
      </c>
      <c r="G5" s="76">
        <v>2</v>
      </c>
      <c r="H5" s="76" t="s">
        <v>300</v>
      </c>
      <c r="I5" s="4"/>
      <c r="J5" s="3" t="str">
        <f t="shared" si="0"/>
        <v>KR7302190004</v>
      </c>
    </row>
    <row r="6" spans="1:10" x14ac:dyDescent="0.3">
      <c r="A6" s="76" t="s">
        <v>52</v>
      </c>
      <c r="B6" s="76" t="s">
        <v>301</v>
      </c>
      <c r="C6" s="76" t="s">
        <v>97</v>
      </c>
      <c r="D6" s="76" t="s">
        <v>52</v>
      </c>
      <c r="E6" s="76" t="s">
        <v>52</v>
      </c>
      <c r="F6" s="76" t="s">
        <v>302</v>
      </c>
      <c r="G6" s="76">
        <v>1</v>
      </c>
      <c r="H6" s="76" t="s">
        <v>300</v>
      </c>
      <c r="I6" s="4"/>
      <c r="J6" s="3" t="str">
        <f t="shared" si="0"/>
        <v>현금</v>
      </c>
    </row>
    <row r="7" spans="1:10" x14ac:dyDescent="0.3">
      <c r="A7" s="76" t="s">
        <v>112</v>
      </c>
      <c r="B7" s="76" t="s">
        <v>113</v>
      </c>
      <c r="C7" s="76" t="s">
        <v>297</v>
      </c>
      <c r="D7" s="76" t="s">
        <v>298</v>
      </c>
      <c r="E7" s="76" t="s">
        <v>299</v>
      </c>
      <c r="F7" s="76" t="s">
        <v>302</v>
      </c>
      <c r="G7" s="76">
        <v>1</v>
      </c>
      <c r="H7" s="76" t="s">
        <v>300</v>
      </c>
      <c r="I7" s="4"/>
      <c r="J7" s="3" t="str">
        <f t="shared" si="0"/>
        <v>KR7272580002</v>
      </c>
    </row>
    <row r="8" spans="1:10" x14ac:dyDescent="0.3">
      <c r="A8" s="76" t="s">
        <v>109</v>
      </c>
      <c r="B8" s="76" t="s">
        <v>303</v>
      </c>
      <c r="C8" s="76" t="s">
        <v>297</v>
      </c>
      <c r="D8" s="76" t="s">
        <v>298</v>
      </c>
      <c r="E8" s="76" t="s">
        <v>299</v>
      </c>
      <c r="F8" s="76" t="s">
        <v>302</v>
      </c>
      <c r="G8" s="76">
        <v>1</v>
      </c>
      <c r="H8" s="76" t="s">
        <v>300</v>
      </c>
      <c r="I8" s="4"/>
      <c r="J8" s="3" t="str">
        <f t="shared" si="0"/>
        <v>KR7214980005</v>
      </c>
    </row>
    <row r="9" spans="1:10" x14ac:dyDescent="0.3">
      <c r="A9" s="76" t="s">
        <v>114</v>
      </c>
      <c r="B9" s="76" t="s">
        <v>386</v>
      </c>
      <c r="C9" s="76" t="s">
        <v>297</v>
      </c>
      <c r="D9" s="76" t="s">
        <v>298</v>
      </c>
      <c r="E9" s="76" t="s">
        <v>299</v>
      </c>
      <c r="F9" s="76" t="s">
        <v>302</v>
      </c>
      <c r="G9" s="76">
        <v>1</v>
      </c>
      <c r="H9" s="76" t="s">
        <v>300</v>
      </c>
      <c r="I9" s="4"/>
      <c r="J9" s="3" t="str">
        <f t="shared" si="0"/>
        <v>KR7130730005</v>
      </c>
    </row>
    <row r="10" spans="1:10" x14ac:dyDescent="0.3">
      <c r="A10" s="76" t="s">
        <v>110</v>
      </c>
      <c r="B10" s="76" t="s">
        <v>385</v>
      </c>
      <c r="C10" s="76" t="s">
        <v>297</v>
      </c>
      <c r="D10" s="76" t="s">
        <v>298</v>
      </c>
      <c r="E10" s="76" t="s">
        <v>299</v>
      </c>
      <c r="F10" s="76" t="s">
        <v>302</v>
      </c>
      <c r="G10" s="76">
        <v>1</v>
      </c>
      <c r="H10" s="76" t="s">
        <v>300</v>
      </c>
      <c r="I10" s="4"/>
      <c r="J10" s="3" t="str">
        <f t="shared" si="0"/>
        <v>KR7196230007</v>
      </c>
    </row>
    <row r="11" spans="1:10" x14ac:dyDescent="0.3">
      <c r="A11" s="76" t="s">
        <v>120</v>
      </c>
      <c r="B11" s="76" t="s">
        <v>121</v>
      </c>
      <c r="C11" s="76" t="s">
        <v>297</v>
      </c>
      <c r="D11" s="76" t="s">
        <v>298</v>
      </c>
      <c r="E11" s="76" t="s">
        <v>304</v>
      </c>
      <c r="F11" s="76" t="s">
        <v>305</v>
      </c>
      <c r="G11" s="76">
        <v>3</v>
      </c>
      <c r="H11" s="76" t="s">
        <v>300</v>
      </c>
      <c r="I11" s="4"/>
      <c r="J11" s="3" t="str">
        <f t="shared" si="0"/>
        <v>KR7305080004</v>
      </c>
    </row>
    <row r="12" spans="1:10" x14ac:dyDescent="0.3">
      <c r="A12" s="76" t="s">
        <v>146</v>
      </c>
      <c r="B12" s="76" t="s">
        <v>147</v>
      </c>
      <c r="C12" s="76" t="s">
        <v>297</v>
      </c>
      <c r="D12" s="76" t="s">
        <v>298</v>
      </c>
      <c r="E12" s="76" t="s">
        <v>306</v>
      </c>
      <c r="F12" s="76" t="s">
        <v>305</v>
      </c>
      <c r="G12" s="76">
        <v>3</v>
      </c>
      <c r="H12" s="76" t="s">
        <v>307</v>
      </c>
      <c r="I12" s="4"/>
      <c r="J12" s="3" t="str">
        <f t="shared" si="0"/>
        <v>KR7341850006</v>
      </c>
    </row>
    <row r="13" spans="1:10" x14ac:dyDescent="0.3">
      <c r="A13" s="76" t="s">
        <v>308</v>
      </c>
      <c r="B13" s="76" t="s">
        <v>309</v>
      </c>
      <c r="C13" s="76" t="s">
        <v>297</v>
      </c>
      <c r="D13" s="76" t="s">
        <v>298</v>
      </c>
      <c r="E13" s="76" t="s">
        <v>306</v>
      </c>
      <c r="F13" s="76" t="s">
        <v>305</v>
      </c>
      <c r="G13" s="76">
        <v>3</v>
      </c>
      <c r="H13" s="76" t="s">
        <v>307</v>
      </c>
      <c r="I13" s="4"/>
      <c r="J13" s="3" t="str">
        <f t="shared" si="0"/>
        <v>KR7166400002</v>
      </c>
    </row>
    <row r="14" spans="1:10" x14ac:dyDescent="0.3">
      <c r="A14" s="76" t="s">
        <v>310</v>
      </c>
      <c r="B14" s="76" t="s">
        <v>311</v>
      </c>
      <c r="C14" s="76" t="s">
        <v>297</v>
      </c>
      <c r="D14" s="76" t="s">
        <v>298</v>
      </c>
      <c r="E14" s="76" t="s">
        <v>306</v>
      </c>
      <c r="F14" s="76" t="s">
        <v>305</v>
      </c>
      <c r="G14" s="76">
        <v>3</v>
      </c>
      <c r="H14" s="76" t="s">
        <v>307</v>
      </c>
      <c r="I14" s="4"/>
      <c r="J14" s="3" t="str">
        <f t="shared" si="0"/>
        <v>KR7289480006</v>
      </c>
    </row>
    <row r="15" spans="1:10" x14ac:dyDescent="0.3">
      <c r="A15" s="76" t="s">
        <v>290</v>
      </c>
      <c r="B15" s="76" t="s">
        <v>312</v>
      </c>
      <c r="C15" s="76" t="s">
        <v>297</v>
      </c>
      <c r="D15" s="76" t="s">
        <v>298</v>
      </c>
      <c r="E15" s="76" t="s">
        <v>306</v>
      </c>
      <c r="F15" s="76" t="s">
        <v>305</v>
      </c>
      <c r="G15" s="76">
        <v>3</v>
      </c>
      <c r="H15" s="76" t="s">
        <v>307</v>
      </c>
      <c r="I15" s="4"/>
      <c r="J15" s="3" t="str">
        <f t="shared" si="0"/>
        <v>KR7237440003</v>
      </c>
    </row>
    <row r="16" spans="1:10" x14ac:dyDescent="0.3">
      <c r="A16" s="76" t="s">
        <v>208</v>
      </c>
      <c r="B16" s="76" t="s">
        <v>209</v>
      </c>
      <c r="C16" s="76" t="s">
        <v>297</v>
      </c>
      <c r="D16" s="76" t="s">
        <v>298</v>
      </c>
      <c r="E16" s="76" t="s">
        <v>313</v>
      </c>
      <c r="F16" s="76" t="s">
        <v>103</v>
      </c>
      <c r="G16" s="76">
        <v>4</v>
      </c>
      <c r="H16" s="76" t="s">
        <v>307</v>
      </c>
      <c r="I16" s="4"/>
      <c r="J16" s="3" t="str">
        <f t="shared" si="0"/>
        <v>KR7252000005</v>
      </c>
    </row>
    <row r="17" spans="1:10" x14ac:dyDescent="0.3">
      <c r="A17" s="76" t="s">
        <v>206</v>
      </c>
      <c r="B17" s="76" t="s">
        <v>207</v>
      </c>
      <c r="C17" s="76" t="s">
        <v>297</v>
      </c>
      <c r="D17" s="76" t="s">
        <v>298</v>
      </c>
      <c r="E17" s="76" t="s">
        <v>313</v>
      </c>
      <c r="F17" s="76" t="s">
        <v>103</v>
      </c>
      <c r="G17" s="76">
        <v>4</v>
      </c>
      <c r="H17" s="76" t="s">
        <v>307</v>
      </c>
      <c r="I17" s="4"/>
      <c r="J17" s="3" t="str">
        <f t="shared" si="0"/>
        <v>KR7365040005</v>
      </c>
    </row>
    <row r="18" spans="1:10" x14ac:dyDescent="0.3">
      <c r="A18" s="76" t="s">
        <v>220</v>
      </c>
      <c r="B18" s="76" t="s">
        <v>221</v>
      </c>
      <c r="C18" s="76" t="s">
        <v>297</v>
      </c>
      <c r="D18" s="76" t="s">
        <v>298</v>
      </c>
      <c r="E18" s="76" t="s">
        <v>313</v>
      </c>
      <c r="F18" s="76" t="s">
        <v>103</v>
      </c>
      <c r="G18" s="76">
        <v>4</v>
      </c>
      <c r="H18" s="76" t="s">
        <v>307</v>
      </c>
      <c r="I18" s="4"/>
      <c r="J18" s="3" t="str">
        <f t="shared" si="0"/>
        <v>KR7217790005</v>
      </c>
    </row>
    <row r="19" spans="1:10" x14ac:dyDescent="0.3">
      <c r="A19" s="76" t="s">
        <v>314</v>
      </c>
      <c r="B19" s="76" t="s">
        <v>315</v>
      </c>
      <c r="C19" s="76" t="s">
        <v>297</v>
      </c>
      <c r="D19" s="76" t="s">
        <v>298</v>
      </c>
      <c r="E19" s="76" t="s">
        <v>313</v>
      </c>
      <c r="F19" s="76" t="s">
        <v>103</v>
      </c>
      <c r="G19" s="76">
        <v>4</v>
      </c>
      <c r="H19" s="76" t="s">
        <v>307</v>
      </c>
      <c r="I19" s="4"/>
      <c r="J19" s="3" t="str">
        <f t="shared" si="0"/>
        <v>KR7139280002</v>
      </c>
    </row>
    <row r="20" spans="1:10" x14ac:dyDescent="0.3">
      <c r="A20" s="76" t="s">
        <v>214</v>
      </c>
      <c r="B20" s="76" t="s">
        <v>215</v>
      </c>
      <c r="C20" s="76" t="s">
        <v>297</v>
      </c>
      <c r="D20" s="76" t="s">
        <v>298</v>
      </c>
      <c r="E20" s="76" t="s">
        <v>313</v>
      </c>
      <c r="F20" s="76" t="s">
        <v>103</v>
      </c>
      <c r="G20" s="76">
        <v>4</v>
      </c>
      <c r="H20" s="76" t="s">
        <v>307</v>
      </c>
      <c r="I20" s="4"/>
      <c r="J20" s="3" t="str">
        <f t="shared" si="0"/>
        <v>KR7174350009</v>
      </c>
    </row>
    <row r="21" spans="1:10" x14ac:dyDescent="0.3">
      <c r="A21" s="76" t="s">
        <v>212</v>
      </c>
      <c r="B21" s="76" t="s">
        <v>213</v>
      </c>
      <c r="C21" s="76" t="s">
        <v>297</v>
      </c>
      <c r="D21" s="76" t="s">
        <v>298</v>
      </c>
      <c r="E21" s="76" t="s">
        <v>313</v>
      </c>
      <c r="F21" s="76" t="s">
        <v>103</v>
      </c>
      <c r="G21" s="76">
        <v>4</v>
      </c>
      <c r="H21" s="76" t="s">
        <v>307</v>
      </c>
      <c r="I21" s="4"/>
      <c r="J21" s="3" t="str">
        <f t="shared" si="0"/>
        <v>KR7147970008</v>
      </c>
    </row>
    <row r="22" spans="1:10" x14ac:dyDescent="0.3">
      <c r="A22" s="76" t="s">
        <v>218</v>
      </c>
      <c r="B22" s="76" t="s">
        <v>219</v>
      </c>
      <c r="C22" s="76" t="s">
        <v>297</v>
      </c>
      <c r="D22" s="76" t="s">
        <v>298</v>
      </c>
      <c r="E22" s="76" t="s">
        <v>313</v>
      </c>
      <c r="F22" s="76" t="s">
        <v>103</v>
      </c>
      <c r="G22" s="76">
        <v>4</v>
      </c>
      <c r="H22" s="76" t="s">
        <v>307</v>
      </c>
      <c r="I22" s="4"/>
      <c r="J22" s="3" t="str">
        <f t="shared" si="0"/>
        <v>KR7211560008</v>
      </c>
    </row>
    <row r="23" spans="1:10" x14ac:dyDescent="0.3">
      <c r="A23" s="76" t="s">
        <v>210</v>
      </c>
      <c r="B23" s="76" t="s">
        <v>211</v>
      </c>
      <c r="C23" s="76" t="s">
        <v>297</v>
      </c>
      <c r="D23" s="76" t="s">
        <v>298</v>
      </c>
      <c r="E23" s="76" t="s">
        <v>313</v>
      </c>
      <c r="F23" s="76" t="s">
        <v>103</v>
      </c>
      <c r="G23" s="76">
        <v>4</v>
      </c>
      <c r="H23" s="76" t="s">
        <v>307</v>
      </c>
      <c r="I23" s="4"/>
      <c r="J23" s="3" t="str">
        <f t="shared" si="0"/>
        <v>KR7227570009</v>
      </c>
    </row>
    <row r="24" spans="1:10" x14ac:dyDescent="0.3">
      <c r="A24" s="76" t="s">
        <v>270</v>
      </c>
      <c r="B24" s="76" t="s">
        <v>271</v>
      </c>
      <c r="C24" s="76" t="s">
        <v>297</v>
      </c>
      <c r="D24" s="76" t="s">
        <v>298</v>
      </c>
      <c r="E24" s="76" t="s">
        <v>313</v>
      </c>
      <c r="F24" s="76" t="s">
        <v>103</v>
      </c>
      <c r="G24" s="76">
        <v>4</v>
      </c>
      <c r="H24" s="76" t="s">
        <v>307</v>
      </c>
      <c r="I24" s="4"/>
      <c r="J24" s="3" t="str">
        <f t="shared" si="0"/>
        <v>KR7261140008</v>
      </c>
    </row>
    <row r="25" spans="1:10" x14ac:dyDescent="0.3">
      <c r="A25" s="76" t="s">
        <v>216</v>
      </c>
      <c r="B25" s="76" t="s">
        <v>217</v>
      </c>
      <c r="C25" s="76" t="s">
        <v>297</v>
      </c>
      <c r="D25" s="76" t="s">
        <v>298</v>
      </c>
      <c r="E25" s="76" t="s">
        <v>313</v>
      </c>
      <c r="F25" s="76" t="s">
        <v>103</v>
      </c>
      <c r="G25" s="76">
        <v>4</v>
      </c>
      <c r="H25" s="76" t="s">
        <v>307</v>
      </c>
      <c r="I25" s="4"/>
      <c r="J25" s="3" t="str">
        <f t="shared" si="0"/>
        <v>KR7210780003</v>
      </c>
    </row>
    <row r="26" spans="1:10" x14ac:dyDescent="0.3">
      <c r="A26" s="76" t="s">
        <v>316</v>
      </c>
      <c r="B26" s="76" t="s">
        <v>317</v>
      </c>
      <c r="C26" s="76" t="s">
        <v>297</v>
      </c>
      <c r="D26" s="76" t="s">
        <v>298</v>
      </c>
      <c r="E26" s="76" t="s">
        <v>313</v>
      </c>
      <c r="F26" s="76" t="s">
        <v>103</v>
      </c>
      <c r="G26" s="76">
        <v>4</v>
      </c>
      <c r="H26" s="76" t="s">
        <v>307</v>
      </c>
      <c r="I26" s="4"/>
      <c r="J26" s="3" t="str">
        <f t="shared" si="0"/>
        <v>KR7277640009</v>
      </c>
    </row>
    <row r="27" spans="1:10" x14ac:dyDescent="0.3">
      <c r="A27" s="76" t="s">
        <v>318</v>
      </c>
      <c r="B27" s="76" t="s">
        <v>319</v>
      </c>
      <c r="C27" s="76" t="s">
        <v>297</v>
      </c>
      <c r="D27" s="76" t="s">
        <v>298</v>
      </c>
      <c r="E27" s="76" t="s">
        <v>313</v>
      </c>
      <c r="F27" s="76" t="s">
        <v>103</v>
      </c>
      <c r="G27" s="76">
        <v>4</v>
      </c>
      <c r="H27" s="76" t="s">
        <v>307</v>
      </c>
      <c r="I27" s="4"/>
      <c r="J27" s="3" t="str">
        <f t="shared" si="0"/>
        <v>KR7277650008</v>
      </c>
    </row>
    <row r="28" spans="1:10" x14ac:dyDescent="0.3">
      <c r="A28" s="76" t="s">
        <v>202</v>
      </c>
      <c r="B28" s="76" t="s">
        <v>203</v>
      </c>
      <c r="C28" s="76" t="s">
        <v>297</v>
      </c>
      <c r="D28" s="76" t="s">
        <v>298</v>
      </c>
      <c r="E28" s="76" t="s">
        <v>320</v>
      </c>
      <c r="F28" s="76" t="s">
        <v>103</v>
      </c>
      <c r="G28" s="76">
        <v>4</v>
      </c>
      <c r="H28" s="76" t="s">
        <v>307</v>
      </c>
      <c r="I28" s="4"/>
      <c r="J28" s="3" t="str">
        <f t="shared" si="0"/>
        <v>KR7102110004</v>
      </c>
    </row>
    <row r="29" spans="1:10" x14ac:dyDescent="0.3">
      <c r="A29" s="76" t="s">
        <v>321</v>
      </c>
      <c r="B29" s="76" t="s">
        <v>322</v>
      </c>
      <c r="C29" s="76" t="s">
        <v>297</v>
      </c>
      <c r="D29" s="76" t="s">
        <v>298</v>
      </c>
      <c r="E29" s="76" t="s">
        <v>320</v>
      </c>
      <c r="F29" s="76" t="s">
        <v>103</v>
      </c>
      <c r="G29" s="76">
        <v>4</v>
      </c>
      <c r="H29" s="76" t="s">
        <v>307</v>
      </c>
      <c r="I29" s="4"/>
      <c r="J29" s="3" t="str">
        <f t="shared" si="0"/>
        <v>KR7310960000</v>
      </c>
    </row>
    <row r="30" spans="1:10" x14ac:dyDescent="0.3">
      <c r="A30" s="76" t="s">
        <v>204</v>
      </c>
      <c r="B30" s="76" t="s">
        <v>205</v>
      </c>
      <c r="C30" s="76" t="s">
        <v>297</v>
      </c>
      <c r="D30" s="76" t="s">
        <v>298</v>
      </c>
      <c r="E30" s="76" t="s">
        <v>320</v>
      </c>
      <c r="F30" s="76" t="s">
        <v>103</v>
      </c>
      <c r="G30" s="76">
        <v>4</v>
      </c>
      <c r="H30" s="76" t="s">
        <v>307</v>
      </c>
      <c r="I30" s="4"/>
      <c r="J30" s="3" t="str">
        <f t="shared" si="0"/>
        <v>KR7277630000</v>
      </c>
    </row>
    <row r="31" spans="1:10" x14ac:dyDescent="0.3">
      <c r="A31" s="76" t="s">
        <v>323</v>
      </c>
      <c r="B31" s="76" t="s">
        <v>324</v>
      </c>
      <c r="C31" s="76" t="s">
        <v>297</v>
      </c>
      <c r="D31" s="76" t="s">
        <v>298</v>
      </c>
      <c r="E31" s="76" t="s">
        <v>320</v>
      </c>
      <c r="F31" s="76" t="s">
        <v>103</v>
      </c>
      <c r="G31" s="76">
        <v>4</v>
      </c>
      <c r="H31" s="76" t="s">
        <v>307</v>
      </c>
      <c r="I31" s="4"/>
      <c r="J31" s="3" t="str">
        <f t="shared" si="0"/>
        <v>KR7292160009</v>
      </c>
    </row>
    <row r="32" spans="1:10" x14ac:dyDescent="0.3">
      <c r="A32" s="76" t="s">
        <v>325</v>
      </c>
      <c r="B32" s="76" t="s">
        <v>326</v>
      </c>
      <c r="C32" s="76" t="s">
        <v>297</v>
      </c>
      <c r="D32" s="76" t="s">
        <v>298</v>
      </c>
      <c r="E32" s="76" t="s">
        <v>320</v>
      </c>
      <c r="F32" s="76" t="s">
        <v>103</v>
      </c>
      <c r="G32" s="76">
        <v>4</v>
      </c>
      <c r="H32" s="76" t="s">
        <v>307</v>
      </c>
      <c r="I32" s="4"/>
      <c r="J32" s="3" t="str">
        <f t="shared" si="0"/>
        <v>KR7228820007</v>
      </c>
    </row>
    <row r="33" spans="1:10" x14ac:dyDescent="0.3">
      <c r="A33" s="76" t="s">
        <v>327</v>
      </c>
      <c r="B33" s="76" t="s">
        <v>328</v>
      </c>
      <c r="C33" s="76" t="s">
        <v>297</v>
      </c>
      <c r="D33" s="76" t="s">
        <v>298</v>
      </c>
      <c r="E33" s="76" t="s">
        <v>320</v>
      </c>
      <c r="F33" s="76" t="s">
        <v>103</v>
      </c>
      <c r="G33" s="76">
        <v>4</v>
      </c>
      <c r="H33" s="76" t="s">
        <v>307</v>
      </c>
      <c r="I33" s="4"/>
      <c r="J33" s="3" t="str">
        <f t="shared" si="0"/>
        <v>KR7310970009</v>
      </c>
    </row>
    <row r="34" spans="1:10" x14ac:dyDescent="0.3">
      <c r="A34" s="76" t="s">
        <v>329</v>
      </c>
      <c r="B34" s="76" t="s">
        <v>330</v>
      </c>
      <c r="C34" s="76" t="s">
        <v>297</v>
      </c>
      <c r="D34" s="76" t="s">
        <v>298</v>
      </c>
      <c r="E34" s="76" t="s">
        <v>320</v>
      </c>
      <c r="F34" s="76" t="s">
        <v>103</v>
      </c>
      <c r="G34" s="76">
        <v>4</v>
      </c>
      <c r="H34" s="76" t="s">
        <v>307</v>
      </c>
      <c r="I34" s="4"/>
      <c r="J34" s="3" t="str">
        <f t="shared" si="0"/>
        <v>KR7232080002</v>
      </c>
    </row>
    <row r="35" spans="1:10" x14ac:dyDescent="0.3">
      <c r="A35" s="76" t="s">
        <v>331</v>
      </c>
      <c r="B35" s="76" t="s">
        <v>332</v>
      </c>
      <c r="C35" s="76" t="s">
        <v>297</v>
      </c>
      <c r="D35" s="76" t="s">
        <v>298</v>
      </c>
      <c r="E35" s="76" t="s">
        <v>320</v>
      </c>
      <c r="F35" s="76" t="s">
        <v>103</v>
      </c>
      <c r="G35" s="76">
        <v>4</v>
      </c>
      <c r="H35" s="76" t="s">
        <v>307</v>
      </c>
      <c r="I35" s="4"/>
      <c r="J35" s="3" t="str">
        <f t="shared" si="0"/>
        <v>KR7292150000</v>
      </c>
    </row>
    <row r="36" spans="1:10" x14ac:dyDescent="0.3">
      <c r="A36" s="76" t="s">
        <v>178</v>
      </c>
      <c r="B36" s="76" t="s">
        <v>179</v>
      </c>
      <c r="C36" s="76" t="s">
        <v>297</v>
      </c>
      <c r="D36" s="76" t="s">
        <v>298</v>
      </c>
      <c r="E36" s="76" t="s">
        <v>333</v>
      </c>
      <c r="F36" s="76" t="s">
        <v>103</v>
      </c>
      <c r="G36" s="76">
        <v>4</v>
      </c>
      <c r="H36" s="76" t="s">
        <v>307</v>
      </c>
      <c r="I36" s="4"/>
      <c r="J36" s="3" t="str">
        <f t="shared" si="0"/>
        <v>KR7139260004</v>
      </c>
    </row>
    <row r="37" spans="1:10" x14ac:dyDescent="0.3">
      <c r="A37" s="76" t="s">
        <v>248</v>
      </c>
      <c r="B37" s="76" t="s">
        <v>249</v>
      </c>
      <c r="C37" s="76" t="s">
        <v>297</v>
      </c>
      <c r="D37" s="76" t="s">
        <v>298</v>
      </c>
      <c r="E37" s="76" t="s">
        <v>333</v>
      </c>
      <c r="F37" s="76" t="s">
        <v>103</v>
      </c>
      <c r="G37" s="76">
        <v>4</v>
      </c>
      <c r="H37" s="76" t="s">
        <v>307</v>
      </c>
      <c r="I37" s="4"/>
      <c r="J37" s="3" t="str">
        <f t="shared" si="0"/>
        <v>KR7139220008</v>
      </c>
    </row>
    <row r="38" spans="1:10" x14ac:dyDescent="0.3">
      <c r="A38" s="76" t="s">
        <v>180</v>
      </c>
      <c r="B38" s="76" t="s">
        <v>181</v>
      </c>
      <c r="C38" s="76" t="s">
        <v>297</v>
      </c>
      <c r="D38" s="76" t="s">
        <v>298</v>
      </c>
      <c r="E38" s="76" t="s">
        <v>333</v>
      </c>
      <c r="F38" s="76" t="s">
        <v>103</v>
      </c>
      <c r="G38" s="76">
        <v>4</v>
      </c>
      <c r="H38" s="76" t="s">
        <v>307</v>
      </c>
      <c r="I38" s="4"/>
      <c r="J38" s="3" t="str">
        <f t="shared" si="0"/>
        <v>KR7139290001</v>
      </c>
    </row>
    <row r="39" spans="1:10" x14ac:dyDescent="0.3">
      <c r="A39" s="76" t="s">
        <v>182</v>
      </c>
      <c r="B39" s="76" t="s">
        <v>183</v>
      </c>
      <c r="C39" s="76" t="s">
        <v>297</v>
      </c>
      <c r="D39" s="76" t="s">
        <v>298</v>
      </c>
      <c r="E39" s="76" t="s">
        <v>333</v>
      </c>
      <c r="F39" s="76" t="s">
        <v>103</v>
      </c>
      <c r="G39" s="76">
        <v>4</v>
      </c>
      <c r="H39" s="76" t="s">
        <v>307</v>
      </c>
      <c r="I39" s="4"/>
      <c r="J39" s="3" t="str">
        <f t="shared" si="0"/>
        <v>KR7139270003</v>
      </c>
    </row>
    <row r="40" spans="1:10" x14ac:dyDescent="0.3">
      <c r="A40" s="76" t="s">
        <v>184</v>
      </c>
      <c r="B40" s="76" t="s">
        <v>185</v>
      </c>
      <c r="C40" s="76" t="s">
        <v>297</v>
      </c>
      <c r="D40" s="76" t="s">
        <v>298</v>
      </c>
      <c r="E40" s="76" t="s">
        <v>333</v>
      </c>
      <c r="F40" s="76" t="s">
        <v>103</v>
      </c>
      <c r="G40" s="76">
        <v>4</v>
      </c>
      <c r="H40" s="76" t="s">
        <v>307</v>
      </c>
      <c r="I40" s="4"/>
      <c r="J40" s="3" t="str">
        <f t="shared" si="0"/>
        <v>KR7227550001</v>
      </c>
    </row>
    <row r="41" spans="1:10" x14ac:dyDescent="0.3">
      <c r="A41" s="76" t="s">
        <v>186</v>
      </c>
      <c r="B41" s="76" t="s">
        <v>187</v>
      </c>
      <c r="C41" s="76" t="s">
        <v>297</v>
      </c>
      <c r="D41" s="76" t="s">
        <v>298</v>
      </c>
      <c r="E41" s="76" t="s">
        <v>333</v>
      </c>
      <c r="F41" s="76" t="s">
        <v>103</v>
      </c>
      <c r="G41" s="76">
        <v>4</v>
      </c>
      <c r="H41" s="76" t="s">
        <v>307</v>
      </c>
      <c r="I41" s="4"/>
      <c r="J41" s="3" t="str">
        <f t="shared" si="0"/>
        <v>KR7227560000</v>
      </c>
    </row>
    <row r="42" spans="1:10" x14ac:dyDescent="0.3">
      <c r="A42" s="76" t="s">
        <v>188</v>
      </c>
      <c r="B42" s="76" t="s">
        <v>189</v>
      </c>
      <c r="C42" s="76" t="s">
        <v>297</v>
      </c>
      <c r="D42" s="76" t="s">
        <v>298</v>
      </c>
      <c r="E42" s="76" t="s">
        <v>333</v>
      </c>
      <c r="F42" s="76" t="s">
        <v>103</v>
      </c>
      <c r="G42" s="76">
        <v>4</v>
      </c>
      <c r="H42" s="76" t="s">
        <v>307</v>
      </c>
      <c r="I42" s="4"/>
      <c r="J42" s="3" t="str">
        <f t="shared" si="0"/>
        <v>KR7139250005</v>
      </c>
    </row>
    <row r="43" spans="1:10" x14ac:dyDescent="0.3">
      <c r="A43" s="76" t="s">
        <v>250</v>
      </c>
      <c r="B43" s="76" t="s">
        <v>251</v>
      </c>
      <c r="C43" s="76" t="s">
        <v>297</v>
      </c>
      <c r="D43" s="76" t="s">
        <v>298</v>
      </c>
      <c r="E43" s="76" t="s">
        <v>333</v>
      </c>
      <c r="F43" s="76" t="s">
        <v>103</v>
      </c>
      <c r="G43" s="76">
        <v>4</v>
      </c>
      <c r="H43" s="76" t="s">
        <v>307</v>
      </c>
      <c r="I43" s="4"/>
      <c r="J43" s="3" t="str">
        <f t="shared" si="0"/>
        <v>KR7139230007</v>
      </c>
    </row>
    <row r="44" spans="1:10" x14ac:dyDescent="0.3">
      <c r="A44" s="76" t="s">
        <v>190</v>
      </c>
      <c r="B44" s="76" t="s">
        <v>191</v>
      </c>
      <c r="C44" s="76" t="s">
        <v>297</v>
      </c>
      <c r="D44" s="76" t="s">
        <v>298</v>
      </c>
      <c r="E44" s="76" t="s">
        <v>333</v>
      </c>
      <c r="F44" s="76" t="s">
        <v>103</v>
      </c>
      <c r="G44" s="76">
        <v>4</v>
      </c>
      <c r="H44" s="76" t="s">
        <v>307</v>
      </c>
      <c r="I44" s="4"/>
      <c r="J44" s="3" t="str">
        <f t="shared" si="0"/>
        <v>KR7139240006</v>
      </c>
    </row>
    <row r="45" spans="1:10" x14ac:dyDescent="0.3">
      <c r="A45" s="76" t="s">
        <v>252</v>
      </c>
      <c r="B45" s="76" t="s">
        <v>253</v>
      </c>
      <c r="C45" s="76" t="s">
        <v>297</v>
      </c>
      <c r="D45" s="76" t="s">
        <v>298</v>
      </c>
      <c r="E45" s="76" t="s">
        <v>333</v>
      </c>
      <c r="F45" s="76" t="s">
        <v>103</v>
      </c>
      <c r="G45" s="76">
        <v>4</v>
      </c>
      <c r="H45" s="76" t="s">
        <v>307</v>
      </c>
      <c r="I45" s="4"/>
      <c r="J45" s="3" t="str">
        <f t="shared" si="0"/>
        <v>KR7227540002</v>
      </c>
    </row>
    <row r="46" spans="1:10" x14ac:dyDescent="0.3">
      <c r="A46" s="76" t="s">
        <v>192</v>
      </c>
      <c r="B46" s="76" t="s">
        <v>193</v>
      </c>
      <c r="C46" s="76" t="s">
        <v>297</v>
      </c>
      <c r="D46" s="76" t="s">
        <v>298</v>
      </c>
      <c r="E46" s="76" t="s">
        <v>333</v>
      </c>
      <c r="F46" s="76" t="s">
        <v>103</v>
      </c>
      <c r="G46" s="76">
        <v>4</v>
      </c>
      <c r="H46" s="76" t="s">
        <v>307</v>
      </c>
      <c r="I46" s="4"/>
      <c r="J46" s="3" t="str">
        <f t="shared" si="0"/>
        <v>KR7315270009</v>
      </c>
    </row>
    <row r="47" spans="1:10" x14ac:dyDescent="0.3">
      <c r="A47" s="76" t="s">
        <v>334</v>
      </c>
      <c r="B47" s="76" t="s">
        <v>335</v>
      </c>
      <c r="C47" s="76" t="s">
        <v>297</v>
      </c>
      <c r="D47" s="76" t="s">
        <v>298</v>
      </c>
      <c r="E47" s="76" t="s">
        <v>333</v>
      </c>
      <c r="F47" s="76" t="s">
        <v>103</v>
      </c>
      <c r="G47" s="76">
        <v>4</v>
      </c>
      <c r="H47" s="76" t="s">
        <v>307</v>
      </c>
      <c r="I47" s="4"/>
      <c r="J47" s="3" t="str">
        <f t="shared" si="0"/>
        <v>KR7305540007</v>
      </c>
    </row>
    <row r="48" spans="1:10" x14ac:dyDescent="0.3">
      <c r="A48" s="76" t="s">
        <v>336</v>
      </c>
      <c r="B48" s="76" t="s">
        <v>337</v>
      </c>
      <c r="C48" s="76" t="s">
        <v>297</v>
      </c>
      <c r="D48" s="76" t="s">
        <v>298</v>
      </c>
      <c r="E48" s="76" t="s">
        <v>333</v>
      </c>
      <c r="F48" s="76" t="s">
        <v>103</v>
      </c>
      <c r="G48" s="76">
        <v>4</v>
      </c>
      <c r="H48" s="76" t="s">
        <v>307</v>
      </c>
      <c r="I48" s="4"/>
      <c r="J48" s="3" t="str">
        <f t="shared" si="0"/>
        <v>KR7396500001</v>
      </c>
    </row>
    <row r="49" spans="1:10" x14ac:dyDescent="0.3">
      <c r="A49" s="76" t="s">
        <v>338</v>
      </c>
      <c r="B49" s="76" t="s">
        <v>339</v>
      </c>
      <c r="C49" s="76" t="s">
        <v>297</v>
      </c>
      <c r="D49" s="76" t="s">
        <v>298</v>
      </c>
      <c r="E49" s="76" t="s">
        <v>333</v>
      </c>
      <c r="F49" s="76" t="s">
        <v>103</v>
      </c>
      <c r="G49" s="76">
        <v>4</v>
      </c>
      <c r="H49" s="76" t="s">
        <v>307</v>
      </c>
      <c r="I49" s="4"/>
      <c r="J49" s="3" t="str">
        <f t="shared" si="0"/>
        <v>KR7377990007</v>
      </c>
    </row>
    <row r="50" spans="1:10" x14ac:dyDescent="0.3">
      <c r="A50" s="76" t="s">
        <v>340</v>
      </c>
      <c r="B50" s="76" t="s">
        <v>341</v>
      </c>
      <c r="C50" s="76" t="s">
        <v>297</v>
      </c>
      <c r="D50" s="76" t="s">
        <v>298</v>
      </c>
      <c r="E50" s="76" t="s">
        <v>333</v>
      </c>
      <c r="F50" s="76" t="s">
        <v>103</v>
      </c>
      <c r="G50" s="76">
        <v>4</v>
      </c>
      <c r="H50" s="76" t="s">
        <v>307</v>
      </c>
      <c r="I50" s="4"/>
      <c r="J50" s="3" t="str">
        <f t="shared" si="0"/>
        <v>KR7364960005</v>
      </c>
    </row>
    <row r="51" spans="1:10" x14ac:dyDescent="0.3">
      <c r="A51" s="76" t="s">
        <v>342</v>
      </c>
      <c r="B51" s="76" t="s">
        <v>343</v>
      </c>
      <c r="C51" s="76" t="s">
        <v>297</v>
      </c>
      <c r="D51" s="76" t="s">
        <v>298</v>
      </c>
      <c r="E51" s="76" t="s">
        <v>333</v>
      </c>
      <c r="F51" s="76" t="s">
        <v>103</v>
      </c>
      <c r="G51" s="76">
        <v>4</v>
      </c>
      <c r="H51" s="76" t="s">
        <v>307</v>
      </c>
      <c r="I51" s="4"/>
      <c r="J51" s="3" t="str">
        <f t="shared" si="0"/>
        <v>KR7364980003</v>
      </c>
    </row>
    <row r="52" spans="1:10" x14ac:dyDescent="0.3">
      <c r="A52" s="76" t="s">
        <v>344</v>
      </c>
      <c r="B52" s="76" t="s">
        <v>345</v>
      </c>
      <c r="C52" s="76" t="s">
        <v>297</v>
      </c>
      <c r="D52" s="76" t="s">
        <v>298</v>
      </c>
      <c r="E52" s="76" t="s">
        <v>333</v>
      </c>
      <c r="F52" s="76" t="s">
        <v>103</v>
      </c>
      <c r="G52" s="76">
        <v>4</v>
      </c>
      <c r="H52" s="76" t="s">
        <v>307</v>
      </c>
      <c r="I52" s="4"/>
      <c r="J52" s="3" t="str">
        <f t="shared" si="0"/>
        <v>KR7364990002</v>
      </c>
    </row>
    <row r="53" spans="1:10" x14ac:dyDescent="0.3">
      <c r="A53" s="76" t="s">
        <v>346</v>
      </c>
      <c r="B53" s="76" t="s">
        <v>347</v>
      </c>
      <c r="C53" s="76" t="s">
        <v>297</v>
      </c>
      <c r="D53" s="76" t="s">
        <v>298</v>
      </c>
      <c r="E53" s="76" t="s">
        <v>333</v>
      </c>
      <c r="F53" s="76" t="s">
        <v>103</v>
      </c>
      <c r="G53" s="76">
        <v>4</v>
      </c>
      <c r="H53" s="76" t="s">
        <v>307</v>
      </c>
      <c r="I53" s="4"/>
      <c r="J53" s="3" t="str">
        <f t="shared" si="0"/>
        <v>KR7364970004</v>
      </c>
    </row>
    <row r="54" spans="1:10" x14ac:dyDescent="0.3">
      <c r="A54" s="76" t="s">
        <v>348</v>
      </c>
      <c r="B54" s="76" t="s">
        <v>349</v>
      </c>
      <c r="C54" s="76" t="s">
        <v>297</v>
      </c>
      <c r="D54" s="76" t="s">
        <v>298</v>
      </c>
      <c r="E54" s="76" t="s">
        <v>333</v>
      </c>
      <c r="F54" s="76" t="s">
        <v>103</v>
      </c>
      <c r="G54" s="76">
        <v>4</v>
      </c>
      <c r="H54" s="76" t="s">
        <v>307</v>
      </c>
      <c r="I54" s="4"/>
      <c r="J54" s="3" t="str">
        <f t="shared" si="0"/>
        <v>KR7365000009</v>
      </c>
    </row>
    <row r="55" spans="1:10" x14ac:dyDescent="0.3">
      <c r="A55" s="76" t="s">
        <v>254</v>
      </c>
      <c r="B55" s="76" t="s">
        <v>255</v>
      </c>
      <c r="C55" s="76" t="s">
        <v>297</v>
      </c>
      <c r="D55" s="76" t="s">
        <v>298</v>
      </c>
      <c r="E55" s="76" t="s">
        <v>333</v>
      </c>
      <c r="F55" s="76" t="s">
        <v>103</v>
      </c>
      <c r="G55" s="76">
        <v>4</v>
      </c>
      <c r="H55" s="76" t="s">
        <v>307</v>
      </c>
      <c r="I55" s="4"/>
      <c r="J55" s="3" t="str">
        <f t="shared" si="0"/>
        <v>KR7300610003</v>
      </c>
    </row>
    <row r="56" spans="1:10" x14ac:dyDescent="0.3">
      <c r="A56" s="76" t="s">
        <v>350</v>
      </c>
      <c r="B56" s="76" t="s">
        <v>351</v>
      </c>
      <c r="C56" s="76" t="s">
        <v>297</v>
      </c>
      <c r="D56" s="76" t="s">
        <v>298</v>
      </c>
      <c r="E56" s="76" t="s">
        <v>333</v>
      </c>
      <c r="F56" s="76" t="s">
        <v>103</v>
      </c>
      <c r="G56" s="76">
        <v>4</v>
      </c>
      <c r="H56" s="76" t="s">
        <v>307</v>
      </c>
      <c r="I56" s="4"/>
      <c r="J56" s="3" t="str">
        <f t="shared" si="0"/>
        <v>KR7138530001</v>
      </c>
    </row>
    <row r="57" spans="1:10" x14ac:dyDescent="0.3">
      <c r="A57" s="76" t="s">
        <v>256</v>
      </c>
      <c r="B57" s="76" t="s">
        <v>257</v>
      </c>
      <c r="C57" s="76" t="s">
        <v>297</v>
      </c>
      <c r="D57" s="76" t="s">
        <v>298</v>
      </c>
      <c r="E57" s="76" t="s">
        <v>333</v>
      </c>
      <c r="F57" s="76" t="s">
        <v>103</v>
      </c>
      <c r="G57" s="76">
        <v>4</v>
      </c>
      <c r="H57" s="76" t="s">
        <v>307</v>
      </c>
      <c r="I57" s="4"/>
      <c r="J57" s="3" t="str">
        <f t="shared" si="0"/>
        <v>KR7228810008</v>
      </c>
    </row>
    <row r="58" spans="1:10" x14ac:dyDescent="0.3">
      <c r="A58" s="76" t="s">
        <v>194</v>
      </c>
      <c r="B58" s="76" t="s">
        <v>195</v>
      </c>
      <c r="C58" s="76" t="s">
        <v>297</v>
      </c>
      <c r="D58" s="76" t="s">
        <v>298</v>
      </c>
      <c r="E58" s="76" t="s">
        <v>333</v>
      </c>
      <c r="F58" s="76" t="s">
        <v>103</v>
      </c>
      <c r="G58" s="76">
        <v>4</v>
      </c>
      <c r="H58" s="76" t="s">
        <v>307</v>
      </c>
      <c r="I58" s="4"/>
      <c r="J58" s="3" t="str">
        <f t="shared" si="0"/>
        <v>KR7091230003</v>
      </c>
    </row>
    <row r="59" spans="1:10" x14ac:dyDescent="0.3">
      <c r="A59" s="76" t="s">
        <v>196</v>
      </c>
      <c r="B59" s="76" t="s">
        <v>197</v>
      </c>
      <c r="C59" s="76" t="s">
        <v>297</v>
      </c>
      <c r="D59" s="76" t="s">
        <v>298</v>
      </c>
      <c r="E59" s="76" t="s">
        <v>333</v>
      </c>
      <c r="F59" s="76" t="s">
        <v>103</v>
      </c>
      <c r="G59" s="76">
        <v>4</v>
      </c>
      <c r="H59" s="76" t="s">
        <v>307</v>
      </c>
      <c r="I59" s="4"/>
      <c r="J59" s="3" t="str">
        <f t="shared" si="0"/>
        <v>KR7098560006</v>
      </c>
    </row>
    <row r="60" spans="1:10" x14ac:dyDescent="0.3">
      <c r="A60" s="76" t="s">
        <v>352</v>
      </c>
      <c r="B60" s="76" t="s">
        <v>353</v>
      </c>
      <c r="C60" s="76" t="s">
        <v>297</v>
      </c>
      <c r="D60" s="76" t="s">
        <v>298</v>
      </c>
      <c r="E60" s="76" t="s">
        <v>333</v>
      </c>
      <c r="F60" s="76" t="s">
        <v>103</v>
      </c>
      <c r="G60" s="76">
        <v>4</v>
      </c>
      <c r="H60" s="76" t="s">
        <v>307</v>
      </c>
      <c r="I60" s="4"/>
      <c r="J60" s="3" t="str">
        <f t="shared" si="0"/>
        <v>KR7138520002</v>
      </c>
    </row>
    <row r="61" spans="1:10" x14ac:dyDescent="0.3">
      <c r="A61" s="76" t="s">
        <v>198</v>
      </c>
      <c r="B61" s="76" t="s">
        <v>199</v>
      </c>
      <c r="C61" s="76" t="s">
        <v>297</v>
      </c>
      <c r="D61" s="76" t="s">
        <v>298</v>
      </c>
      <c r="E61" s="76" t="s">
        <v>333</v>
      </c>
      <c r="F61" s="76" t="s">
        <v>103</v>
      </c>
      <c r="G61" s="76">
        <v>4</v>
      </c>
      <c r="H61" s="76" t="s">
        <v>307</v>
      </c>
      <c r="I61" s="4"/>
      <c r="J61" s="3" t="str">
        <f t="shared" si="0"/>
        <v>KR7157490004</v>
      </c>
    </row>
    <row r="62" spans="1:10" x14ac:dyDescent="0.3">
      <c r="A62" s="76" t="s">
        <v>258</v>
      </c>
      <c r="B62" s="76" t="s">
        <v>259</v>
      </c>
      <c r="C62" s="76" t="s">
        <v>297</v>
      </c>
      <c r="D62" s="76" t="s">
        <v>298</v>
      </c>
      <c r="E62" s="76" t="s">
        <v>333</v>
      </c>
      <c r="F62" s="76" t="s">
        <v>103</v>
      </c>
      <c r="G62" s="76">
        <v>4</v>
      </c>
      <c r="H62" s="76" t="s">
        <v>307</v>
      </c>
      <c r="I62" s="4"/>
      <c r="J62" s="3" t="str">
        <f t="shared" si="0"/>
        <v>KR7228800009</v>
      </c>
    </row>
    <row r="63" spans="1:10" x14ac:dyDescent="0.3">
      <c r="A63" s="76" t="s">
        <v>200</v>
      </c>
      <c r="B63" s="76" t="s">
        <v>201</v>
      </c>
      <c r="C63" s="76" t="s">
        <v>297</v>
      </c>
      <c r="D63" s="76" t="s">
        <v>298</v>
      </c>
      <c r="E63" s="76" t="s">
        <v>333</v>
      </c>
      <c r="F63" s="76" t="s">
        <v>103</v>
      </c>
      <c r="G63" s="76">
        <v>4</v>
      </c>
      <c r="H63" s="76" t="s">
        <v>307</v>
      </c>
      <c r="I63" s="4"/>
      <c r="J63" s="3" t="str">
        <f t="shared" si="0"/>
        <v>KR7091220004</v>
      </c>
    </row>
    <row r="64" spans="1:10" x14ac:dyDescent="0.3">
      <c r="A64" s="76" t="s">
        <v>260</v>
      </c>
      <c r="B64" s="76" t="s">
        <v>261</v>
      </c>
      <c r="C64" s="76" t="s">
        <v>297</v>
      </c>
      <c r="D64" s="76" t="s">
        <v>298</v>
      </c>
      <c r="E64" s="76" t="s">
        <v>333</v>
      </c>
      <c r="F64" s="76" t="s">
        <v>103</v>
      </c>
      <c r="G64" s="76">
        <v>4</v>
      </c>
      <c r="H64" s="76" t="s">
        <v>307</v>
      </c>
      <c r="I64" s="4"/>
      <c r="J64" s="3" t="str">
        <f t="shared" si="0"/>
        <v>KR7307510008</v>
      </c>
    </row>
    <row r="65" spans="1:10" x14ac:dyDescent="0.3">
      <c r="A65" s="76" t="s">
        <v>262</v>
      </c>
      <c r="B65" s="76" t="s">
        <v>263</v>
      </c>
      <c r="C65" s="76" t="s">
        <v>297</v>
      </c>
      <c r="D65" s="76" t="s">
        <v>298</v>
      </c>
      <c r="E65" s="76" t="s">
        <v>333</v>
      </c>
      <c r="F65" s="76" t="s">
        <v>103</v>
      </c>
      <c r="G65" s="76">
        <v>4</v>
      </c>
      <c r="H65" s="76" t="s">
        <v>307</v>
      </c>
      <c r="I65" s="4"/>
      <c r="J65" s="3" t="str">
        <f t="shared" si="0"/>
        <v>KR7157500000</v>
      </c>
    </row>
    <row r="66" spans="1:10" x14ac:dyDescent="0.3">
      <c r="A66" s="76" t="s">
        <v>264</v>
      </c>
      <c r="B66" s="76" t="s">
        <v>265</v>
      </c>
      <c r="C66" s="76" t="s">
        <v>297</v>
      </c>
      <c r="D66" s="76" t="s">
        <v>298</v>
      </c>
      <c r="E66" s="76" t="s">
        <v>333</v>
      </c>
      <c r="F66" s="76" t="s">
        <v>103</v>
      </c>
      <c r="G66" s="76">
        <v>4</v>
      </c>
      <c r="H66" s="76" t="s">
        <v>307</v>
      </c>
      <c r="I66" s="4"/>
      <c r="J66" s="3" t="str">
        <f t="shared" si="0"/>
        <v>KR7307520007</v>
      </c>
    </row>
    <row r="67" spans="1:10" x14ac:dyDescent="0.3">
      <c r="A67" s="76" t="s">
        <v>354</v>
      </c>
      <c r="B67" s="76" t="s">
        <v>355</v>
      </c>
      <c r="C67" s="76" t="s">
        <v>297</v>
      </c>
      <c r="D67" s="76" t="s">
        <v>298</v>
      </c>
      <c r="E67" s="76" t="s">
        <v>333</v>
      </c>
      <c r="F67" s="76" t="s">
        <v>103</v>
      </c>
      <c r="G67" s="76">
        <v>4</v>
      </c>
      <c r="H67" s="76" t="s">
        <v>307</v>
      </c>
      <c r="I67" s="4"/>
      <c r="J67" s="3" t="str">
        <f t="shared" ref="J67:J118" si="1">A67</f>
        <v>KR7261060008</v>
      </c>
    </row>
    <row r="68" spans="1:10" x14ac:dyDescent="0.3">
      <c r="A68" s="76" t="s">
        <v>356</v>
      </c>
      <c r="B68" s="76" t="s">
        <v>357</v>
      </c>
      <c r="C68" s="76" t="s">
        <v>297</v>
      </c>
      <c r="D68" s="76" t="s">
        <v>298</v>
      </c>
      <c r="E68" s="76" t="s">
        <v>333</v>
      </c>
      <c r="F68" s="76" t="s">
        <v>103</v>
      </c>
      <c r="G68" s="76">
        <v>4</v>
      </c>
      <c r="H68" s="76" t="s">
        <v>307</v>
      </c>
      <c r="I68" s="4"/>
      <c r="J68" s="3" t="str">
        <f t="shared" si="1"/>
        <v>KR7261070007</v>
      </c>
    </row>
    <row r="69" spans="1:10" x14ac:dyDescent="0.3">
      <c r="A69" s="76" t="s">
        <v>358</v>
      </c>
      <c r="B69" s="76" t="s">
        <v>359</v>
      </c>
      <c r="C69" s="76" t="s">
        <v>297</v>
      </c>
      <c r="D69" s="76" t="s">
        <v>298</v>
      </c>
      <c r="E69" s="76" t="s">
        <v>333</v>
      </c>
      <c r="F69" s="76" t="s">
        <v>103</v>
      </c>
      <c r="G69" s="76">
        <v>4</v>
      </c>
      <c r="H69" s="76" t="s">
        <v>307</v>
      </c>
      <c r="I69" s="4"/>
      <c r="J69" s="3" t="str">
        <f t="shared" si="1"/>
        <v>KR7376410007</v>
      </c>
    </row>
    <row r="70" spans="1:10" x14ac:dyDescent="0.3">
      <c r="A70" s="76" t="s">
        <v>360</v>
      </c>
      <c r="B70" s="76" t="s">
        <v>361</v>
      </c>
      <c r="C70" s="76" t="s">
        <v>297</v>
      </c>
      <c r="D70" s="76" t="s">
        <v>298</v>
      </c>
      <c r="E70" s="76" t="s">
        <v>333</v>
      </c>
      <c r="F70" s="76" t="s">
        <v>103</v>
      </c>
      <c r="G70" s="76">
        <v>4</v>
      </c>
      <c r="H70" s="76" t="s">
        <v>307</v>
      </c>
      <c r="I70" s="4"/>
      <c r="J70" s="3" t="str">
        <f t="shared" si="1"/>
        <v>KR7387280001</v>
      </c>
    </row>
    <row r="71" spans="1:10" x14ac:dyDescent="0.3">
      <c r="A71" s="76" t="s">
        <v>266</v>
      </c>
      <c r="B71" s="76" t="s">
        <v>267</v>
      </c>
      <c r="C71" s="76" t="s">
        <v>297</v>
      </c>
      <c r="D71" s="76" t="s">
        <v>298</v>
      </c>
      <c r="E71" s="76" t="s">
        <v>333</v>
      </c>
      <c r="F71" s="76" t="s">
        <v>103</v>
      </c>
      <c r="G71" s="76">
        <v>4</v>
      </c>
      <c r="H71" s="76" t="s">
        <v>307</v>
      </c>
      <c r="I71" s="4"/>
      <c r="J71" s="3" t="str">
        <f t="shared" si="1"/>
        <v>KR7143860005</v>
      </c>
    </row>
    <row r="72" spans="1:10" x14ac:dyDescent="0.3">
      <c r="A72" s="76" t="s">
        <v>362</v>
      </c>
      <c r="B72" s="76" t="s">
        <v>363</v>
      </c>
      <c r="C72" s="76" t="s">
        <v>297</v>
      </c>
      <c r="D72" s="76" t="s">
        <v>298</v>
      </c>
      <c r="E72" s="76" t="s">
        <v>333</v>
      </c>
      <c r="F72" s="76" t="s">
        <v>103</v>
      </c>
      <c r="G72" s="76">
        <v>4</v>
      </c>
      <c r="H72" s="76" t="s">
        <v>307</v>
      </c>
      <c r="I72" s="4"/>
      <c r="J72" s="3" t="str">
        <f t="shared" si="1"/>
        <v>KR7138540000</v>
      </c>
    </row>
    <row r="73" spans="1:10" x14ac:dyDescent="0.3">
      <c r="A73" s="76" t="s">
        <v>268</v>
      </c>
      <c r="B73" s="76" t="s">
        <v>269</v>
      </c>
      <c r="C73" s="76" t="s">
        <v>297</v>
      </c>
      <c r="D73" s="76" t="s">
        <v>298</v>
      </c>
      <c r="E73" s="76" t="s">
        <v>333</v>
      </c>
      <c r="F73" s="76" t="s">
        <v>103</v>
      </c>
      <c r="G73" s="76">
        <v>4</v>
      </c>
      <c r="H73" s="76" t="s">
        <v>307</v>
      </c>
      <c r="I73" s="4"/>
      <c r="J73" s="3" t="str">
        <f t="shared" si="1"/>
        <v>KR7228790002</v>
      </c>
    </row>
    <row r="74" spans="1:10" x14ac:dyDescent="0.3">
      <c r="A74" s="76" t="s">
        <v>364</v>
      </c>
      <c r="B74" s="76" t="s">
        <v>365</v>
      </c>
      <c r="C74" s="76" t="s">
        <v>297</v>
      </c>
      <c r="D74" s="76" t="s">
        <v>298</v>
      </c>
      <c r="E74" s="76" t="s">
        <v>333</v>
      </c>
      <c r="F74" s="76" t="s">
        <v>103</v>
      </c>
      <c r="G74" s="76">
        <v>4</v>
      </c>
      <c r="H74" s="76" t="s">
        <v>307</v>
      </c>
      <c r="I74" s="4"/>
      <c r="J74" s="3" t="str">
        <f t="shared" si="1"/>
        <v>KR7289260002</v>
      </c>
    </row>
    <row r="75" spans="1:10" x14ac:dyDescent="0.3">
      <c r="A75" s="76" t="s">
        <v>366</v>
      </c>
      <c r="B75" s="76" t="s">
        <v>367</v>
      </c>
      <c r="C75" s="76" t="s">
        <v>297</v>
      </c>
      <c r="D75" s="76" t="s">
        <v>298</v>
      </c>
      <c r="E75" s="76" t="s">
        <v>333</v>
      </c>
      <c r="F75" s="76" t="s">
        <v>103</v>
      </c>
      <c r="G75" s="76">
        <v>4</v>
      </c>
      <c r="H75" s="76" t="s">
        <v>307</v>
      </c>
      <c r="I75" s="4"/>
      <c r="J75" s="3" t="str">
        <f t="shared" si="1"/>
        <v>KR7289250003</v>
      </c>
    </row>
    <row r="76" spans="1:10" x14ac:dyDescent="0.3">
      <c r="A76" s="76" t="s">
        <v>126</v>
      </c>
      <c r="B76" s="76" t="s">
        <v>127</v>
      </c>
      <c r="C76" s="76" t="s">
        <v>297</v>
      </c>
      <c r="D76" s="76" t="s">
        <v>298</v>
      </c>
      <c r="E76" s="76" t="s">
        <v>368</v>
      </c>
      <c r="F76" s="76" t="s">
        <v>369</v>
      </c>
      <c r="G76" s="76">
        <v>4</v>
      </c>
      <c r="H76" s="76" t="s">
        <v>307</v>
      </c>
      <c r="I76" s="4"/>
      <c r="J76" s="3" t="str">
        <f t="shared" si="1"/>
        <v>KR7292560000</v>
      </c>
    </row>
    <row r="77" spans="1:10" x14ac:dyDescent="0.3">
      <c r="A77" s="76" t="s">
        <v>124</v>
      </c>
      <c r="B77" s="76" t="s">
        <v>125</v>
      </c>
      <c r="C77" s="76" t="s">
        <v>297</v>
      </c>
      <c r="D77" s="76" t="s">
        <v>298</v>
      </c>
      <c r="E77" s="76" t="s">
        <v>370</v>
      </c>
      <c r="F77" s="76" t="s">
        <v>369</v>
      </c>
      <c r="G77" s="76">
        <v>4</v>
      </c>
      <c r="H77" s="76" t="s">
        <v>307</v>
      </c>
      <c r="I77" s="4"/>
      <c r="J77" s="3" t="str">
        <f t="shared" si="1"/>
        <v>KR7329750004</v>
      </c>
    </row>
    <row r="78" spans="1:10" x14ac:dyDescent="0.3">
      <c r="A78" s="76" t="s">
        <v>122</v>
      </c>
      <c r="B78" s="76" t="s">
        <v>123</v>
      </c>
      <c r="C78" s="76" t="s">
        <v>297</v>
      </c>
      <c r="D78" s="76" t="s">
        <v>298</v>
      </c>
      <c r="E78" s="76" t="s">
        <v>371</v>
      </c>
      <c r="F78" s="76" t="s">
        <v>369</v>
      </c>
      <c r="G78" s="76">
        <v>4</v>
      </c>
      <c r="H78" s="76" t="s">
        <v>307</v>
      </c>
      <c r="I78" s="4"/>
      <c r="J78" s="3" t="str">
        <f t="shared" si="1"/>
        <v>KR7182490003</v>
      </c>
    </row>
    <row r="79" spans="1:10" x14ac:dyDescent="0.3">
      <c r="A79" s="76" t="s">
        <v>176</v>
      </c>
      <c r="B79" s="76" t="s">
        <v>177</v>
      </c>
      <c r="C79" s="76" t="s">
        <v>297</v>
      </c>
      <c r="D79" s="76" t="s">
        <v>298</v>
      </c>
      <c r="E79" s="76" t="s">
        <v>372</v>
      </c>
      <c r="F79" s="76" t="s">
        <v>104</v>
      </c>
      <c r="G79" s="76">
        <v>5</v>
      </c>
      <c r="H79" s="76" t="s">
        <v>307</v>
      </c>
      <c r="I79" s="4"/>
      <c r="J79" s="3" t="str">
        <f t="shared" si="1"/>
        <v>KR7245360003</v>
      </c>
    </row>
    <row r="80" spans="1:10" x14ac:dyDescent="0.3">
      <c r="A80" s="76" t="s">
        <v>174</v>
      </c>
      <c r="B80" s="76" t="s">
        <v>175</v>
      </c>
      <c r="C80" s="76" t="s">
        <v>297</v>
      </c>
      <c r="D80" s="76" t="s">
        <v>298</v>
      </c>
      <c r="E80" s="76" t="s">
        <v>373</v>
      </c>
      <c r="F80" s="76" t="s">
        <v>104</v>
      </c>
      <c r="G80" s="76">
        <v>5</v>
      </c>
      <c r="H80" s="76" t="s">
        <v>307</v>
      </c>
      <c r="I80" s="4"/>
      <c r="J80" s="3" t="str">
        <f t="shared" si="1"/>
        <v>KR7192090009</v>
      </c>
    </row>
    <row r="81" spans="1:10" x14ac:dyDescent="0.3">
      <c r="A81" s="76" t="s">
        <v>246</v>
      </c>
      <c r="B81" s="76" t="s">
        <v>247</v>
      </c>
      <c r="C81" s="76" t="s">
        <v>297</v>
      </c>
      <c r="D81" s="76" t="s">
        <v>298</v>
      </c>
      <c r="E81" s="76" t="s">
        <v>373</v>
      </c>
      <c r="F81" s="76" t="s">
        <v>104</v>
      </c>
      <c r="G81" s="76">
        <v>5</v>
      </c>
      <c r="H81" s="76" t="s">
        <v>307</v>
      </c>
      <c r="I81" s="4"/>
      <c r="J81" s="3" t="str">
        <f t="shared" si="1"/>
        <v>KR7371460007</v>
      </c>
    </row>
    <row r="82" spans="1:10" x14ac:dyDescent="0.3">
      <c r="A82" s="76" t="s">
        <v>138</v>
      </c>
      <c r="B82" s="76" t="s">
        <v>139</v>
      </c>
      <c r="C82" s="76" t="s">
        <v>297</v>
      </c>
      <c r="D82" s="76" t="s">
        <v>298</v>
      </c>
      <c r="E82" s="76" t="s">
        <v>373</v>
      </c>
      <c r="F82" s="76" t="s">
        <v>104</v>
      </c>
      <c r="G82" s="76">
        <v>5</v>
      </c>
      <c r="H82" s="76" t="s">
        <v>307</v>
      </c>
      <c r="I82" s="4"/>
      <c r="J82" s="3" t="str">
        <f t="shared" si="1"/>
        <v>KR7117690008</v>
      </c>
    </row>
    <row r="83" spans="1:10" x14ac:dyDescent="0.3">
      <c r="A83" s="76" t="s">
        <v>240</v>
      </c>
      <c r="B83" s="76" t="s">
        <v>241</v>
      </c>
      <c r="C83" s="76" t="s">
        <v>297</v>
      </c>
      <c r="D83" s="76" t="s">
        <v>298</v>
      </c>
      <c r="E83" s="76" t="s">
        <v>374</v>
      </c>
      <c r="F83" s="76" t="s">
        <v>104</v>
      </c>
      <c r="G83" s="76">
        <v>5</v>
      </c>
      <c r="H83" s="76" t="s">
        <v>307</v>
      </c>
      <c r="I83" s="4"/>
      <c r="J83" s="3" t="str">
        <f t="shared" si="1"/>
        <v>KR7371470006</v>
      </c>
    </row>
    <row r="84" spans="1:10" x14ac:dyDescent="0.3">
      <c r="A84" s="76" t="s">
        <v>244</v>
      </c>
      <c r="B84" s="76" t="s">
        <v>245</v>
      </c>
      <c r="C84" s="76" t="s">
        <v>297</v>
      </c>
      <c r="D84" s="76" t="s">
        <v>298</v>
      </c>
      <c r="E84" s="76" t="s">
        <v>374</v>
      </c>
      <c r="F84" s="76" t="s">
        <v>104</v>
      </c>
      <c r="G84" s="76">
        <v>5</v>
      </c>
      <c r="H84" s="76" t="s">
        <v>307</v>
      </c>
      <c r="I84" s="4"/>
      <c r="J84" s="3" t="str">
        <f t="shared" si="1"/>
        <v>KR7396520009</v>
      </c>
    </row>
    <row r="85" spans="1:10" x14ac:dyDescent="0.3">
      <c r="A85" s="76" t="s">
        <v>242</v>
      </c>
      <c r="B85" s="76" t="s">
        <v>243</v>
      </c>
      <c r="C85" s="76" t="s">
        <v>297</v>
      </c>
      <c r="D85" s="76" t="s">
        <v>298</v>
      </c>
      <c r="E85" s="76" t="s">
        <v>374</v>
      </c>
      <c r="F85" s="76" t="s">
        <v>104</v>
      </c>
      <c r="G85" s="76">
        <v>5</v>
      </c>
      <c r="H85" s="76" t="s">
        <v>307</v>
      </c>
      <c r="I85" s="4"/>
      <c r="J85" s="3" t="str">
        <f t="shared" si="1"/>
        <v>KR7396510000</v>
      </c>
    </row>
    <row r="86" spans="1:10" x14ac:dyDescent="0.3">
      <c r="A86" s="76" t="s">
        <v>238</v>
      </c>
      <c r="B86" s="76" t="s">
        <v>239</v>
      </c>
      <c r="C86" s="76" t="s">
        <v>297</v>
      </c>
      <c r="D86" s="76" t="s">
        <v>298</v>
      </c>
      <c r="E86" s="76" t="s">
        <v>374</v>
      </c>
      <c r="F86" s="76" t="s">
        <v>104</v>
      </c>
      <c r="G86" s="76">
        <v>5</v>
      </c>
      <c r="H86" s="76" t="s">
        <v>307</v>
      </c>
      <c r="I86" s="4"/>
      <c r="J86" s="3" t="str">
        <f t="shared" si="1"/>
        <v>KR7371160003</v>
      </c>
    </row>
    <row r="87" spans="1:10" x14ac:dyDescent="0.3">
      <c r="A87" s="76" t="s">
        <v>375</v>
      </c>
      <c r="B87" s="76" t="s">
        <v>376</v>
      </c>
      <c r="C87" s="76" t="s">
        <v>297</v>
      </c>
      <c r="D87" s="76" t="s">
        <v>298</v>
      </c>
      <c r="E87" s="76" t="s">
        <v>374</v>
      </c>
      <c r="F87" s="76" t="s">
        <v>104</v>
      </c>
      <c r="G87" s="76">
        <v>5</v>
      </c>
      <c r="H87" s="76" t="s">
        <v>307</v>
      </c>
      <c r="I87" s="4"/>
      <c r="J87" s="3" t="str">
        <f t="shared" si="1"/>
        <v>KR7150460004</v>
      </c>
    </row>
    <row r="88" spans="1:10" x14ac:dyDescent="0.3">
      <c r="A88" s="76" t="s">
        <v>170</v>
      </c>
      <c r="B88" s="76" t="s">
        <v>171</v>
      </c>
      <c r="C88" s="76" t="s">
        <v>297</v>
      </c>
      <c r="D88" s="76" t="s">
        <v>298</v>
      </c>
      <c r="E88" s="76" t="s">
        <v>377</v>
      </c>
      <c r="F88" s="76" t="s">
        <v>104</v>
      </c>
      <c r="G88" s="76">
        <v>5</v>
      </c>
      <c r="H88" s="76" t="s">
        <v>307</v>
      </c>
      <c r="I88" s="4"/>
      <c r="J88" s="3" t="str">
        <f t="shared" si="1"/>
        <v>KR7195920004</v>
      </c>
    </row>
    <row r="89" spans="1:10" x14ac:dyDescent="0.3">
      <c r="A89" s="76" t="s">
        <v>172</v>
      </c>
      <c r="B89" s="76" t="s">
        <v>173</v>
      </c>
      <c r="C89" s="76" t="s">
        <v>297</v>
      </c>
      <c r="D89" s="76" t="s">
        <v>298</v>
      </c>
      <c r="E89" s="76" t="s">
        <v>377</v>
      </c>
      <c r="F89" s="76" t="s">
        <v>104</v>
      </c>
      <c r="G89" s="76">
        <v>5</v>
      </c>
      <c r="H89" s="76" t="s">
        <v>307</v>
      </c>
      <c r="I89" s="4"/>
      <c r="J89" s="3" t="str">
        <f t="shared" si="1"/>
        <v>KR7248260002</v>
      </c>
    </row>
    <row r="90" spans="1:10" x14ac:dyDescent="0.3">
      <c r="A90" s="76" t="s">
        <v>136</v>
      </c>
      <c r="B90" s="76" t="s">
        <v>137</v>
      </c>
      <c r="C90" s="76" t="s">
        <v>297</v>
      </c>
      <c r="D90" s="76" t="s">
        <v>298</v>
      </c>
      <c r="E90" s="76" t="s">
        <v>377</v>
      </c>
      <c r="F90" s="76" t="s">
        <v>104</v>
      </c>
      <c r="G90" s="76">
        <v>5</v>
      </c>
      <c r="H90" s="76" t="s">
        <v>307</v>
      </c>
      <c r="I90" s="4"/>
      <c r="J90" s="3" t="str">
        <f t="shared" si="1"/>
        <v>KR7241180009</v>
      </c>
    </row>
    <row r="91" spans="1:10" x14ac:dyDescent="0.3">
      <c r="A91" s="76" t="s">
        <v>166</v>
      </c>
      <c r="B91" s="76" t="s">
        <v>167</v>
      </c>
      <c r="C91" s="76" t="s">
        <v>297</v>
      </c>
      <c r="D91" s="76" t="s">
        <v>298</v>
      </c>
      <c r="E91" s="76" t="s">
        <v>378</v>
      </c>
      <c r="F91" s="76" t="s">
        <v>104</v>
      </c>
      <c r="G91" s="76">
        <v>5</v>
      </c>
      <c r="H91" s="76" t="s">
        <v>307</v>
      </c>
      <c r="I91" s="4"/>
      <c r="J91" s="3" t="str">
        <f t="shared" si="1"/>
        <v>KR7195930003</v>
      </c>
    </row>
    <row r="92" spans="1:10" x14ac:dyDescent="0.3">
      <c r="A92" s="76" t="s">
        <v>168</v>
      </c>
      <c r="B92" s="76" t="s">
        <v>169</v>
      </c>
      <c r="C92" s="76" t="s">
        <v>297</v>
      </c>
      <c r="D92" s="76" t="s">
        <v>298</v>
      </c>
      <c r="E92" s="76" t="s">
        <v>378</v>
      </c>
      <c r="F92" s="76" t="s">
        <v>104</v>
      </c>
      <c r="G92" s="76">
        <v>5</v>
      </c>
      <c r="H92" s="76" t="s">
        <v>307</v>
      </c>
      <c r="I92" s="4"/>
      <c r="J92" s="3" t="str">
        <f t="shared" si="1"/>
        <v>KR7245350004</v>
      </c>
    </row>
    <row r="93" spans="1:10" x14ac:dyDescent="0.3">
      <c r="A93" s="76" t="s">
        <v>236</v>
      </c>
      <c r="B93" s="76" t="s">
        <v>237</v>
      </c>
      <c r="C93" s="76" t="s">
        <v>297</v>
      </c>
      <c r="D93" s="76" t="s">
        <v>298</v>
      </c>
      <c r="E93" s="76" t="s">
        <v>379</v>
      </c>
      <c r="F93" s="76" t="s">
        <v>104</v>
      </c>
      <c r="G93" s="76">
        <v>5</v>
      </c>
      <c r="H93" s="76" t="s">
        <v>307</v>
      </c>
      <c r="I93" s="4"/>
      <c r="J93" s="3" t="str">
        <f t="shared" si="1"/>
        <v>KR7105010003</v>
      </c>
    </row>
    <row r="94" spans="1:10" x14ac:dyDescent="0.3">
      <c r="A94" s="76" t="s">
        <v>160</v>
      </c>
      <c r="B94" s="76" t="s">
        <v>161</v>
      </c>
      <c r="C94" s="76" t="s">
        <v>297</v>
      </c>
      <c r="D94" s="76" t="s">
        <v>298</v>
      </c>
      <c r="E94" s="76" t="s">
        <v>380</v>
      </c>
      <c r="F94" s="76" t="s">
        <v>104</v>
      </c>
      <c r="G94" s="76">
        <v>5</v>
      </c>
      <c r="H94" s="76" t="s">
        <v>307</v>
      </c>
      <c r="I94" s="4"/>
      <c r="J94" s="3" t="str">
        <f t="shared" si="1"/>
        <v>KR7360750004</v>
      </c>
    </row>
    <row r="95" spans="1:10" x14ac:dyDescent="0.3">
      <c r="A95" s="76" t="s">
        <v>162</v>
      </c>
      <c r="B95" s="76" t="s">
        <v>163</v>
      </c>
      <c r="C95" s="76" t="s">
        <v>297</v>
      </c>
      <c r="D95" s="76" t="s">
        <v>298</v>
      </c>
      <c r="E95" s="76" t="s">
        <v>380</v>
      </c>
      <c r="F95" s="76" t="s">
        <v>104</v>
      </c>
      <c r="G95" s="76">
        <v>5</v>
      </c>
      <c r="H95" s="76" t="s">
        <v>307</v>
      </c>
      <c r="I95" s="4"/>
      <c r="J95" s="3" t="str">
        <f t="shared" si="1"/>
        <v>KR7143850006</v>
      </c>
    </row>
    <row r="96" spans="1:10" x14ac:dyDescent="0.3">
      <c r="A96" s="76" t="s">
        <v>156</v>
      </c>
      <c r="B96" s="76" t="s">
        <v>157</v>
      </c>
      <c r="C96" s="76" t="s">
        <v>297</v>
      </c>
      <c r="D96" s="76" t="s">
        <v>298</v>
      </c>
      <c r="E96" s="76" t="s">
        <v>380</v>
      </c>
      <c r="F96" s="76" t="s">
        <v>104</v>
      </c>
      <c r="G96" s="76">
        <v>5</v>
      </c>
      <c r="H96" s="76" t="s">
        <v>307</v>
      </c>
      <c r="I96" s="4"/>
      <c r="J96" s="3" t="str">
        <f t="shared" si="1"/>
        <v>KR7133690008</v>
      </c>
    </row>
    <row r="97" spans="1:10" x14ac:dyDescent="0.3">
      <c r="A97" s="76" t="s">
        <v>164</v>
      </c>
      <c r="B97" s="76" t="s">
        <v>165</v>
      </c>
      <c r="C97" s="76" t="s">
        <v>297</v>
      </c>
      <c r="D97" s="76" t="s">
        <v>298</v>
      </c>
      <c r="E97" s="76" t="s">
        <v>380</v>
      </c>
      <c r="F97" s="76" t="s">
        <v>104</v>
      </c>
      <c r="G97" s="76">
        <v>5</v>
      </c>
      <c r="H97" s="76" t="s">
        <v>307</v>
      </c>
      <c r="I97" s="4"/>
      <c r="J97" s="3" t="str">
        <f t="shared" si="1"/>
        <v>KR7245340005</v>
      </c>
    </row>
    <row r="98" spans="1:10" x14ac:dyDescent="0.3">
      <c r="A98" s="76" t="s">
        <v>158</v>
      </c>
      <c r="B98" s="76" t="s">
        <v>159</v>
      </c>
      <c r="C98" s="76" t="s">
        <v>297</v>
      </c>
      <c r="D98" s="76" t="s">
        <v>298</v>
      </c>
      <c r="E98" s="76" t="s">
        <v>380</v>
      </c>
      <c r="F98" s="76" t="s">
        <v>104</v>
      </c>
      <c r="G98" s="76">
        <v>5</v>
      </c>
      <c r="H98" s="76" t="s">
        <v>307</v>
      </c>
      <c r="I98" s="4"/>
      <c r="J98" s="3" t="str">
        <f t="shared" si="1"/>
        <v>KR7381170000</v>
      </c>
    </row>
    <row r="99" spans="1:10" x14ac:dyDescent="0.3">
      <c r="A99" s="76" t="s">
        <v>154</v>
      </c>
      <c r="B99" s="76" t="s">
        <v>155</v>
      </c>
      <c r="C99" s="76" t="s">
        <v>297</v>
      </c>
      <c r="D99" s="76" t="s">
        <v>298</v>
      </c>
      <c r="E99" s="76" t="s">
        <v>381</v>
      </c>
      <c r="F99" s="76" t="s">
        <v>104</v>
      </c>
      <c r="G99" s="76">
        <v>5</v>
      </c>
      <c r="H99" s="76" t="s">
        <v>307</v>
      </c>
      <c r="I99" s="4"/>
      <c r="J99" s="3" t="str">
        <f t="shared" si="1"/>
        <v>KR7203780002</v>
      </c>
    </row>
    <row r="100" spans="1:10" x14ac:dyDescent="0.3">
      <c r="A100" s="76" t="s">
        <v>234</v>
      </c>
      <c r="B100" s="76" t="s">
        <v>235</v>
      </c>
      <c r="C100" s="76" t="s">
        <v>297</v>
      </c>
      <c r="D100" s="76" t="s">
        <v>298</v>
      </c>
      <c r="E100" s="76" t="s">
        <v>381</v>
      </c>
      <c r="F100" s="76" t="s">
        <v>104</v>
      </c>
      <c r="G100" s="76">
        <v>5</v>
      </c>
      <c r="H100" s="76" t="s">
        <v>307</v>
      </c>
      <c r="I100" s="4"/>
      <c r="J100" s="3" t="str">
        <f t="shared" si="1"/>
        <v>KR7381180009</v>
      </c>
    </row>
    <row r="101" spans="1:10" x14ac:dyDescent="0.3">
      <c r="A101" s="76" t="s">
        <v>152</v>
      </c>
      <c r="B101" s="76" t="s">
        <v>153</v>
      </c>
      <c r="C101" s="76" t="s">
        <v>297</v>
      </c>
      <c r="D101" s="76" t="s">
        <v>298</v>
      </c>
      <c r="E101" s="76" t="s">
        <v>272</v>
      </c>
      <c r="F101" s="76" t="s">
        <v>104</v>
      </c>
      <c r="G101" s="76">
        <v>5</v>
      </c>
      <c r="H101" s="76" t="s">
        <v>307</v>
      </c>
      <c r="I101" s="4"/>
      <c r="J101" s="3" t="str">
        <f t="shared" si="1"/>
        <v>KR7269370003</v>
      </c>
    </row>
    <row r="102" spans="1:10" x14ac:dyDescent="0.3">
      <c r="A102" s="76" t="s">
        <v>148</v>
      </c>
      <c r="B102" s="76" t="s">
        <v>149</v>
      </c>
      <c r="C102" s="76" t="s">
        <v>297</v>
      </c>
      <c r="D102" s="76" t="s">
        <v>298</v>
      </c>
      <c r="E102" s="76" t="s">
        <v>272</v>
      </c>
      <c r="F102" s="76" t="s">
        <v>104</v>
      </c>
      <c r="G102" s="76">
        <v>5</v>
      </c>
      <c r="H102" s="76" t="s">
        <v>307</v>
      </c>
      <c r="I102" s="4"/>
      <c r="J102" s="3" t="str">
        <f t="shared" si="1"/>
        <v>KR7319640009</v>
      </c>
    </row>
    <row r="103" spans="1:10" x14ac:dyDescent="0.3">
      <c r="A103" s="76" t="s">
        <v>150</v>
      </c>
      <c r="B103" s="76" t="s">
        <v>151</v>
      </c>
      <c r="C103" s="76" t="s">
        <v>297</v>
      </c>
      <c r="D103" s="76" t="s">
        <v>298</v>
      </c>
      <c r="E103" s="76" t="s">
        <v>272</v>
      </c>
      <c r="F103" s="76" t="s">
        <v>104</v>
      </c>
      <c r="G103" s="76">
        <v>5</v>
      </c>
      <c r="H103" s="76" t="s">
        <v>307</v>
      </c>
      <c r="I103" s="4"/>
      <c r="J103" s="3" t="str">
        <f t="shared" si="1"/>
        <v>KR7160580007</v>
      </c>
    </row>
    <row r="104" spans="1:10" x14ac:dyDescent="0.3">
      <c r="A104" s="76" t="s">
        <v>134</v>
      </c>
      <c r="B104" s="76" t="s">
        <v>135</v>
      </c>
      <c r="C104" s="76" t="s">
        <v>297</v>
      </c>
      <c r="D104" s="76" t="s">
        <v>298</v>
      </c>
      <c r="E104" s="76" t="s">
        <v>272</v>
      </c>
      <c r="F104" s="76" t="s">
        <v>104</v>
      </c>
      <c r="G104" s="76">
        <v>5</v>
      </c>
      <c r="H104" s="76" t="s">
        <v>307</v>
      </c>
      <c r="I104" s="4"/>
      <c r="J104" s="3" t="str">
        <f t="shared" si="1"/>
        <v>KR7139310007</v>
      </c>
    </row>
    <row r="105" spans="1:10" x14ac:dyDescent="0.3">
      <c r="A105" s="76" t="s">
        <v>132</v>
      </c>
      <c r="B105" s="76" t="s">
        <v>133</v>
      </c>
      <c r="C105" s="76" t="s">
        <v>297</v>
      </c>
      <c r="D105" s="76" t="s">
        <v>298</v>
      </c>
      <c r="E105" s="76" t="s">
        <v>272</v>
      </c>
      <c r="F105" s="76" t="s">
        <v>104</v>
      </c>
      <c r="G105" s="76">
        <v>5</v>
      </c>
      <c r="H105" s="76" t="s">
        <v>307</v>
      </c>
      <c r="I105" s="4"/>
      <c r="J105" s="3" t="str">
        <f t="shared" si="1"/>
        <v>KR7139320006</v>
      </c>
    </row>
    <row r="106" spans="1:10" x14ac:dyDescent="0.3">
      <c r="A106" s="76" t="s">
        <v>130</v>
      </c>
      <c r="B106" s="76" t="s">
        <v>131</v>
      </c>
      <c r="C106" s="76" t="s">
        <v>297</v>
      </c>
      <c r="D106" s="76" t="s">
        <v>298</v>
      </c>
      <c r="E106" s="76" t="s">
        <v>272</v>
      </c>
      <c r="F106" s="76" t="s">
        <v>104</v>
      </c>
      <c r="G106" s="76">
        <v>5</v>
      </c>
      <c r="H106" s="76" t="s">
        <v>307</v>
      </c>
      <c r="I106" s="4"/>
      <c r="J106" s="3" t="str">
        <f t="shared" si="1"/>
        <v>KR7137610002</v>
      </c>
    </row>
    <row r="107" spans="1:10" x14ac:dyDescent="0.3">
      <c r="A107" s="76" t="s">
        <v>142</v>
      </c>
      <c r="B107" s="76" t="s">
        <v>143</v>
      </c>
      <c r="C107" s="76" t="s">
        <v>297</v>
      </c>
      <c r="D107" s="76" t="s">
        <v>298</v>
      </c>
      <c r="E107" s="76" t="s">
        <v>272</v>
      </c>
      <c r="F107" s="76" t="s">
        <v>104</v>
      </c>
      <c r="G107" s="76">
        <v>5</v>
      </c>
      <c r="H107" s="76" t="s">
        <v>307</v>
      </c>
      <c r="I107" s="4"/>
      <c r="J107" s="3" t="str">
        <f t="shared" si="1"/>
        <v>KR7182480004</v>
      </c>
    </row>
    <row r="108" spans="1:10" x14ac:dyDescent="0.3">
      <c r="A108" s="76" t="s">
        <v>144</v>
      </c>
      <c r="B108" s="76" t="s">
        <v>145</v>
      </c>
      <c r="C108" s="76" t="s">
        <v>297</v>
      </c>
      <c r="D108" s="76" t="s">
        <v>298</v>
      </c>
      <c r="E108" s="76" t="s">
        <v>272</v>
      </c>
      <c r="F108" s="76" t="s">
        <v>104</v>
      </c>
      <c r="G108" s="76">
        <v>5</v>
      </c>
      <c r="H108" s="76" t="s">
        <v>307</v>
      </c>
      <c r="I108" s="4"/>
      <c r="J108" s="3" t="str">
        <f t="shared" si="1"/>
        <v>KR7329200000</v>
      </c>
    </row>
    <row r="109" spans="1:10" x14ac:dyDescent="0.3">
      <c r="A109" s="76" t="s">
        <v>232</v>
      </c>
      <c r="B109" s="76" t="s">
        <v>233</v>
      </c>
      <c r="C109" s="76" t="s">
        <v>297</v>
      </c>
      <c r="D109" s="76" t="s">
        <v>298</v>
      </c>
      <c r="E109" s="76" t="s">
        <v>272</v>
      </c>
      <c r="F109" s="76" t="s">
        <v>104</v>
      </c>
      <c r="G109" s="76">
        <v>5</v>
      </c>
      <c r="H109" s="76" t="s">
        <v>307</v>
      </c>
      <c r="I109" s="4"/>
      <c r="J109" s="3" t="str">
        <f t="shared" si="1"/>
        <v>KR7130680002</v>
      </c>
    </row>
    <row r="110" spans="1:10" x14ac:dyDescent="0.3">
      <c r="A110" s="76" t="s">
        <v>128</v>
      </c>
      <c r="B110" s="76" t="s">
        <v>129</v>
      </c>
      <c r="C110" s="76" t="s">
        <v>297</v>
      </c>
      <c r="D110" s="76" t="s">
        <v>298</v>
      </c>
      <c r="E110" s="76" t="s">
        <v>382</v>
      </c>
      <c r="F110" s="76" t="s">
        <v>104</v>
      </c>
      <c r="G110" s="76">
        <v>5</v>
      </c>
      <c r="H110" s="76" t="s">
        <v>307</v>
      </c>
      <c r="I110" s="4"/>
      <c r="J110" s="3" t="str">
        <f t="shared" si="1"/>
        <v>KR7248270001</v>
      </c>
    </row>
    <row r="111" spans="1:10" x14ac:dyDescent="0.3">
      <c r="A111" s="76" t="s">
        <v>140</v>
      </c>
      <c r="B111" s="76" t="s">
        <v>141</v>
      </c>
      <c r="C111" s="76" t="s">
        <v>297</v>
      </c>
      <c r="D111" s="76" t="s">
        <v>298</v>
      </c>
      <c r="E111" s="76" t="s">
        <v>382</v>
      </c>
      <c r="F111" s="76" t="s">
        <v>104</v>
      </c>
      <c r="G111" s="76">
        <v>5</v>
      </c>
      <c r="H111" s="76" t="s">
        <v>307</v>
      </c>
      <c r="I111" s="4"/>
      <c r="J111" s="3" t="str">
        <f t="shared" si="1"/>
        <v>KR7275980001</v>
      </c>
    </row>
    <row r="112" spans="1:10" x14ac:dyDescent="0.3">
      <c r="A112" s="76" t="s">
        <v>226</v>
      </c>
      <c r="B112" s="76" t="s">
        <v>227</v>
      </c>
      <c r="C112" s="76" t="s">
        <v>297</v>
      </c>
      <c r="D112" s="76" t="s">
        <v>298</v>
      </c>
      <c r="E112" s="76" t="s">
        <v>382</v>
      </c>
      <c r="F112" s="76" t="s">
        <v>104</v>
      </c>
      <c r="G112" s="76">
        <v>5</v>
      </c>
      <c r="H112" s="76" t="s">
        <v>307</v>
      </c>
      <c r="I112" s="4"/>
      <c r="J112" s="3" t="str">
        <f t="shared" si="1"/>
        <v>KR7387270002</v>
      </c>
    </row>
    <row r="113" spans="1:10" x14ac:dyDescent="0.3">
      <c r="A113" s="76" t="s">
        <v>222</v>
      </c>
      <c r="B113" s="76" t="s">
        <v>223</v>
      </c>
      <c r="C113" s="76" t="s">
        <v>297</v>
      </c>
      <c r="D113" s="76" t="s">
        <v>298</v>
      </c>
      <c r="E113" s="76" t="s">
        <v>382</v>
      </c>
      <c r="F113" s="76" t="s">
        <v>104</v>
      </c>
      <c r="G113" s="76">
        <v>5</v>
      </c>
      <c r="H113" s="76" t="s">
        <v>307</v>
      </c>
      <c r="I113" s="4"/>
      <c r="J113" s="3" t="str">
        <f t="shared" si="1"/>
        <v>KR7394670004</v>
      </c>
    </row>
    <row r="114" spans="1:10" x14ac:dyDescent="0.3">
      <c r="A114" s="76" t="s">
        <v>230</v>
      </c>
      <c r="B114" s="76" t="s">
        <v>231</v>
      </c>
      <c r="C114" s="76" t="s">
        <v>297</v>
      </c>
      <c r="D114" s="76" t="s">
        <v>298</v>
      </c>
      <c r="E114" s="76" t="s">
        <v>382</v>
      </c>
      <c r="F114" s="76" t="s">
        <v>104</v>
      </c>
      <c r="G114" s="76">
        <v>5</v>
      </c>
      <c r="H114" s="76" t="s">
        <v>307</v>
      </c>
      <c r="I114" s="4"/>
      <c r="J114" s="3" t="str">
        <f t="shared" si="1"/>
        <v>KR7276000007</v>
      </c>
    </row>
    <row r="115" spans="1:10" x14ac:dyDescent="0.3">
      <c r="A115" s="76" t="s">
        <v>224</v>
      </c>
      <c r="B115" s="76" t="s">
        <v>225</v>
      </c>
      <c r="C115" s="76" t="s">
        <v>297</v>
      </c>
      <c r="D115" s="76" t="s">
        <v>298</v>
      </c>
      <c r="E115" s="76" t="s">
        <v>382</v>
      </c>
      <c r="F115" s="76" t="s">
        <v>104</v>
      </c>
      <c r="G115" s="76">
        <v>5</v>
      </c>
      <c r="H115" s="76" t="s">
        <v>307</v>
      </c>
      <c r="I115" s="4"/>
      <c r="J115" s="3" t="str">
        <f t="shared" si="1"/>
        <v>KR7394660005</v>
      </c>
    </row>
    <row r="116" spans="1:10" x14ac:dyDescent="0.3">
      <c r="A116" s="76" t="s">
        <v>228</v>
      </c>
      <c r="B116" s="76" t="s">
        <v>229</v>
      </c>
      <c r="C116" s="76" t="s">
        <v>297</v>
      </c>
      <c r="D116" s="76" t="s">
        <v>298</v>
      </c>
      <c r="E116" s="76" t="s">
        <v>382</v>
      </c>
      <c r="F116" s="76" t="s">
        <v>104</v>
      </c>
      <c r="G116" s="76">
        <v>5</v>
      </c>
      <c r="H116" s="76" t="s">
        <v>307</v>
      </c>
      <c r="I116" s="4"/>
      <c r="J116" s="3" t="str">
        <f t="shared" si="1"/>
        <v>KR7371450008</v>
      </c>
    </row>
    <row r="117" spans="1:10" x14ac:dyDescent="0.3">
      <c r="A117" s="76" t="s">
        <v>383</v>
      </c>
      <c r="B117" s="76" t="s">
        <v>283</v>
      </c>
      <c r="C117" s="76" t="s">
        <v>297</v>
      </c>
      <c r="D117" s="76" t="s">
        <v>298</v>
      </c>
      <c r="E117" s="76" t="s">
        <v>320</v>
      </c>
      <c r="F117" s="76" t="s">
        <v>103</v>
      </c>
      <c r="G117" s="76">
        <v>4</v>
      </c>
      <c r="H117" s="76" t="s">
        <v>307</v>
      </c>
      <c r="I117" s="4"/>
      <c r="J117" s="3" t="str">
        <f t="shared" si="1"/>
        <v>KR7069500007</v>
      </c>
    </row>
    <row r="118" spans="1:10" x14ac:dyDescent="0.3">
      <c r="A118" s="76" t="s">
        <v>384</v>
      </c>
      <c r="B118" s="76" t="s">
        <v>282</v>
      </c>
      <c r="C118" s="76" t="s">
        <v>297</v>
      </c>
      <c r="D118" s="76" t="s">
        <v>298</v>
      </c>
      <c r="E118" s="76" t="s">
        <v>320</v>
      </c>
      <c r="F118" s="76" t="s">
        <v>103</v>
      </c>
      <c r="G118" s="76">
        <v>4</v>
      </c>
      <c r="H118" s="76" t="s">
        <v>307</v>
      </c>
      <c r="I118" s="4"/>
      <c r="J118" s="3" t="str">
        <f t="shared" si="1"/>
        <v>KR7148020001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5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J6" sqref="J6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5.75" style="1" customWidth="1"/>
    <col min="5" max="5" width="18" style="1" customWidth="1"/>
    <col min="6" max="6" width="11.875" style="15" bestFit="1" customWidth="1"/>
    <col min="7" max="7" width="10.125" style="15" customWidth="1"/>
    <col min="8" max="8" width="11.25" style="15" bestFit="1" customWidth="1"/>
    <col min="9" max="9" width="14.875" style="15" customWidth="1"/>
    <col min="10" max="10" width="14.375" style="15" customWidth="1"/>
    <col min="11" max="11" width="12.875" style="15" customWidth="1"/>
    <col min="12" max="12" width="13.25" style="15" customWidth="1"/>
    <col min="13" max="13" width="12.125" style="14" customWidth="1"/>
    <col min="14" max="16384" width="9" style="14"/>
  </cols>
  <sheetData>
    <row r="1" spans="1:15" s="36" customFormat="1" ht="38.25" customHeight="1" x14ac:dyDescent="0.3">
      <c r="A1" s="47" t="s">
        <v>50</v>
      </c>
      <c r="B1" s="48" t="s">
        <v>392</v>
      </c>
      <c r="C1" s="47" t="s">
        <v>13</v>
      </c>
      <c r="D1" s="47" t="s">
        <v>14</v>
      </c>
      <c r="E1" s="52" t="s">
        <v>2</v>
      </c>
      <c r="F1" s="53" t="s">
        <v>18</v>
      </c>
      <c r="G1" s="54" t="s">
        <v>3</v>
      </c>
      <c r="H1" s="55" t="s">
        <v>39</v>
      </c>
      <c r="I1" s="55" t="s">
        <v>40</v>
      </c>
      <c r="J1" s="37"/>
      <c r="K1" s="37"/>
    </row>
    <row r="2" spans="1:15" s="1" customFormat="1" x14ac:dyDescent="0.3">
      <c r="A2" s="7" t="s">
        <v>294</v>
      </c>
      <c r="B2" s="34" t="s">
        <v>296</v>
      </c>
      <c r="C2" s="9">
        <v>0.6</v>
      </c>
      <c r="D2" s="18">
        <v>1</v>
      </c>
      <c r="E2" s="18">
        <v>3.4</v>
      </c>
      <c r="F2" s="8"/>
      <c r="G2" s="13"/>
      <c r="H2" s="13"/>
      <c r="I2" s="13"/>
      <c r="J2" s="17"/>
      <c r="K2" s="17"/>
    </row>
    <row r="3" spans="1:15" s="1" customFormat="1" x14ac:dyDescent="0.3">
      <c r="F3" s="17"/>
      <c r="G3" s="17"/>
      <c r="H3" s="17"/>
      <c r="I3" s="17"/>
      <c r="J3" s="17"/>
      <c r="K3" s="17"/>
      <c r="L3" s="17"/>
    </row>
    <row r="4" spans="1:15" s="1" customFormat="1" x14ac:dyDescent="0.3">
      <c r="A4" s="56" t="s">
        <v>48</v>
      </c>
      <c r="B4" s="68" t="s">
        <v>390</v>
      </c>
      <c r="C4" s="68" t="s">
        <v>391</v>
      </c>
      <c r="D4" s="118" t="s">
        <v>63</v>
      </c>
      <c r="E4" s="118" t="s">
        <v>64</v>
      </c>
      <c r="F4" s="118" t="s">
        <v>65</v>
      </c>
      <c r="G4" s="120" t="s">
        <v>0</v>
      </c>
      <c r="H4" s="115" t="s">
        <v>28</v>
      </c>
      <c r="I4" s="115"/>
      <c r="J4" s="115"/>
      <c r="K4" s="115" t="s">
        <v>30</v>
      </c>
      <c r="L4" s="115"/>
      <c r="M4" s="115"/>
      <c r="N4" s="115"/>
      <c r="O4" s="116" t="s">
        <v>66</v>
      </c>
    </row>
    <row r="5" spans="1:15" s="1" customFormat="1" ht="49.5" x14ac:dyDescent="0.3">
      <c r="A5" s="57" t="s">
        <v>49</v>
      </c>
      <c r="B5" s="68">
        <v>4</v>
      </c>
      <c r="C5" s="68">
        <v>1</v>
      </c>
      <c r="D5" s="119"/>
      <c r="E5" s="119"/>
      <c r="F5" s="119"/>
      <c r="G5" s="121"/>
      <c r="H5" s="28" t="s">
        <v>15</v>
      </c>
      <c r="I5" s="28" t="s">
        <v>16</v>
      </c>
      <c r="J5" s="28" t="s">
        <v>1</v>
      </c>
      <c r="K5" s="28" t="s">
        <v>27</v>
      </c>
      <c r="L5" s="29" t="s">
        <v>31</v>
      </c>
      <c r="M5" s="29" t="s">
        <v>32</v>
      </c>
      <c r="N5" s="29" t="s">
        <v>33</v>
      </c>
      <c r="O5" s="117"/>
    </row>
    <row r="6" spans="1:15" s="1" customFormat="1" x14ac:dyDescent="0.3">
      <c r="A6" s="2">
        <f>'50578'!$R$1</f>
        <v>44694</v>
      </c>
      <c r="B6" s="25">
        <f>IF(ISBLANK($A6),"",SUMIFS('MP내역(안정)'!$G:$G,'MP내역(안정)'!$A:$A,$A6,'MP내역(안정)'!$D:$D,B$4,'MP내역(안정)'!$E:$E,B$5))</f>
        <v>0.5185267260362495</v>
      </c>
      <c r="C6" s="25">
        <f>IF(ISBLANK($A6),"",SUMIFS('MP내역(안정)'!$G:$G,'MP내역(안정)'!$A:$A,$A6,'MP내역(안정)'!$D:$D,C$4,'MP내역(안정)'!$E:$E,C$5))</f>
        <v>0.4814732739637505</v>
      </c>
      <c r="D6" s="25">
        <f>IF(ISBLANK(A6),"",SUM(B6:C6))</f>
        <v>1</v>
      </c>
      <c r="E6" s="25">
        <f>IF(ISBLANK(A6),"",SUMIFS('MP내역(안정)'!G:G,'MP내역(안정)'!A:A,'포트변경내역(안정)'!A6,'MP내역(안정)'!F:F,"Y"))</f>
        <v>0.5185267260362495</v>
      </c>
      <c r="F6" s="32">
        <f>IF(ISBLANK(A6),"",SUMPRODUCT($B$5:$C$5,B6:C6))</f>
        <v>2.5555801781087486</v>
      </c>
      <c r="G6" s="12"/>
      <c r="H6" s="10" t="str">
        <f>IF(ISBLANK(E6),"",IF($C$2&gt;=E6,"O","X"))</f>
        <v>O</v>
      </c>
      <c r="I6" s="10" t="str">
        <f>IF(ISBLANK(F6),"",IF(AND($D$2&lt;=F6,F6&lt;=$E$2),"O","X"))</f>
        <v>O</v>
      </c>
      <c r="J6" s="10" t="str">
        <f>IF(ISBLANK(A6),"",IFERROR(IF(F6&lt;VLOOKUP(A6,'포트변경내역(중립)'!A:F,6,0),"O","X"),""))</f>
        <v>O</v>
      </c>
      <c r="K6" s="10">
        <f>IF(ISBLANK(A6),"",COUNTIFS('MP내역(안정)'!$A:$A,A6)-COUNTIFS('MP내역(안정)'!$A:$A,A6,'MP내역(안정)'!$B:$B,"현금")-COUNTIFS('MP내역(안정)'!$A:$A,A6,'MP내역(안정)'!$B:$B,"예수금")-COUNTIFS('MP내역(안정)'!$A:$A,A6,'MP내역(안정)'!$B:$B,"예탁금")-COUNTIFS('MP내역(안정)'!$A:$A,A6,'MP내역(안정)'!$B:$B,"합계"))</f>
        <v>6</v>
      </c>
      <c r="L6" s="10" t="str">
        <f>IF(ISBLANK(A6),"",IF(COUNTIFS('MP내역(안정)'!A:A,A6,'MP내역(안정)'!G:G,"&gt;"&amp;#REF!,'MP내역(안정)'!D:D,"&lt;&gt;"&amp;#REF!,'MP내역(안정)'!D:D,"&lt;&gt;"&amp;#REF!,'MP내역(안정)'!B:B,"&lt;&gt;현금",'MP내역(안정)'!B:B,"&lt;&gt;합계")=0,"O","X"))</f>
        <v>O</v>
      </c>
      <c r="M6" s="10" t="str">
        <f>IF(ISBLANK(A6),"",IF(AND(ABS(E6-SUMIFS('MP내역(안정)'!G:G,'MP내역(안정)'!A:A,A6,'MP내역(안정)'!F:F,"Y"))&lt;0.001,ABS(D6-SUMIFS('MP내역(안정)'!G:G,'MP내역(안정)'!A:A,A6,'MP내역(안정)'!B:B,"&lt;&gt;합계"))&lt;0.001),"O","X"))</f>
        <v>O</v>
      </c>
      <c r="N6" s="10" t="str">
        <f>IF(ISBLANK(A6),"",IF(COUNTIFS('MP내역(안정)'!A:A,A6,'MP내역(안정)'!H:H,"X")=0,"O","X"))</f>
        <v>O</v>
      </c>
      <c r="O6" s="30"/>
    </row>
    <row r="7" spans="1:15" x14ac:dyDescent="0.3">
      <c r="A7" s="14"/>
      <c r="B7" s="14"/>
      <c r="C7" s="14"/>
      <c r="D7" s="14"/>
      <c r="E7" s="14"/>
      <c r="F7" s="14"/>
      <c r="G7" s="14"/>
      <c r="M7" s="15"/>
      <c r="N7" s="15"/>
    </row>
    <row r="8" spans="1:15" x14ac:dyDescent="0.3">
      <c r="A8" s="14"/>
      <c r="B8" s="14"/>
      <c r="C8" s="14"/>
      <c r="D8" s="14"/>
      <c r="E8" s="14"/>
      <c r="F8" s="14"/>
      <c r="G8" s="14"/>
      <c r="M8" s="15"/>
      <c r="N8" s="15"/>
    </row>
    <row r="9" spans="1:15" x14ac:dyDescent="0.3">
      <c r="A9" s="14"/>
      <c r="B9" s="14"/>
      <c r="C9" s="14"/>
      <c r="D9" s="14"/>
      <c r="E9" s="14"/>
    </row>
    <row r="10" spans="1:15" x14ac:dyDescent="0.3">
      <c r="A10" s="14"/>
      <c r="B10" s="14"/>
      <c r="C10" s="14"/>
      <c r="D10" s="14"/>
      <c r="E10" s="15"/>
      <c r="L10" s="14"/>
    </row>
    <row r="11" spans="1:15" x14ac:dyDescent="0.3">
      <c r="A11" s="14"/>
      <c r="B11" s="14"/>
      <c r="C11" s="14"/>
      <c r="D11" s="14"/>
      <c r="E11" s="15"/>
      <c r="L11" s="14"/>
    </row>
    <row r="12" spans="1:15" x14ac:dyDescent="0.3">
      <c r="A12" s="14"/>
      <c r="B12" s="14"/>
      <c r="C12" s="14"/>
      <c r="D12" s="14"/>
      <c r="E12" s="15"/>
      <c r="L12" s="14"/>
    </row>
    <row r="13" spans="1:15" x14ac:dyDescent="0.3">
      <c r="A13" s="14"/>
      <c r="B13" s="14"/>
      <c r="C13" s="14"/>
      <c r="D13" s="14"/>
      <c r="E13" s="15"/>
      <c r="L13" s="14"/>
    </row>
    <row r="14" spans="1:15" x14ac:dyDescent="0.3">
      <c r="A14" s="14"/>
      <c r="B14" s="14"/>
      <c r="C14" s="14"/>
      <c r="D14" s="14"/>
      <c r="E14" s="15"/>
      <c r="L14" s="14"/>
    </row>
    <row r="15" spans="1:15" x14ac:dyDescent="0.3">
      <c r="A15" s="14"/>
      <c r="B15" s="14"/>
      <c r="C15" s="14"/>
      <c r="D15" s="14"/>
      <c r="E15" s="15"/>
      <c r="L15" s="14"/>
    </row>
    <row r="16" spans="1:15" x14ac:dyDescent="0.3">
      <c r="A16" s="14"/>
      <c r="B16" s="14"/>
      <c r="C16" s="14"/>
      <c r="D16" s="14"/>
      <c r="E16" s="15"/>
      <c r="L16" s="14"/>
    </row>
    <row r="17" spans="1:12" x14ac:dyDescent="0.3">
      <c r="A17" s="14"/>
      <c r="B17" s="14"/>
      <c r="C17" s="14"/>
      <c r="D17" s="14"/>
      <c r="E17" s="15"/>
      <c r="L17" s="14"/>
    </row>
    <row r="18" spans="1:12" x14ac:dyDescent="0.3">
      <c r="A18" s="14"/>
      <c r="B18" s="14"/>
      <c r="C18" s="14"/>
      <c r="D18" s="14"/>
      <c r="E18" s="15"/>
      <c r="L18" s="14"/>
    </row>
    <row r="19" spans="1:12" x14ac:dyDescent="0.3">
      <c r="A19" s="14"/>
      <c r="B19" s="14"/>
      <c r="C19" s="14"/>
      <c r="D19" s="14"/>
      <c r="E19" s="15"/>
      <c r="L19" s="14"/>
    </row>
    <row r="20" spans="1:12" x14ac:dyDescent="0.3">
      <c r="A20" s="14"/>
      <c r="B20" s="14"/>
      <c r="C20" s="14"/>
      <c r="D20" s="14"/>
      <c r="E20" s="15"/>
      <c r="L20" s="14"/>
    </row>
    <row r="21" spans="1:12" x14ac:dyDescent="0.3">
      <c r="A21" s="14"/>
      <c r="B21" s="14"/>
      <c r="C21" s="14"/>
      <c r="D21" s="14"/>
      <c r="E21" s="15"/>
      <c r="L21" s="14"/>
    </row>
    <row r="22" spans="1:12" x14ac:dyDescent="0.3">
      <c r="A22" s="14"/>
      <c r="B22" s="14"/>
      <c r="C22" s="14"/>
      <c r="D22" s="14"/>
      <c r="E22" s="15"/>
      <c r="L22" s="14"/>
    </row>
    <row r="23" spans="1:12" x14ac:dyDescent="0.3">
      <c r="A23" s="14"/>
      <c r="B23" s="14"/>
      <c r="C23" s="14"/>
      <c r="D23" s="14"/>
      <c r="E23" s="15"/>
      <c r="L23" s="14"/>
    </row>
    <row r="24" spans="1:12" x14ac:dyDescent="0.3">
      <c r="A24" s="14"/>
      <c r="B24" s="14"/>
      <c r="C24" s="14"/>
      <c r="D24" s="14"/>
      <c r="E24" s="15"/>
      <c r="L24" s="14"/>
    </row>
    <row r="25" spans="1:12" x14ac:dyDescent="0.3">
      <c r="A25" s="14"/>
      <c r="B25" s="14"/>
      <c r="C25" s="14"/>
      <c r="D25" s="14"/>
      <c r="E25" s="15"/>
      <c r="L25" s="14"/>
    </row>
    <row r="26" spans="1:12" x14ac:dyDescent="0.3">
      <c r="A26" s="14"/>
      <c r="B26" s="14"/>
      <c r="C26" s="14"/>
      <c r="D26" s="14"/>
      <c r="E26" s="15"/>
      <c r="L26" s="14"/>
    </row>
    <row r="27" spans="1:12" x14ac:dyDescent="0.3">
      <c r="A27" s="14"/>
      <c r="B27" s="14"/>
      <c r="C27" s="14"/>
      <c r="D27" s="14"/>
      <c r="E27" s="15"/>
      <c r="L27" s="14"/>
    </row>
    <row r="28" spans="1:12" x14ac:dyDescent="0.3">
      <c r="A28" s="14"/>
      <c r="B28" s="14"/>
      <c r="C28" s="14"/>
      <c r="D28" s="14"/>
      <c r="E28" s="15"/>
      <c r="L28" s="14"/>
    </row>
    <row r="29" spans="1:12" x14ac:dyDescent="0.3">
      <c r="A29" s="14"/>
      <c r="B29" s="14"/>
      <c r="C29" s="14"/>
      <c r="D29" s="14"/>
      <c r="E29" s="15"/>
      <c r="L29" s="14"/>
    </row>
    <row r="30" spans="1:12" x14ac:dyDescent="0.3">
      <c r="A30" s="14"/>
      <c r="B30" s="14"/>
      <c r="C30" s="14"/>
      <c r="D30" s="14"/>
      <c r="E30" s="15"/>
      <c r="L30" s="14"/>
    </row>
    <row r="31" spans="1:12" x14ac:dyDescent="0.3">
      <c r="A31" s="14"/>
      <c r="B31" s="14"/>
      <c r="C31" s="14"/>
      <c r="D31" s="14"/>
      <c r="E31" s="15"/>
      <c r="L31" s="14"/>
    </row>
    <row r="32" spans="1:12" x14ac:dyDescent="0.3">
      <c r="A32" s="14"/>
      <c r="B32" s="14"/>
      <c r="C32" s="14"/>
      <c r="D32" s="14"/>
      <c r="E32" s="15"/>
      <c r="L32" s="14"/>
    </row>
    <row r="33" spans="1:12" x14ac:dyDescent="0.3">
      <c r="A33" s="14"/>
      <c r="B33" s="14"/>
      <c r="C33" s="14"/>
      <c r="D33" s="14"/>
      <c r="E33" s="15"/>
      <c r="L33" s="14"/>
    </row>
    <row r="34" spans="1:12" x14ac:dyDescent="0.3">
      <c r="A34" s="14"/>
      <c r="B34" s="14"/>
      <c r="C34" s="14"/>
      <c r="D34" s="14"/>
      <c r="E34" s="15"/>
      <c r="L34" s="14"/>
    </row>
    <row r="35" spans="1:12" x14ac:dyDescent="0.3">
      <c r="A35" s="14"/>
      <c r="B35" s="14"/>
      <c r="C35" s="14"/>
      <c r="D35" s="14"/>
      <c r="E35" s="15"/>
      <c r="L35" s="14"/>
    </row>
    <row r="36" spans="1:12" x14ac:dyDescent="0.3">
      <c r="A36" s="14"/>
      <c r="B36" s="14"/>
      <c r="C36" s="14"/>
      <c r="D36" s="14"/>
      <c r="E36" s="15"/>
      <c r="L36" s="14"/>
    </row>
    <row r="37" spans="1:12" x14ac:dyDescent="0.3">
      <c r="A37" s="14"/>
      <c r="B37" s="14"/>
      <c r="C37" s="14"/>
      <c r="D37" s="14"/>
      <c r="E37" s="15"/>
      <c r="L37" s="14"/>
    </row>
    <row r="38" spans="1:12" x14ac:dyDescent="0.3">
      <c r="A38" s="14"/>
      <c r="B38" s="14"/>
      <c r="C38" s="14"/>
      <c r="D38" s="14"/>
      <c r="E38" s="15"/>
      <c r="L38" s="14"/>
    </row>
    <row r="39" spans="1:12" x14ac:dyDescent="0.3">
      <c r="A39" s="14"/>
      <c r="B39" s="14"/>
      <c r="C39" s="14"/>
      <c r="D39" s="14"/>
      <c r="E39" s="15"/>
      <c r="L39" s="14"/>
    </row>
    <row r="40" spans="1:12" x14ac:dyDescent="0.3">
      <c r="A40" s="14"/>
      <c r="B40" s="14"/>
      <c r="C40" s="14"/>
      <c r="D40" s="14"/>
      <c r="E40" s="15"/>
      <c r="L40" s="14"/>
    </row>
    <row r="41" spans="1:12" x14ac:dyDescent="0.3">
      <c r="A41" s="14"/>
      <c r="B41" s="14"/>
      <c r="C41" s="14"/>
      <c r="D41" s="14"/>
      <c r="E41" s="15"/>
      <c r="L41" s="14"/>
    </row>
    <row r="42" spans="1:12" x14ac:dyDescent="0.3">
      <c r="A42" s="14"/>
      <c r="B42" s="14"/>
      <c r="C42" s="14"/>
      <c r="D42" s="14"/>
      <c r="E42" s="15"/>
      <c r="L42" s="14"/>
    </row>
    <row r="43" spans="1:12" x14ac:dyDescent="0.3">
      <c r="A43" s="14"/>
      <c r="B43" s="14"/>
      <c r="C43" s="14"/>
      <c r="D43" s="14"/>
      <c r="E43" s="15"/>
      <c r="L43" s="14"/>
    </row>
    <row r="44" spans="1:12" x14ac:dyDescent="0.3">
      <c r="A44" s="14"/>
      <c r="B44" s="14"/>
      <c r="C44" s="14"/>
      <c r="D44" s="14"/>
      <c r="E44" s="15"/>
      <c r="L44" s="14"/>
    </row>
    <row r="45" spans="1:12" x14ac:dyDescent="0.3">
      <c r="A45" s="14"/>
      <c r="B45" s="14"/>
      <c r="C45" s="14"/>
      <c r="D45" s="14"/>
      <c r="E45" s="15"/>
      <c r="L45" s="14"/>
    </row>
    <row r="46" spans="1:12" x14ac:dyDescent="0.3">
      <c r="A46" s="14"/>
      <c r="B46" s="14"/>
      <c r="C46" s="14"/>
      <c r="D46" s="14"/>
      <c r="E46" s="15"/>
      <c r="L46" s="14"/>
    </row>
    <row r="47" spans="1:12" x14ac:dyDescent="0.3">
      <c r="A47" s="14"/>
      <c r="B47" s="14"/>
      <c r="C47" s="14"/>
      <c r="D47" s="14"/>
      <c r="E47" s="15"/>
      <c r="L47" s="14"/>
    </row>
    <row r="48" spans="1:12" x14ac:dyDescent="0.3">
      <c r="A48" s="14"/>
      <c r="B48" s="14"/>
      <c r="C48" s="14"/>
      <c r="D48" s="14"/>
      <c r="E48" s="15"/>
      <c r="L48" s="14"/>
    </row>
    <row r="49" spans="1:12" x14ac:dyDescent="0.3">
      <c r="A49" s="14"/>
      <c r="B49" s="14"/>
      <c r="C49" s="14"/>
      <c r="D49" s="14"/>
      <c r="E49" s="15"/>
      <c r="L49" s="14"/>
    </row>
    <row r="50" spans="1:12" x14ac:dyDescent="0.3">
      <c r="A50" s="14"/>
      <c r="B50" s="14"/>
      <c r="C50" s="14"/>
      <c r="D50" s="14"/>
      <c r="E50" s="15"/>
      <c r="L50" s="14"/>
    </row>
    <row r="51" spans="1:12" x14ac:dyDescent="0.3">
      <c r="A51" s="14"/>
      <c r="B51" s="14"/>
      <c r="C51" s="14"/>
      <c r="D51" s="14"/>
      <c r="E51" s="15"/>
      <c r="L51" s="14"/>
    </row>
    <row r="52" spans="1:12" x14ac:dyDescent="0.3">
      <c r="A52" s="14"/>
      <c r="B52" s="14"/>
      <c r="C52" s="14"/>
      <c r="D52" s="14"/>
      <c r="E52" s="15"/>
      <c r="L52" s="14"/>
    </row>
    <row r="53" spans="1:12" x14ac:dyDescent="0.3">
      <c r="A53" s="14"/>
      <c r="B53" s="14"/>
      <c r="C53" s="14"/>
      <c r="D53" s="14"/>
      <c r="E53" s="15"/>
      <c r="L53" s="14"/>
    </row>
    <row r="54" spans="1:12" x14ac:dyDescent="0.3">
      <c r="A54" s="14"/>
      <c r="B54" s="14"/>
      <c r="C54" s="14"/>
      <c r="D54" s="14"/>
      <c r="E54" s="15"/>
      <c r="L54" s="14"/>
    </row>
    <row r="55" spans="1:12" x14ac:dyDescent="0.3">
      <c r="A55" s="14"/>
      <c r="B55" s="14"/>
      <c r="C55" s="14"/>
      <c r="D55" s="14"/>
      <c r="E55" s="15"/>
      <c r="L55" s="14"/>
    </row>
    <row r="56" spans="1:12" x14ac:dyDescent="0.3">
      <c r="A56" s="14"/>
      <c r="B56" s="14"/>
      <c r="C56" s="14"/>
      <c r="D56" s="14"/>
      <c r="E56" s="15"/>
      <c r="L56" s="14"/>
    </row>
    <row r="57" spans="1:12" x14ac:dyDescent="0.3">
      <c r="A57" s="14"/>
      <c r="B57" s="14"/>
      <c r="C57" s="14"/>
      <c r="D57" s="14"/>
      <c r="E57" s="15"/>
      <c r="L57" s="14"/>
    </row>
    <row r="58" spans="1:12" x14ac:dyDescent="0.3">
      <c r="A58" s="14"/>
      <c r="B58" s="14"/>
      <c r="C58" s="14"/>
      <c r="D58" s="14"/>
      <c r="E58" s="15"/>
      <c r="L58" s="14"/>
    </row>
    <row r="59" spans="1:12" x14ac:dyDescent="0.3">
      <c r="A59" s="14"/>
      <c r="B59" s="14"/>
      <c r="C59" s="14"/>
      <c r="D59" s="14"/>
      <c r="E59" s="15"/>
      <c r="L59" s="14"/>
    </row>
    <row r="60" spans="1:12" x14ac:dyDescent="0.3">
      <c r="A60" s="14"/>
      <c r="B60" s="14"/>
      <c r="C60" s="14"/>
      <c r="D60" s="14"/>
      <c r="E60" s="15"/>
      <c r="L60" s="14"/>
    </row>
    <row r="61" spans="1:12" x14ac:dyDescent="0.3">
      <c r="A61" s="14"/>
      <c r="B61" s="14"/>
      <c r="C61" s="14"/>
      <c r="D61" s="14"/>
      <c r="E61" s="15"/>
      <c r="L61" s="14"/>
    </row>
    <row r="62" spans="1:12" x14ac:dyDescent="0.3">
      <c r="A62" s="14"/>
      <c r="B62" s="14"/>
      <c r="C62" s="14"/>
      <c r="D62" s="14"/>
      <c r="E62" s="15"/>
      <c r="L62" s="14"/>
    </row>
    <row r="63" spans="1:12" x14ac:dyDescent="0.3">
      <c r="A63" s="14"/>
      <c r="B63" s="14"/>
      <c r="C63" s="14"/>
      <c r="D63" s="14"/>
      <c r="E63" s="15"/>
      <c r="L63" s="14"/>
    </row>
    <row r="64" spans="1:12" x14ac:dyDescent="0.3">
      <c r="A64" s="14"/>
      <c r="B64" s="14"/>
      <c r="C64" s="14"/>
      <c r="D64" s="14"/>
      <c r="E64" s="15"/>
      <c r="L64" s="14"/>
    </row>
    <row r="65" spans="1:12" x14ac:dyDescent="0.3">
      <c r="A65" s="14"/>
      <c r="B65" s="14"/>
      <c r="C65" s="14"/>
      <c r="D65" s="14"/>
      <c r="E65" s="15"/>
      <c r="L65" s="14"/>
    </row>
    <row r="66" spans="1:12" x14ac:dyDescent="0.3">
      <c r="A66" s="14"/>
      <c r="B66" s="14"/>
      <c r="C66" s="14"/>
      <c r="D66" s="14"/>
      <c r="E66" s="15"/>
      <c r="L66" s="14"/>
    </row>
    <row r="67" spans="1:12" x14ac:dyDescent="0.3">
      <c r="A67" s="14"/>
      <c r="B67" s="14"/>
      <c r="C67" s="14"/>
      <c r="D67" s="14"/>
      <c r="E67" s="15"/>
      <c r="L67" s="14"/>
    </row>
    <row r="68" spans="1:12" x14ac:dyDescent="0.3">
      <c r="A68" s="14"/>
      <c r="B68" s="14"/>
      <c r="C68" s="14"/>
      <c r="D68" s="14"/>
      <c r="E68" s="15"/>
      <c r="L68" s="14"/>
    </row>
    <row r="69" spans="1:12" x14ac:dyDescent="0.3">
      <c r="A69" s="14"/>
      <c r="B69" s="14"/>
      <c r="C69" s="14"/>
      <c r="D69" s="14"/>
      <c r="E69" s="15"/>
      <c r="L69" s="14"/>
    </row>
    <row r="70" spans="1:12" x14ac:dyDescent="0.3">
      <c r="A70" s="14"/>
      <c r="B70" s="14"/>
      <c r="C70" s="14"/>
      <c r="D70" s="14"/>
      <c r="E70" s="15"/>
      <c r="L70" s="14"/>
    </row>
    <row r="71" spans="1:12" x14ac:dyDescent="0.3">
      <c r="A71" s="14"/>
      <c r="B71" s="14"/>
      <c r="C71" s="14"/>
      <c r="D71" s="14"/>
      <c r="E71" s="15"/>
      <c r="L71" s="14"/>
    </row>
    <row r="72" spans="1:12" x14ac:dyDescent="0.3">
      <c r="A72" s="14"/>
      <c r="B72" s="14"/>
      <c r="C72" s="14"/>
      <c r="D72" s="14"/>
      <c r="E72" s="15"/>
      <c r="L72" s="14"/>
    </row>
    <row r="73" spans="1:12" x14ac:dyDescent="0.3">
      <c r="A73" s="14"/>
      <c r="B73" s="14"/>
      <c r="C73" s="14"/>
      <c r="D73" s="14"/>
      <c r="E73" s="15"/>
      <c r="L73" s="14"/>
    </row>
    <row r="74" spans="1:12" x14ac:dyDescent="0.3">
      <c r="A74" s="14"/>
      <c r="B74" s="14"/>
      <c r="C74" s="14"/>
      <c r="D74" s="14"/>
      <c r="E74" s="15"/>
      <c r="L74" s="14"/>
    </row>
    <row r="75" spans="1:12" x14ac:dyDescent="0.3">
      <c r="A75" s="14"/>
      <c r="B75" s="14"/>
      <c r="C75" s="14"/>
      <c r="D75" s="14"/>
      <c r="E75" s="15"/>
      <c r="L75" s="14"/>
    </row>
    <row r="76" spans="1:12" x14ac:dyDescent="0.3">
      <c r="A76" s="14"/>
      <c r="B76" s="14"/>
      <c r="C76" s="14"/>
      <c r="D76" s="14"/>
      <c r="E76" s="15"/>
      <c r="L76" s="14"/>
    </row>
    <row r="77" spans="1:12" x14ac:dyDescent="0.3">
      <c r="A77" s="14"/>
      <c r="B77" s="14"/>
      <c r="C77" s="14"/>
      <c r="D77" s="14"/>
      <c r="E77" s="15"/>
      <c r="L77" s="14"/>
    </row>
    <row r="78" spans="1:12" x14ac:dyDescent="0.3">
      <c r="A78" s="14"/>
      <c r="B78" s="14"/>
      <c r="C78" s="14"/>
      <c r="D78" s="14"/>
      <c r="E78" s="15"/>
      <c r="L78" s="14"/>
    </row>
    <row r="79" spans="1:12" x14ac:dyDescent="0.3">
      <c r="A79" s="14"/>
      <c r="B79" s="14"/>
      <c r="C79" s="14"/>
      <c r="D79" s="14"/>
      <c r="E79" s="15"/>
      <c r="L79" s="14"/>
    </row>
    <row r="80" spans="1:12" x14ac:dyDescent="0.3">
      <c r="A80" s="14"/>
      <c r="B80" s="14"/>
      <c r="C80" s="14"/>
      <c r="D80" s="14"/>
      <c r="E80" s="15"/>
      <c r="L80" s="14"/>
    </row>
    <row r="81" spans="1:12" x14ac:dyDescent="0.3">
      <c r="A81" s="14"/>
      <c r="B81" s="14"/>
      <c r="C81" s="14"/>
      <c r="D81" s="14"/>
      <c r="E81" s="15"/>
      <c r="L81" s="14"/>
    </row>
    <row r="82" spans="1:12" x14ac:dyDescent="0.3">
      <c r="A82" s="14"/>
      <c r="B82" s="14"/>
      <c r="C82" s="14"/>
      <c r="D82" s="14"/>
      <c r="E82" s="15"/>
      <c r="L82" s="14"/>
    </row>
    <row r="83" spans="1:12" x14ac:dyDescent="0.3">
      <c r="A83" s="14"/>
      <c r="B83" s="14"/>
      <c r="C83" s="14"/>
      <c r="D83" s="14"/>
      <c r="E83" s="15"/>
      <c r="L83" s="14"/>
    </row>
    <row r="84" spans="1:12" x14ac:dyDescent="0.3">
      <c r="E84" s="15"/>
      <c r="L84" s="14"/>
    </row>
    <row r="85" spans="1:12" x14ac:dyDescent="0.3">
      <c r="E85" s="15"/>
      <c r="L85" s="14"/>
    </row>
    <row r="86" spans="1:12" x14ac:dyDescent="0.3">
      <c r="E86" s="15"/>
      <c r="L86" s="14"/>
    </row>
    <row r="87" spans="1:12" x14ac:dyDescent="0.3">
      <c r="E87" s="15"/>
      <c r="L87" s="14"/>
    </row>
    <row r="88" spans="1:12" x14ac:dyDescent="0.3">
      <c r="E88" s="15"/>
      <c r="L88" s="14"/>
    </row>
    <row r="89" spans="1:12" x14ac:dyDescent="0.3">
      <c r="E89" s="15"/>
      <c r="L89" s="14"/>
    </row>
    <row r="90" spans="1:12" x14ac:dyDescent="0.3">
      <c r="E90" s="15"/>
      <c r="L90" s="14"/>
    </row>
    <row r="91" spans="1:12" x14ac:dyDescent="0.3">
      <c r="E91" s="15"/>
      <c r="L91" s="14"/>
    </row>
    <row r="92" spans="1:12" x14ac:dyDescent="0.3">
      <c r="E92" s="15"/>
      <c r="L92" s="14"/>
    </row>
    <row r="93" spans="1:12" x14ac:dyDescent="0.3">
      <c r="E93" s="15"/>
      <c r="L93" s="14"/>
    </row>
    <row r="94" spans="1:12" x14ac:dyDescent="0.3">
      <c r="E94" s="15"/>
      <c r="L94" s="14"/>
    </row>
    <row r="95" spans="1:12" x14ac:dyDescent="0.3">
      <c r="E95" s="15"/>
      <c r="L95" s="14"/>
    </row>
    <row r="96" spans="1:12" x14ac:dyDescent="0.3">
      <c r="E96" s="15"/>
      <c r="L96" s="14"/>
    </row>
    <row r="97" spans="5:12" x14ac:dyDescent="0.3">
      <c r="E97" s="15"/>
      <c r="L97" s="14"/>
    </row>
    <row r="98" spans="5:12" x14ac:dyDescent="0.3">
      <c r="E98" s="15"/>
      <c r="L98" s="14"/>
    </row>
    <row r="99" spans="5:12" x14ac:dyDescent="0.3">
      <c r="E99" s="15"/>
      <c r="L99" s="14"/>
    </row>
    <row r="100" spans="5:12" x14ac:dyDescent="0.3">
      <c r="E100" s="15"/>
      <c r="L100" s="14"/>
    </row>
    <row r="101" spans="5:12" x14ac:dyDescent="0.3">
      <c r="E101" s="15"/>
      <c r="L101" s="14"/>
    </row>
    <row r="102" spans="5:12" x14ac:dyDescent="0.3">
      <c r="E102" s="15"/>
      <c r="L102" s="14"/>
    </row>
    <row r="103" spans="5:12" x14ac:dyDescent="0.3">
      <c r="E103" s="15"/>
      <c r="L103" s="14"/>
    </row>
    <row r="104" spans="5:12" x14ac:dyDescent="0.3">
      <c r="E104" s="15"/>
      <c r="L104" s="14"/>
    </row>
    <row r="105" spans="5:12" x14ac:dyDescent="0.3">
      <c r="E105" s="15"/>
      <c r="L105" s="14"/>
    </row>
    <row r="106" spans="5:12" x14ac:dyDescent="0.3">
      <c r="E106" s="15"/>
      <c r="L106" s="14"/>
    </row>
    <row r="107" spans="5:12" x14ac:dyDescent="0.3">
      <c r="E107" s="15"/>
      <c r="L107" s="14"/>
    </row>
    <row r="108" spans="5:12" x14ac:dyDescent="0.3">
      <c r="E108" s="15"/>
      <c r="L108" s="14"/>
    </row>
    <row r="109" spans="5:12" x14ac:dyDescent="0.3">
      <c r="E109" s="15"/>
      <c r="L109" s="14"/>
    </row>
    <row r="110" spans="5:12" x14ac:dyDescent="0.3">
      <c r="E110" s="15"/>
      <c r="L110" s="14"/>
    </row>
    <row r="111" spans="5:12" x14ac:dyDescent="0.3">
      <c r="E111" s="15"/>
      <c r="L111" s="14"/>
    </row>
    <row r="112" spans="5:12" x14ac:dyDescent="0.3">
      <c r="E112" s="15"/>
      <c r="L112" s="14"/>
    </row>
    <row r="113" spans="5:12" x14ac:dyDescent="0.3">
      <c r="E113" s="15"/>
      <c r="L113" s="14"/>
    </row>
    <row r="114" spans="5:12" x14ac:dyDescent="0.3">
      <c r="E114" s="15"/>
      <c r="L114" s="14"/>
    </row>
    <row r="115" spans="5:12" x14ac:dyDescent="0.3">
      <c r="E115" s="15"/>
      <c r="L115" s="14"/>
    </row>
    <row r="116" spans="5:12" x14ac:dyDescent="0.3">
      <c r="E116" s="15"/>
      <c r="L116" s="14"/>
    </row>
    <row r="117" spans="5:12" x14ac:dyDescent="0.3">
      <c r="E117" s="15"/>
      <c r="L117" s="14"/>
    </row>
    <row r="118" spans="5:12" x14ac:dyDescent="0.3">
      <c r="E118" s="15"/>
      <c r="L118" s="14"/>
    </row>
    <row r="119" spans="5:12" x14ac:dyDescent="0.3">
      <c r="E119" s="15"/>
      <c r="L119" s="14"/>
    </row>
    <row r="120" spans="5:12" x14ac:dyDescent="0.3">
      <c r="E120" s="15"/>
      <c r="L120" s="14"/>
    </row>
    <row r="121" spans="5:12" x14ac:dyDescent="0.3">
      <c r="E121" s="15"/>
      <c r="L121" s="14"/>
    </row>
    <row r="122" spans="5:12" x14ac:dyDescent="0.3">
      <c r="E122" s="15"/>
      <c r="L122" s="14"/>
    </row>
    <row r="123" spans="5:12" x14ac:dyDescent="0.3">
      <c r="E123" s="15"/>
      <c r="L123" s="14"/>
    </row>
    <row r="124" spans="5:12" x14ac:dyDescent="0.3">
      <c r="E124" s="15"/>
      <c r="L124" s="14"/>
    </row>
    <row r="125" spans="5:12" x14ac:dyDescent="0.3">
      <c r="E125" s="15"/>
      <c r="L125" s="14"/>
    </row>
    <row r="126" spans="5:12" x14ac:dyDescent="0.3">
      <c r="E126" s="15"/>
      <c r="L126" s="14"/>
    </row>
    <row r="127" spans="5:12" x14ac:dyDescent="0.3">
      <c r="E127" s="15"/>
      <c r="L127" s="14"/>
    </row>
    <row r="128" spans="5:12" x14ac:dyDescent="0.3">
      <c r="E128" s="15"/>
      <c r="L128" s="14"/>
    </row>
    <row r="129" spans="5:12" x14ac:dyDescent="0.3">
      <c r="E129" s="15"/>
      <c r="L129" s="14"/>
    </row>
    <row r="130" spans="5:12" x14ac:dyDescent="0.3">
      <c r="E130" s="15"/>
      <c r="L130" s="14"/>
    </row>
    <row r="131" spans="5:12" x14ac:dyDescent="0.3">
      <c r="E131" s="15"/>
      <c r="L131" s="14"/>
    </row>
    <row r="132" spans="5:12" x14ac:dyDescent="0.3">
      <c r="E132" s="15"/>
      <c r="L132" s="14"/>
    </row>
    <row r="133" spans="5:12" x14ac:dyDescent="0.3">
      <c r="E133" s="15"/>
      <c r="L133" s="14"/>
    </row>
    <row r="134" spans="5:12" x14ac:dyDescent="0.3">
      <c r="E134" s="15"/>
      <c r="L134" s="14"/>
    </row>
    <row r="135" spans="5:12" x14ac:dyDescent="0.3">
      <c r="E135" s="15"/>
      <c r="L135" s="14"/>
    </row>
    <row r="136" spans="5:12" x14ac:dyDescent="0.3">
      <c r="E136" s="15"/>
      <c r="L136" s="14"/>
    </row>
    <row r="137" spans="5:12" x14ac:dyDescent="0.3">
      <c r="E137" s="15"/>
      <c r="L137" s="14"/>
    </row>
    <row r="138" spans="5:12" x14ac:dyDescent="0.3">
      <c r="E138" s="15"/>
      <c r="L138" s="14"/>
    </row>
    <row r="139" spans="5:12" x14ac:dyDescent="0.3">
      <c r="E139" s="15"/>
      <c r="L139" s="14"/>
    </row>
    <row r="140" spans="5:12" x14ac:dyDescent="0.3">
      <c r="E140" s="15"/>
      <c r="L140" s="14"/>
    </row>
    <row r="141" spans="5:12" x14ac:dyDescent="0.3">
      <c r="E141" s="15"/>
      <c r="L141" s="14"/>
    </row>
    <row r="142" spans="5:12" x14ac:dyDescent="0.3">
      <c r="E142" s="15"/>
      <c r="L142" s="14"/>
    </row>
    <row r="143" spans="5:12" x14ac:dyDescent="0.3">
      <c r="E143" s="15"/>
      <c r="L143" s="14"/>
    </row>
    <row r="144" spans="5:12" x14ac:dyDescent="0.3">
      <c r="E144" s="15"/>
      <c r="L144" s="14"/>
    </row>
    <row r="145" spans="5:12" x14ac:dyDescent="0.3">
      <c r="E145" s="15"/>
      <c r="L145" s="14"/>
    </row>
    <row r="146" spans="5:12" x14ac:dyDescent="0.3">
      <c r="E146" s="15"/>
      <c r="L146" s="14"/>
    </row>
    <row r="147" spans="5:12" x14ac:dyDescent="0.3">
      <c r="E147" s="15"/>
      <c r="L147" s="14"/>
    </row>
    <row r="148" spans="5:12" x14ac:dyDescent="0.3">
      <c r="E148" s="15"/>
      <c r="L148" s="14"/>
    </row>
    <row r="149" spans="5:12" x14ac:dyDescent="0.3">
      <c r="E149" s="15"/>
      <c r="L149" s="14"/>
    </row>
    <row r="150" spans="5:12" x14ac:dyDescent="0.3">
      <c r="E150" s="15"/>
      <c r="L150" s="14"/>
    </row>
    <row r="151" spans="5:12" x14ac:dyDescent="0.3">
      <c r="E151" s="15"/>
      <c r="L151" s="14"/>
    </row>
    <row r="152" spans="5:12" x14ac:dyDescent="0.3">
      <c r="E152" s="15"/>
      <c r="L152" s="14"/>
    </row>
    <row r="153" spans="5:12" x14ac:dyDescent="0.3">
      <c r="E153" s="15"/>
      <c r="L153" s="14"/>
    </row>
    <row r="154" spans="5:12" x14ac:dyDescent="0.3">
      <c r="E154" s="15"/>
      <c r="L154" s="14"/>
    </row>
    <row r="155" spans="5:12" x14ac:dyDescent="0.3">
      <c r="E155" s="15"/>
      <c r="L155" s="14"/>
    </row>
    <row r="156" spans="5:12" x14ac:dyDescent="0.3">
      <c r="E156" s="15"/>
      <c r="L156" s="14"/>
    </row>
    <row r="157" spans="5:12" x14ac:dyDescent="0.3">
      <c r="E157" s="15"/>
      <c r="L157" s="14"/>
    </row>
    <row r="158" spans="5:12" x14ac:dyDescent="0.3">
      <c r="E158" s="15"/>
      <c r="L158" s="14"/>
    </row>
    <row r="159" spans="5:12" x14ac:dyDescent="0.3">
      <c r="E159" s="15"/>
      <c r="L159" s="14"/>
    </row>
    <row r="160" spans="5:12" x14ac:dyDescent="0.3">
      <c r="E160" s="15"/>
      <c r="L160" s="14"/>
    </row>
    <row r="161" spans="5:12" x14ac:dyDescent="0.3">
      <c r="E161" s="15"/>
      <c r="L161" s="14"/>
    </row>
    <row r="162" spans="5:12" x14ac:dyDescent="0.3">
      <c r="E162" s="15"/>
      <c r="L162" s="14"/>
    </row>
    <row r="163" spans="5:12" x14ac:dyDescent="0.3">
      <c r="E163" s="15"/>
      <c r="L163" s="14"/>
    </row>
    <row r="164" spans="5:12" x14ac:dyDescent="0.3">
      <c r="E164" s="15"/>
      <c r="L164" s="14"/>
    </row>
    <row r="165" spans="5:12" x14ac:dyDescent="0.3">
      <c r="E165" s="15"/>
      <c r="L165" s="14"/>
    </row>
    <row r="166" spans="5:12" x14ac:dyDescent="0.3">
      <c r="E166" s="15"/>
      <c r="L166" s="14"/>
    </row>
    <row r="167" spans="5:12" x14ac:dyDescent="0.3">
      <c r="E167" s="15"/>
      <c r="L167" s="14"/>
    </row>
    <row r="168" spans="5:12" x14ac:dyDescent="0.3">
      <c r="E168" s="15"/>
      <c r="L168" s="14"/>
    </row>
    <row r="169" spans="5:12" x14ac:dyDescent="0.3">
      <c r="E169" s="15"/>
      <c r="L169" s="14"/>
    </row>
    <row r="170" spans="5:12" x14ac:dyDescent="0.3">
      <c r="E170" s="15"/>
      <c r="L170" s="14"/>
    </row>
    <row r="171" spans="5:12" x14ac:dyDescent="0.3">
      <c r="E171" s="15"/>
      <c r="L171" s="14"/>
    </row>
    <row r="172" spans="5:12" x14ac:dyDescent="0.3">
      <c r="E172" s="15"/>
      <c r="L172" s="14"/>
    </row>
    <row r="173" spans="5:12" x14ac:dyDescent="0.3">
      <c r="E173" s="15"/>
      <c r="L173" s="14"/>
    </row>
    <row r="174" spans="5:12" x14ac:dyDescent="0.3">
      <c r="E174" s="15"/>
      <c r="L174" s="14"/>
    </row>
    <row r="175" spans="5:12" x14ac:dyDescent="0.3">
      <c r="E175" s="15"/>
      <c r="L175" s="14"/>
    </row>
    <row r="176" spans="5:12" x14ac:dyDescent="0.3">
      <c r="E176" s="15"/>
      <c r="L176" s="14"/>
    </row>
    <row r="177" spans="5:12" x14ac:dyDescent="0.3">
      <c r="E177" s="15"/>
      <c r="L177" s="14"/>
    </row>
    <row r="178" spans="5:12" x14ac:dyDescent="0.3">
      <c r="E178" s="15"/>
      <c r="L178" s="14"/>
    </row>
    <row r="179" spans="5:12" x14ac:dyDescent="0.3">
      <c r="E179" s="15"/>
      <c r="L179" s="14"/>
    </row>
    <row r="180" spans="5:12" x14ac:dyDescent="0.3">
      <c r="E180" s="15"/>
      <c r="L180" s="14"/>
    </row>
    <row r="181" spans="5:12" x14ac:dyDescent="0.3">
      <c r="E181" s="15"/>
      <c r="L181" s="14"/>
    </row>
    <row r="182" spans="5:12" x14ac:dyDescent="0.3">
      <c r="E182" s="15"/>
      <c r="L182" s="14"/>
    </row>
    <row r="183" spans="5:12" x14ac:dyDescent="0.3">
      <c r="E183" s="15"/>
      <c r="L183" s="14"/>
    </row>
    <row r="184" spans="5:12" x14ac:dyDescent="0.3">
      <c r="E184" s="15"/>
      <c r="L184" s="14"/>
    </row>
    <row r="185" spans="5:12" x14ac:dyDescent="0.3">
      <c r="E185" s="15"/>
      <c r="L185" s="14"/>
    </row>
    <row r="186" spans="5:12" x14ac:dyDescent="0.3">
      <c r="E186" s="15"/>
      <c r="L186" s="14"/>
    </row>
    <row r="187" spans="5:12" x14ac:dyDescent="0.3">
      <c r="E187" s="15"/>
      <c r="L187" s="14"/>
    </row>
    <row r="188" spans="5:12" x14ac:dyDescent="0.3">
      <c r="E188" s="15"/>
      <c r="L188" s="14"/>
    </row>
    <row r="189" spans="5:12" x14ac:dyDescent="0.3">
      <c r="E189" s="15"/>
      <c r="L189" s="14"/>
    </row>
    <row r="190" spans="5:12" x14ac:dyDescent="0.3">
      <c r="E190" s="15"/>
      <c r="L190" s="14"/>
    </row>
    <row r="191" spans="5:12" x14ac:dyDescent="0.3">
      <c r="E191" s="15"/>
      <c r="L191" s="14"/>
    </row>
    <row r="192" spans="5:12" x14ac:dyDescent="0.3">
      <c r="E192" s="15"/>
      <c r="L192" s="14"/>
    </row>
    <row r="193" spans="5:12" x14ac:dyDescent="0.3">
      <c r="E193" s="15"/>
      <c r="L193" s="14"/>
    </row>
    <row r="194" spans="5:12" x14ac:dyDescent="0.3">
      <c r="E194" s="15"/>
      <c r="L194" s="14"/>
    </row>
    <row r="195" spans="5:12" x14ac:dyDescent="0.3">
      <c r="E195" s="15"/>
      <c r="L195" s="14"/>
    </row>
    <row r="196" spans="5:12" x14ac:dyDescent="0.3">
      <c r="E196" s="15"/>
      <c r="L196" s="14"/>
    </row>
    <row r="197" spans="5:12" x14ac:dyDescent="0.3">
      <c r="E197" s="15"/>
      <c r="L197" s="14"/>
    </row>
    <row r="198" spans="5:12" x14ac:dyDescent="0.3">
      <c r="E198" s="15"/>
      <c r="L198" s="14"/>
    </row>
    <row r="199" spans="5:12" x14ac:dyDescent="0.3">
      <c r="E199" s="15"/>
      <c r="L199" s="14"/>
    </row>
    <row r="200" spans="5:12" x14ac:dyDescent="0.3">
      <c r="E200" s="15"/>
      <c r="L200" s="14"/>
    </row>
    <row r="201" spans="5:12" x14ac:dyDescent="0.3">
      <c r="E201" s="15"/>
      <c r="L201" s="14"/>
    </row>
    <row r="202" spans="5:12" x14ac:dyDescent="0.3">
      <c r="E202" s="15"/>
      <c r="L202" s="14"/>
    </row>
    <row r="203" spans="5:12" x14ac:dyDescent="0.3">
      <c r="E203" s="15"/>
      <c r="L203" s="14"/>
    </row>
    <row r="204" spans="5:12" x14ac:dyDescent="0.3">
      <c r="E204" s="15"/>
      <c r="L204" s="14"/>
    </row>
    <row r="205" spans="5:12" x14ac:dyDescent="0.3">
      <c r="E205" s="15"/>
      <c r="L205" s="14"/>
    </row>
    <row r="206" spans="5:12" x14ac:dyDescent="0.3">
      <c r="E206" s="15"/>
      <c r="L206" s="14"/>
    </row>
    <row r="207" spans="5:12" x14ac:dyDescent="0.3">
      <c r="E207" s="15"/>
      <c r="L207" s="14"/>
    </row>
    <row r="208" spans="5:12" x14ac:dyDescent="0.3">
      <c r="E208" s="15"/>
      <c r="L208" s="14"/>
    </row>
    <row r="209" spans="5:12" x14ac:dyDescent="0.3">
      <c r="E209" s="15"/>
      <c r="L209" s="14"/>
    </row>
    <row r="210" spans="5:12" x14ac:dyDescent="0.3">
      <c r="E210" s="15"/>
      <c r="L210" s="14"/>
    </row>
    <row r="211" spans="5:12" x14ac:dyDescent="0.3">
      <c r="E211" s="15"/>
      <c r="L211" s="14"/>
    </row>
    <row r="212" spans="5:12" x14ac:dyDescent="0.3">
      <c r="E212" s="15"/>
      <c r="L212" s="14"/>
    </row>
    <row r="213" spans="5:12" x14ac:dyDescent="0.3">
      <c r="E213" s="15"/>
      <c r="L213" s="14"/>
    </row>
    <row r="214" spans="5:12" x14ac:dyDescent="0.3">
      <c r="E214" s="15"/>
      <c r="L214" s="14"/>
    </row>
    <row r="215" spans="5:12" x14ac:dyDescent="0.3">
      <c r="E215" s="15"/>
      <c r="L215" s="14"/>
    </row>
    <row r="216" spans="5:12" x14ac:dyDescent="0.3">
      <c r="E216" s="15"/>
      <c r="L216" s="14"/>
    </row>
    <row r="217" spans="5:12" x14ac:dyDescent="0.3">
      <c r="E217" s="15"/>
      <c r="L217" s="14"/>
    </row>
    <row r="218" spans="5:12" x14ac:dyDescent="0.3">
      <c r="E218" s="15"/>
      <c r="L218" s="14"/>
    </row>
    <row r="219" spans="5:12" x14ac:dyDescent="0.3">
      <c r="E219" s="15"/>
      <c r="L219" s="14"/>
    </row>
    <row r="220" spans="5:12" x14ac:dyDescent="0.3">
      <c r="E220" s="15"/>
      <c r="L220" s="14"/>
    </row>
    <row r="221" spans="5:12" x14ac:dyDescent="0.3">
      <c r="E221" s="15"/>
      <c r="L221" s="14"/>
    </row>
    <row r="222" spans="5:12" x14ac:dyDescent="0.3">
      <c r="E222" s="15"/>
      <c r="L222" s="14"/>
    </row>
    <row r="223" spans="5:12" x14ac:dyDescent="0.3">
      <c r="E223" s="15"/>
      <c r="L223" s="14"/>
    </row>
    <row r="224" spans="5:12" x14ac:dyDescent="0.3">
      <c r="E224" s="15"/>
      <c r="L224" s="14"/>
    </row>
    <row r="225" spans="5:12" x14ac:dyDescent="0.3">
      <c r="E225" s="15"/>
      <c r="L225" s="14"/>
    </row>
    <row r="226" spans="5:12" x14ac:dyDescent="0.3">
      <c r="E226" s="15"/>
      <c r="L226" s="14"/>
    </row>
    <row r="227" spans="5:12" x14ac:dyDescent="0.3">
      <c r="E227" s="15"/>
      <c r="L227" s="14"/>
    </row>
    <row r="228" spans="5:12" x14ac:dyDescent="0.3">
      <c r="E228" s="15"/>
      <c r="L228" s="14"/>
    </row>
    <row r="229" spans="5:12" x14ac:dyDescent="0.3">
      <c r="E229" s="15"/>
      <c r="L229" s="14"/>
    </row>
    <row r="230" spans="5:12" x14ac:dyDescent="0.3">
      <c r="E230" s="15"/>
      <c r="L230" s="14"/>
    </row>
    <row r="231" spans="5:12" x14ac:dyDescent="0.3">
      <c r="E231" s="15"/>
      <c r="L231" s="14"/>
    </row>
    <row r="232" spans="5:12" x14ac:dyDescent="0.3">
      <c r="E232" s="15"/>
      <c r="L232" s="14"/>
    </row>
    <row r="233" spans="5:12" x14ac:dyDescent="0.3">
      <c r="E233" s="15"/>
      <c r="L233" s="14"/>
    </row>
    <row r="234" spans="5:12" x14ac:dyDescent="0.3">
      <c r="E234" s="15"/>
      <c r="L234" s="14"/>
    </row>
    <row r="235" spans="5:12" x14ac:dyDescent="0.3">
      <c r="E235" s="15"/>
      <c r="L235" s="14"/>
    </row>
    <row r="236" spans="5:12" x14ac:dyDescent="0.3">
      <c r="E236" s="15"/>
      <c r="L236" s="14"/>
    </row>
    <row r="237" spans="5:12" x14ac:dyDescent="0.3">
      <c r="E237" s="15"/>
      <c r="L237" s="14"/>
    </row>
    <row r="238" spans="5:12" x14ac:dyDescent="0.3">
      <c r="E238" s="15"/>
      <c r="L238" s="14"/>
    </row>
    <row r="239" spans="5:12" x14ac:dyDescent="0.3">
      <c r="E239" s="15"/>
      <c r="L239" s="14"/>
    </row>
    <row r="240" spans="5:12" x14ac:dyDescent="0.3">
      <c r="E240" s="15"/>
      <c r="L240" s="14"/>
    </row>
    <row r="241" spans="5:12" x14ac:dyDescent="0.3">
      <c r="E241" s="15"/>
      <c r="L241" s="14"/>
    </row>
    <row r="242" spans="5:12" x14ac:dyDescent="0.3">
      <c r="E242" s="15"/>
      <c r="L242" s="14"/>
    </row>
    <row r="243" spans="5:12" x14ac:dyDescent="0.3">
      <c r="E243" s="15"/>
      <c r="L243" s="14"/>
    </row>
    <row r="244" spans="5:12" x14ac:dyDescent="0.3">
      <c r="E244" s="15"/>
      <c r="L244" s="14"/>
    </row>
    <row r="245" spans="5:12" x14ac:dyDescent="0.3">
      <c r="E245" s="15"/>
      <c r="L245" s="14"/>
    </row>
    <row r="246" spans="5:12" x14ac:dyDescent="0.3">
      <c r="E246" s="15"/>
      <c r="L246" s="14"/>
    </row>
    <row r="247" spans="5:12" x14ac:dyDescent="0.3">
      <c r="E247" s="15"/>
      <c r="L247" s="14"/>
    </row>
    <row r="248" spans="5:12" x14ac:dyDescent="0.3">
      <c r="E248" s="15"/>
      <c r="L248" s="14"/>
    </row>
    <row r="249" spans="5:12" x14ac:dyDescent="0.3">
      <c r="E249" s="15"/>
      <c r="L249" s="14"/>
    </row>
    <row r="250" spans="5:12" x14ac:dyDescent="0.3">
      <c r="E250" s="15"/>
      <c r="L250" s="14"/>
    </row>
    <row r="251" spans="5:12" x14ac:dyDescent="0.3">
      <c r="E251" s="15"/>
      <c r="L251" s="14"/>
    </row>
    <row r="252" spans="5:12" x14ac:dyDescent="0.3">
      <c r="E252" s="15"/>
      <c r="L252" s="14"/>
    </row>
    <row r="253" spans="5:12" x14ac:dyDescent="0.3">
      <c r="E253" s="15"/>
      <c r="L253" s="14"/>
    </row>
    <row r="254" spans="5:12" x14ac:dyDescent="0.3">
      <c r="E254" s="15"/>
      <c r="L254" s="14"/>
    </row>
    <row r="255" spans="5:12" x14ac:dyDescent="0.3">
      <c r="E255" s="15"/>
      <c r="L255" s="14"/>
    </row>
    <row r="256" spans="5:12" x14ac:dyDescent="0.3">
      <c r="E256" s="15"/>
      <c r="L256" s="14"/>
    </row>
    <row r="257" spans="5:12" x14ac:dyDescent="0.3">
      <c r="E257" s="15"/>
      <c r="L257" s="14"/>
    </row>
    <row r="258" spans="5:12" x14ac:dyDescent="0.3">
      <c r="E258" s="15"/>
      <c r="L258" s="14"/>
    </row>
    <row r="259" spans="5:12" x14ac:dyDescent="0.3">
      <c r="E259" s="15"/>
      <c r="L259" s="14"/>
    </row>
    <row r="260" spans="5:12" x14ac:dyDescent="0.3">
      <c r="E260" s="15"/>
      <c r="L260" s="14"/>
    </row>
    <row r="261" spans="5:12" x14ac:dyDescent="0.3">
      <c r="E261" s="15"/>
      <c r="L261" s="14"/>
    </row>
    <row r="262" spans="5:12" x14ac:dyDescent="0.3">
      <c r="E262" s="15"/>
      <c r="L262" s="14"/>
    </row>
    <row r="263" spans="5:12" x14ac:dyDescent="0.3">
      <c r="E263" s="15"/>
      <c r="L263" s="14"/>
    </row>
    <row r="264" spans="5:12" x14ac:dyDescent="0.3">
      <c r="E264" s="15"/>
      <c r="L264" s="14"/>
    </row>
    <row r="265" spans="5:12" x14ac:dyDescent="0.3">
      <c r="E265" s="15"/>
      <c r="L265" s="14"/>
    </row>
    <row r="266" spans="5:12" x14ac:dyDescent="0.3">
      <c r="E266" s="15"/>
      <c r="L266" s="14"/>
    </row>
    <row r="267" spans="5:12" x14ac:dyDescent="0.3">
      <c r="E267" s="15"/>
      <c r="L267" s="14"/>
    </row>
    <row r="268" spans="5:12" x14ac:dyDescent="0.3">
      <c r="E268" s="15"/>
      <c r="L268" s="14"/>
    </row>
    <row r="269" spans="5:12" x14ac:dyDescent="0.3">
      <c r="E269" s="15"/>
      <c r="L269" s="14"/>
    </row>
    <row r="270" spans="5:12" x14ac:dyDescent="0.3">
      <c r="E270" s="15"/>
      <c r="L270" s="14"/>
    </row>
    <row r="271" spans="5:12" x14ac:dyDescent="0.3">
      <c r="E271" s="15"/>
      <c r="L271" s="14"/>
    </row>
    <row r="272" spans="5:12" x14ac:dyDescent="0.3">
      <c r="E272" s="15"/>
      <c r="L272" s="14"/>
    </row>
    <row r="273" spans="5:12" x14ac:dyDescent="0.3">
      <c r="E273" s="15"/>
      <c r="L273" s="14"/>
    </row>
    <row r="274" spans="5:12" x14ac:dyDescent="0.3">
      <c r="E274" s="15"/>
      <c r="L274" s="14"/>
    </row>
    <row r="275" spans="5:12" x14ac:dyDescent="0.3">
      <c r="E275" s="15"/>
      <c r="L275" s="14"/>
    </row>
    <row r="276" spans="5:12" x14ac:dyDescent="0.3">
      <c r="E276" s="15"/>
      <c r="L276" s="14"/>
    </row>
    <row r="277" spans="5:12" x14ac:dyDescent="0.3">
      <c r="E277" s="15"/>
      <c r="L277" s="14"/>
    </row>
    <row r="278" spans="5:12" x14ac:dyDescent="0.3">
      <c r="E278" s="15"/>
      <c r="L278" s="14"/>
    </row>
    <row r="279" spans="5:12" x14ac:dyDescent="0.3">
      <c r="E279" s="15"/>
      <c r="L279" s="14"/>
    </row>
    <row r="280" spans="5:12" x14ac:dyDescent="0.3">
      <c r="E280" s="15"/>
      <c r="L280" s="14"/>
    </row>
    <row r="281" spans="5:12" x14ac:dyDescent="0.3">
      <c r="E281" s="15"/>
      <c r="L281" s="14"/>
    </row>
    <row r="282" spans="5:12" x14ac:dyDescent="0.3">
      <c r="E282" s="15"/>
      <c r="L282" s="14"/>
    </row>
    <row r="283" spans="5:12" x14ac:dyDescent="0.3">
      <c r="E283" s="15"/>
      <c r="L283" s="14"/>
    </row>
    <row r="284" spans="5:12" x14ac:dyDescent="0.3">
      <c r="E284" s="15"/>
      <c r="L284" s="14"/>
    </row>
    <row r="285" spans="5:12" x14ac:dyDescent="0.3">
      <c r="E285" s="15"/>
      <c r="L285" s="14"/>
    </row>
    <row r="286" spans="5:12" x14ac:dyDescent="0.3">
      <c r="E286" s="15"/>
      <c r="L286" s="14"/>
    </row>
    <row r="287" spans="5:12" x14ac:dyDescent="0.3">
      <c r="E287" s="15"/>
      <c r="L287" s="14"/>
    </row>
    <row r="288" spans="5:12" x14ac:dyDescent="0.3">
      <c r="E288" s="15"/>
      <c r="L288" s="14"/>
    </row>
    <row r="289" spans="5:12" x14ac:dyDescent="0.3">
      <c r="E289" s="15"/>
      <c r="L289" s="14"/>
    </row>
    <row r="290" spans="5:12" x14ac:dyDescent="0.3">
      <c r="E290" s="15"/>
      <c r="L290" s="14"/>
    </row>
    <row r="291" spans="5:12" x14ac:dyDescent="0.3">
      <c r="E291" s="15"/>
      <c r="L291" s="14"/>
    </row>
    <row r="292" spans="5:12" x14ac:dyDescent="0.3">
      <c r="E292" s="15"/>
      <c r="L292" s="14"/>
    </row>
    <row r="293" spans="5:12" x14ac:dyDescent="0.3">
      <c r="E293" s="15"/>
      <c r="L293" s="14"/>
    </row>
    <row r="294" spans="5:12" x14ac:dyDescent="0.3">
      <c r="E294" s="15"/>
      <c r="L294" s="14"/>
    </row>
    <row r="295" spans="5:12" x14ac:dyDescent="0.3">
      <c r="E295" s="15"/>
      <c r="L295" s="14"/>
    </row>
    <row r="296" spans="5:12" x14ac:dyDescent="0.3">
      <c r="E296" s="15"/>
      <c r="L296" s="14"/>
    </row>
    <row r="297" spans="5:12" x14ac:dyDescent="0.3">
      <c r="E297" s="15"/>
      <c r="L297" s="14"/>
    </row>
    <row r="298" spans="5:12" x14ac:dyDescent="0.3">
      <c r="E298" s="15"/>
      <c r="L298" s="14"/>
    </row>
    <row r="299" spans="5:12" x14ac:dyDescent="0.3">
      <c r="E299" s="15"/>
      <c r="L299" s="14"/>
    </row>
    <row r="300" spans="5:12" x14ac:dyDescent="0.3">
      <c r="E300" s="15"/>
      <c r="L300" s="14"/>
    </row>
    <row r="301" spans="5:12" x14ac:dyDescent="0.3">
      <c r="E301" s="15"/>
      <c r="L301" s="14"/>
    </row>
    <row r="302" spans="5:12" x14ac:dyDescent="0.3">
      <c r="E302" s="17"/>
      <c r="L302" s="14"/>
    </row>
    <row r="303" spans="5:12" x14ac:dyDescent="0.3">
      <c r="E303" s="17"/>
      <c r="L303" s="14"/>
    </row>
    <row r="304" spans="5:12" x14ac:dyDescent="0.3">
      <c r="E304" s="17"/>
      <c r="L304" s="14"/>
    </row>
    <row r="305" spans="5:12" x14ac:dyDescent="0.3">
      <c r="E305" s="17"/>
      <c r="L305" s="14"/>
    </row>
    <row r="306" spans="5:12" x14ac:dyDescent="0.3">
      <c r="E306" s="17"/>
      <c r="L306" s="14"/>
    </row>
    <row r="307" spans="5:12" x14ac:dyDescent="0.3">
      <c r="E307" s="17"/>
      <c r="L307" s="14"/>
    </row>
    <row r="308" spans="5:12" x14ac:dyDescent="0.3">
      <c r="E308" s="17"/>
      <c r="L308" s="14"/>
    </row>
    <row r="309" spans="5:12" x14ac:dyDescent="0.3">
      <c r="E309" s="17"/>
      <c r="L309" s="14"/>
    </row>
    <row r="310" spans="5:12" x14ac:dyDescent="0.3">
      <c r="E310" s="17"/>
      <c r="L310" s="14"/>
    </row>
    <row r="311" spans="5:12" x14ac:dyDescent="0.3">
      <c r="E311" s="17"/>
      <c r="L311" s="14"/>
    </row>
    <row r="312" spans="5:12" x14ac:dyDescent="0.3">
      <c r="E312" s="17"/>
      <c r="L312" s="14"/>
    </row>
    <row r="313" spans="5:12" x14ac:dyDescent="0.3">
      <c r="E313" s="17"/>
      <c r="L313" s="14"/>
    </row>
    <row r="314" spans="5:12" x14ac:dyDescent="0.3">
      <c r="E314" s="17"/>
      <c r="L314" s="14"/>
    </row>
    <row r="315" spans="5:12" x14ac:dyDescent="0.3">
      <c r="E315" s="17"/>
      <c r="L315" s="14"/>
    </row>
  </sheetData>
  <mergeCells count="7">
    <mergeCell ref="K4:N4"/>
    <mergeCell ref="O4:O5"/>
    <mergeCell ref="D4:D5"/>
    <mergeCell ref="E4:E5"/>
    <mergeCell ref="F4:F5"/>
    <mergeCell ref="G4:G5"/>
    <mergeCell ref="H4:J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" activePane="bottomLeft" state="frozen"/>
      <selection pane="bottomLeft" activeCell="A5" sqref="A5"/>
    </sheetView>
  </sheetViews>
  <sheetFormatPr defaultColWidth="9" defaultRowHeight="16.5" x14ac:dyDescent="0.3"/>
  <cols>
    <col min="1" max="1" width="15.125" style="3" customWidth="1"/>
    <col min="2" max="2" width="19" style="3" customWidth="1"/>
    <col min="3" max="3" width="44.25" style="6" customWidth="1"/>
    <col min="4" max="4" width="15.125" style="6" bestFit="1" customWidth="1"/>
    <col min="5" max="5" width="11.5" style="6" customWidth="1"/>
    <col min="6" max="6" width="11.625" style="3" customWidth="1"/>
    <col min="7" max="7" width="12.25" style="24" customWidth="1"/>
    <col min="8" max="8" width="13.25" style="3" bestFit="1" customWidth="1"/>
    <col min="9" max="16384" width="9" style="3"/>
  </cols>
  <sheetData>
    <row r="1" spans="1:9" s="6" customFormat="1" x14ac:dyDescent="0.3">
      <c r="A1" s="46" t="s">
        <v>47</v>
      </c>
      <c r="B1" s="46" t="s">
        <v>10</v>
      </c>
      <c r="C1" s="58" t="s">
        <v>67</v>
      </c>
      <c r="D1" s="58" t="s">
        <v>68</v>
      </c>
      <c r="E1" s="58" t="s">
        <v>69</v>
      </c>
      <c r="F1" s="58" t="s">
        <v>70</v>
      </c>
      <c r="G1" s="46" t="s">
        <v>24</v>
      </c>
      <c r="H1" s="20" t="s">
        <v>25</v>
      </c>
    </row>
    <row r="2" spans="1:9" x14ac:dyDescent="0.3">
      <c r="A2" s="2">
        <f>'50578'!$R$1</f>
        <v>44694</v>
      </c>
      <c r="B2" s="67" t="s">
        <v>202</v>
      </c>
      <c r="C2" s="77" t="s">
        <v>203</v>
      </c>
      <c r="D2" s="35" t="str">
        <f>VLOOKUP($B2,투자유니버스!$A:$H,5,0)</f>
        <v>한국주식</v>
      </c>
      <c r="E2" s="35">
        <f>VLOOKUP($B2,투자유니버스!$A:$H,7,0)</f>
        <v>4</v>
      </c>
      <c r="F2" s="35" t="str">
        <f>VLOOKUP($B2,투자유니버스!$A:$H,8,0)</f>
        <v>Y</v>
      </c>
      <c r="G2" s="38">
        <f>VLOOKUP(A2,이론!$A:$B,2,FALSE)*60%/3</f>
        <v>0.17284224201208317</v>
      </c>
      <c r="H2" s="33" t="str">
        <f>IF(A2="","",IF(OR(B2="",B2="합계",C2="합계"),"",IF(COUNTIF(투자유니버스!A:A,B2)&gt;0,"O","X")))</f>
        <v>O</v>
      </c>
      <c r="I2" s="31"/>
    </row>
    <row r="3" spans="1:9" x14ac:dyDescent="0.3">
      <c r="A3" s="2">
        <f>'50578'!$R$1</f>
        <v>44694</v>
      </c>
      <c r="B3" s="67" t="s">
        <v>387</v>
      </c>
      <c r="C3" s="77" t="s">
        <v>283</v>
      </c>
      <c r="D3" s="35" t="str">
        <f>VLOOKUP($B3,투자유니버스!$A:$H,5,0)</f>
        <v>한국주식</v>
      </c>
      <c r="E3" s="35">
        <f>VLOOKUP($B3,투자유니버스!$A:$H,7,0)</f>
        <v>4</v>
      </c>
      <c r="F3" s="35" t="str">
        <f>VLOOKUP($B3,투자유니버스!$A:$H,8,0)</f>
        <v>Y</v>
      </c>
      <c r="G3" s="38">
        <f>VLOOKUP(A3,이론!$A:$B,2,FALSE)*60%/3</f>
        <v>0.17284224201208317</v>
      </c>
      <c r="H3" s="33" t="str">
        <f>IF(A3="","",IF(OR(B3="",B3="합계",C3="합계"),"",IF(COUNTIF(투자유니버스!A:A,B3)&gt;0,"O","X")))</f>
        <v>O</v>
      </c>
      <c r="I3" s="31"/>
    </row>
    <row r="4" spans="1:9" x14ac:dyDescent="0.3">
      <c r="A4" s="2">
        <f>'50578'!$R$1</f>
        <v>44694</v>
      </c>
      <c r="B4" s="67" t="s">
        <v>388</v>
      </c>
      <c r="C4" s="77" t="s">
        <v>282</v>
      </c>
      <c r="D4" s="35" t="str">
        <f>VLOOKUP($B4,투자유니버스!$A:$H,5,0)</f>
        <v>한국주식</v>
      </c>
      <c r="E4" s="35">
        <f>VLOOKUP($B4,투자유니버스!$A:$H,7,0)</f>
        <v>4</v>
      </c>
      <c r="F4" s="35" t="str">
        <f>VLOOKUP($B4,투자유니버스!$A:$H,8,0)</f>
        <v>Y</v>
      </c>
      <c r="G4" s="38">
        <f>VLOOKUP(A4,이론!$A:$B,2,FALSE)*60%/3</f>
        <v>0.17284224201208317</v>
      </c>
      <c r="H4" s="33" t="str">
        <f>IF(A4="","",IF(OR(B4="",B4="합계",C4="합계"),"",IF(COUNTIF(투자유니버스!A:A,B4)&gt;0,"O","X")))</f>
        <v>O</v>
      </c>
      <c r="I4" s="31"/>
    </row>
    <row r="5" spans="1:9" x14ac:dyDescent="0.3">
      <c r="A5" s="2">
        <f>'50578'!$R$1</f>
        <v>44694</v>
      </c>
      <c r="B5" s="67" t="s">
        <v>112</v>
      </c>
      <c r="C5" s="77" t="s">
        <v>113</v>
      </c>
      <c r="D5" s="35" t="str">
        <f>VLOOKUP($B5,투자유니버스!$A:$H,5,0)</f>
        <v>한국국공채권</v>
      </c>
      <c r="E5" s="35">
        <f>VLOOKUP($B5,투자유니버스!$A:$H,7,0)</f>
        <v>1</v>
      </c>
      <c r="F5" s="35" t="str">
        <f>VLOOKUP($B5,투자유니버스!$A:$H,8,0)</f>
        <v>N</v>
      </c>
      <c r="G5" s="38">
        <f>(1-VLOOKUP(A4,이론!$A:$B,2,FALSE)*60%)/3</f>
        <v>0.16049109132125017</v>
      </c>
      <c r="H5" s="33" t="str">
        <f>IF(A5="","",IF(OR(B5="",B5="합계",C5="합계"),"",IF(COUNTIF(투자유니버스!A:A,B5)&gt;0,"O","X")))</f>
        <v>O</v>
      </c>
      <c r="I5" s="31"/>
    </row>
    <row r="6" spans="1:9" x14ac:dyDescent="0.3">
      <c r="A6" s="2">
        <f>'50578'!$R$1</f>
        <v>44694</v>
      </c>
      <c r="B6" s="67" t="s">
        <v>110</v>
      </c>
      <c r="C6" s="77" t="s">
        <v>111</v>
      </c>
      <c r="D6" s="35" t="str">
        <f>VLOOKUP($B6,투자유니버스!$A:$H,5,0)</f>
        <v>한국국공채권</v>
      </c>
      <c r="E6" s="35">
        <f>VLOOKUP($B6,투자유니버스!$A:$H,7,0)</f>
        <v>1</v>
      </c>
      <c r="F6" s="35" t="str">
        <f>VLOOKUP($B6,투자유니버스!$A:$H,8,0)</f>
        <v>N</v>
      </c>
      <c r="G6" s="38">
        <f>(1-VLOOKUP(A5,이론!$A:$B,2,FALSE)*60%)/3</f>
        <v>0.16049109132125017</v>
      </c>
      <c r="H6" s="33" t="str">
        <f>IF(A6="","",IF(OR(B6="",B6="합계",C6="합계"),"",IF(COUNTIF(투자유니버스!A:A,B6)&gt;0,"O","X")))</f>
        <v>O</v>
      </c>
      <c r="I6" s="31"/>
    </row>
    <row r="7" spans="1:9" x14ac:dyDescent="0.3">
      <c r="A7" s="2">
        <f>'50578'!$R$1</f>
        <v>44694</v>
      </c>
      <c r="B7" s="67" t="s">
        <v>114</v>
      </c>
      <c r="C7" s="77" t="s">
        <v>115</v>
      </c>
      <c r="D7" s="35" t="str">
        <f>VLOOKUP($B7,투자유니버스!$A:$H,5,0)</f>
        <v>한국국공채권</v>
      </c>
      <c r="E7" s="35">
        <f>VLOOKUP($B7,투자유니버스!$A:$H,7,0)</f>
        <v>1</v>
      </c>
      <c r="F7" s="35" t="str">
        <f>VLOOKUP($B7,투자유니버스!$A:$H,8,0)</f>
        <v>N</v>
      </c>
      <c r="G7" s="38">
        <f>(1-VLOOKUP(A6,이론!$A:$B,2,FALSE)*60%)/3</f>
        <v>0.16049109132125017</v>
      </c>
      <c r="H7" s="33" t="str">
        <f>IF(A7="","",IF(OR(B7="",B7="합계",C7="합계"),"",IF(COUNTIF(투자유니버스!A:A,B7)&gt;0,"O","X")))</f>
        <v>O</v>
      </c>
      <c r="I7" s="31"/>
    </row>
    <row r="8" spans="1:9" s="21" customFormat="1" x14ac:dyDescent="0.3">
      <c r="A8" s="3"/>
      <c r="C8" s="19"/>
      <c r="D8" s="19"/>
      <c r="E8" s="19"/>
      <c r="G8" s="23"/>
      <c r="H8" s="11"/>
    </row>
    <row r="9" spans="1:9" s="21" customFormat="1" x14ac:dyDescent="0.3">
      <c r="A9" s="3"/>
      <c r="C9" s="19"/>
      <c r="D9" s="19"/>
      <c r="E9" s="19"/>
      <c r="G9" s="23"/>
      <c r="H9" s="11"/>
    </row>
    <row r="10" spans="1:9" s="21" customFormat="1" x14ac:dyDescent="0.3">
      <c r="A10" s="3"/>
      <c r="C10" s="19"/>
      <c r="D10" s="19"/>
      <c r="E10" s="19"/>
      <c r="G10" s="23"/>
      <c r="H10" s="11"/>
    </row>
    <row r="11" spans="1:9" s="21" customFormat="1" x14ac:dyDescent="0.3">
      <c r="A11" s="3"/>
      <c r="C11" s="19"/>
      <c r="D11" s="19"/>
      <c r="E11" s="19"/>
      <c r="G11" s="23"/>
      <c r="H11" s="11"/>
    </row>
    <row r="12" spans="1:9" s="21" customFormat="1" x14ac:dyDescent="0.3">
      <c r="A12" s="3"/>
      <c r="C12" s="19"/>
      <c r="D12" s="19"/>
      <c r="E12" s="19"/>
      <c r="G12" s="23"/>
      <c r="H12" s="11"/>
    </row>
    <row r="13" spans="1:9" s="21" customFormat="1" x14ac:dyDescent="0.3">
      <c r="A13" s="3"/>
      <c r="C13" s="19"/>
      <c r="D13" s="19"/>
      <c r="E13" s="19"/>
      <c r="G13" s="23"/>
      <c r="H13" s="11"/>
    </row>
    <row r="14" spans="1:9" s="21" customFormat="1" x14ac:dyDescent="0.3">
      <c r="A14" s="3"/>
      <c r="C14" s="19"/>
      <c r="D14" s="19"/>
      <c r="E14" s="19"/>
      <c r="G14" s="23"/>
      <c r="H14" s="11"/>
    </row>
    <row r="15" spans="1:9" s="21" customFormat="1" x14ac:dyDescent="0.3">
      <c r="A15" s="3"/>
      <c r="C15" s="19"/>
      <c r="D15" s="19"/>
      <c r="E15" s="19"/>
      <c r="G15" s="23"/>
      <c r="H15" s="11"/>
    </row>
    <row r="16" spans="1:9" s="21" customFormat="1" x14ac:dyDescent="0.3">
      <c r="A16" s="3"/>
      <c r="C16" s="19"/>
      <c r="D16" s="19"/>
      <c r="E16" s="19"/>
      <c r="G16" s="23"/>
      <c r="H16" s="11"/>
    </row>
    <row r="17" spans="1:8" s="21" customFormat="1" x14ac:dyDescent="0.3">
      <c r="A17" s="3"/>
      <c r="C17" s="19"/>
      <c r="D17" s="19"/>
      <c r="E17" s="19"/>
      <c r="G17" s="23"/>
      <c r="H17" s="11"/>
    </row>
    <row r="18" spans="1:8" s="21" customFormat="1" x14ac:dyDescent="0.3">
      <c r="A18" s="3"/>
      <c r="C18" s="19"/>
      <c r="D18" s="19"/>
      <c r="E18" s="19"/>
      <c r="G18" s="23"/>
      <c r="H18" s="11"/>
    </row>
    <row r="19" spans="1:8" s="21" customFormat="1" x14ac:dyDescent="0.3">
      <c r="A19" s="3"/>
      <c r="C19" s="19"/>
      <c r="D19" s="19"/>
      <c r="E19" s="19"/>
      <c r="G19" s="23"/>
      <c r="H19" s="11"/>
    </row>
    <row r="20" spans="1:8" s="21" customFormat="1" x14ac:dyDescent="0.3">
      <c r="A20" s="3"/>
      <c r="C20" s="19"/>
      <c r="D20" s="19"/>
      <c r="E20" s="19"/>
      <c r="G20" s="23"/>
      <c r="H20" s="11"/>
    </row>
    <row r="21" spans="1:8" s="21" customFormat="1" x14ac:dyDescent="0.3">
      <c r="A21" s="3"/>
      <c r="C21" s="19"/>
      <c r="D21" s="19"/>
      <c r="E21" s="19"/>
      <c r="G21" s="23"/>
      <c r="H21" s="11"/>
    </row>
    <row r="22" spans="1:8" s="21" customFormat="1" x14ac:dyDescent="0.3">
      <c r="A22" s="3"/>
      <c r="C22" s="19"/>
      <c r="D22" s="19"/>
      <c r="E22" s="19"/>
      <c r="G22" s="23"/>
      <c r="H22" s="11"/>
    </row>
    <row r="23" spans="1:8" s="21" customFormat="1" x14ac:dyDescent="0.3">
      <c r="A23" s="3"/>
      <c r="C23" s="19"/>
      <c r="D23" s="19"/>
      <c r="E23" s="19"/>
      <c r="G23" s="23"/>
      <c r="H23" s="11"/>
    </row>
    <row r="24" spans="1:8" s="21" customFormat="1" x14ac:dyDescent="0.3">
      <c r="A24" s="3"/>
      <c r="C24" s="19"/>
      <c r="D24" s="19"/>
      <c r="E24" s="19"/>
      <c r="G24" s="23"/>
      <c r="H24" s="11"/>
    </row>
    <row r="25" spans="1:8" s="21" customFormat="1" x14ac:dyDescent="0.3">
      <c r="A25" s="3"/>
      <c r="C25" s="19"/>
      <c r="D25" s="19"/>
      <c r="E25" s="19"/>
      <c r="G25" s="23"/>
      <c r="H25" s="11"/>
    </row>
    <row r="26" spans="1:8" s="21" customFormat="1" x14ac:dyDescent="0.3">
      <c r="A26" s="3"/>
      <c r="C26" s="19"/>
      <c r="D26" s="19"/>
      <c r="E26" s="19"/>
      <c r="G26" s="23"/>
      <c r="H26" s="11"/>
    </row>
    <row r="27" spans="1:8" s="21" customFormat="1" x14ac:dyDescent="0.3">
      <c r="A27" s="3"/>
      <c r="C27" s="19"/>
      <c r="D27" s="19"/>
      <c r="E27" s="19"/>
      <c r="G27" s="23"/>
      <c r="H27" s="11"/>
    </row>
    <row r="28" spans="1:8" s="21" customFormat="1" x14ac:dyDescent="0.3">
      <c r="A28" s="3"/>
      <c r="B28" s="3"/>
      <c r="C28" s="6"/>
      <c r="D28" s="6"/>
      <c r="E28" s="6"/>
      <c r="F28" s="3"/>
      <c r="G28" s="23"/>
    </row>
    <row r="29" spans="1:8" s="21" customFormat="1" x14ac:dyDescent="0.3">
      <c r="A29" s="3"/>
      <c r="B29" s="3"/>
      <c r="C29" s="6"/>
      <c r="D29" s="6"/>
      <c r="E29" s="6"/>
      <c r="F29" s="3"/>
      <c r="G29" s="23"/>
    </row>
    <row r="30" spans="1:8" s="21" customFormat="1" x14ac:dyDescent="0.3">
      <c r="A30" s="3"/>
      <c r="B30" s="3"/>
      <c r="C30" s="6"/>
      <c r="D30" s="6"/>
      <c r="E30" s="6"/>
      <c r="F30" s="3"/>
      <c r="G30" s="23"/>
    </row>
    <row r="31" spans="1:8" s="21" customFormat="1" x14ac:dyDescent="0.3">
      <c r="A31" s="3"/>
      <c r="B31" s="3"/>
      <c r="C31" s="6"/>
      <c r="D31" s="6"/>
      <c r="E31" s="6"/>
      <c r="F31" s="3"/>
      <c r="G31" s="23"/>
    </row>
    <row r="32" spans="1:8" s="21" customFormat="1" x14ac:dyDescent="0.3">
      <c r="A32" s="3"/>
      <c r="B32" s="3"/>
      <c r="C32" s="6"/>
      <c r="D32" s="6"/>
      <c r="E32" s="6"/>
      <c r="F32" s="3"/>
      <c r="G32" s="23"/>
    </row>
    <row r="33" spans="1:7" s="21" customFormat="1" x14ac:dyDescent="0.3">
      <c r="A33" s="3"/>
      <c r="B33" s="3"/>
      <c r="C33" s="6"/>
      <c r="D33" s="6"/>
      <c r="E33" s="6"/>
      <c r="F33" s="3"/>
      <c r="G33" s="23"/>
    </row>
    <row r="34" spans="1:7" s="21" customFormat="1" x14ac:dyDescent="0.3">
      <c r="A34" s="3"/>
      <c r="B34" s="3"/>
      <c r="C34" s="6"/>
      <c r="D34" s="6"/>
      <c r="E34" s="6"/>
      <c r="F34" s="3"/>
      <c r="G34" s="23"/>
    </row>
    <row r="35" spans="1:7" s="21" customFormat="1" x14ac:dyDescent="0.3">
      <c r="A35" s="3"/>
      <c r="B35" s="3"/>
      <c r="C35" s="6"/>
      <c r="D35" s="6"/>
      <c r="E35" s="6"/>
      <c r="F35" s="3"/>
      <c r="G35" s="23"/>
    </row>
  </sheetData>
  <phoneticPr fontId="1" type="noConversion"/>
  <dataValidations disablePrompts="1" count="1">
    <dataValidation type="list" allowBlank="1" showInputMessage="1" showErrorMessage="1" sqref="E206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50578</vt:lpstr>
      <vt:lpstr>12501</vt:lpstr>
      <vt:lpstr>이론</vt:lpstr>
      <vt:lpstr>22012</vt:lpstr>
      <vt:lpstr>작성가이드</vt:lpstr>
      <vt:lpstr>전체매매내역</vt:lpstr>
      <vt:lpstr>투자유니버스</vt:lpstr>
      <vt:lpstr>포트변경내역(안정)</vt:lpstr>
      <vt:lpstr>MP내역(안정)</vt:lpstr>
      <vt:lpstr>잔고변경현황(안정1)</vt:lpstr>
      <vt:lpstr>잔고변경현황(안정2)</vt:lpstr>
      <vt:lpstr>잔고변경현황(안정3)</vt:lpstr>
      <vt:lpstr>포트변경내역(중립)</vt:lpstr>
      <vt:lpstr>MP내역(중립)</vt:lpstr>
      <vt:lpstr>잔고변경현황(중립1)</vt:lpstr>
      <vt:lpstr>잔고변경현황(중립2)</vt:lpstr>
      <vt:lpstr>잔고변경현황(중립3)</vt:lpstr>
      <vt:lpstr>포트변경내역(적극)</vt:lpstr>
      <vt:lpstr>MP내역(적극)</vt:lpstr>
      <vt:lpstr>잔고변경현황(적극1)</vt:lpstr>
      <vt:lpstr>잔고변경현황(적극2)</vt:lpstr>
      <vt:lpstr>잔고변경현황(적극3)</vt:lpstr>
      <vt:lpstr>로그첨부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2022-05-15T06:48:42Z</dcterms:modified>
</cp:coreProperties>
</file>